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drawings/drawing4.xml" ContentType="application/vnd.openxmlformats-officedocument.drawingml.chartshapes+xml"/>
  <Override PartName="/xl/drawings/drawing18.xml" ContentType="application/vnd.openxmlformats-officedocument.drawingml.chartshapes+xml"/>
  <Override PartName="/xl/drawings/drawing37.xml" ContentType="application/vnd.openxmlformats-officedocument.drawingml.chartshapes+xml"/>
  <Override PartName="/xl/drawings/drawing36.xml" ContentType="application/vnd.openxmlformats-officedocument.drawingml.chartshapes+xml"/>
  <Override PartName="/xl/drawings/drawing47.xml" ContentType="application/vnd.openxmlformats-officedocument.drawingml.chartshapes+xml"/>
  <Override PartName="/xl/drawings/drawing11.xml" ContentType="application/vnd.openxmlformats-officedocument.drawingml.chartshapes+xml"/>
  <Override PartName="/xl/drawings/drawing10.xml" ContentType="application/vnd.openxmlformats-officedocument.drawingml.chartshapes+xml"/>
  <Override PartName="/xl/drawings/drawing7.xml" ContentType="application/vnd.openxmlformats-officedocument.drawingml.chartshapes+xml"/>
  <Override PartName="/xl/drawings/drawing17.xml" ContentType="application/vnd.openxmlformats-officedocument.drawingml.chartshapes+xml"/>
  <Override PartName="/xl/drawings/drawing52.xml" ContentType="application/vnd.openxmlformats-officedocument.drawingml.chartshapes+xml"/>
  <Override PartName="/xl/drawings/drawing6.xml" ContentType="application/vnd.openxmlformats-officedocument.drawingml.chartshapes+xml"/>
  <Override PartName="/xl/drawings/drawing65.xml" ContentType="application/vnd.openxmlformats-officedocument.drawingml.chartshapes+xml"/>
  <Override PartName="/xl/drawings/drawing64.xml" ContentType="application/vnd.openxmlformats-officedocument.drawingml.chartshapes+xml"/>
  <Override PartName="/xl/drawings/drawing53.xml" ContentType="application/vnd.openxmlformats-officedocument.drawingml.chartshapes+xml"/>
  <Override PartName="/xl/drawings/drawing48.xml" ContentType="application/vnd.openxmlformats-officedocument.drawingml.chartshapes+xml"/>
  <Override PartName="/xl/workbook.xml" ContentType="application/vnd.openxmlformats-officedocument.spreadsheetml.sheet.main+xml"/>
  <Override PartName="/xl/worksheets/sheet21.xml" ContentType="application/vnd.openxmlformats-officedocument.spreadsheetml.worksheet+xml"/>
  <Override PartName="/xl/drawings/drawing85.xml" ContentType="application/vnd.openxmlformats-officedocument.drawing+xml"/>
  <Override PartName="/xl/charts/chart128.xml" ContentType="application/vnd.openxmlformats-officedocument.drawingml.chart+xml"/>
  <Override PartName="/xl/charts/chart127.xml" ContentType="application/vnd.openxmlformats-officedocument.drawingml.chart+xml"/>
  <Override PartName="/xl/drawings/drawing84.xml" ContentType="application/vnd.openxmlformats-officedocument.drawing+xml"/>
  <Override PartName="/xl/charts/chart126.xml" ContentType="application/vnd.openxmlformats-officedocument.drawingml.chart+xml"/>
  <Override PartName="/xl/drawings/drawing83.xml" ContentType="application/vnd.openxmlformats-officedocument.drawing+xml"/>
  <Override PartName="/xl/charts/chart129.xml" ContentType="application/vnd.openxmlformats-officedocument.drawingml.chart+xml"/>
  <Override PartName="/xl/drawings/drawing86.xml" ContentType="application/vnd.openxmlformats-officedocument.drawing+xml"/>
  <Override PartName="/xl/charts/chart130.xml" ContentType="application/vnd.openxmlformats-officedocument.drawingml.chart+xml"/>
  <Override PartName="/xl/worksheets/sheet4.xml" ContentType="application/vnd.openxmlformats-officedocument.spreadsheetml.worksheet+xml"/>
  <Override PartName="/xl/worksheets/sheet5.xml" ContentType="application/vnd.openxmlformats-officedocument.spreadsheetml.worksheet+xml"/>
  <Override PartName="/xl/charts/chart132.xml" ContentType="application/vnd.openxmlformats-officedocument.drawingml.chart+xml"/>
  <Override PartName="/xl/drawings/drawing88.xml" ContentType="application/vnd.openxmlformats-officedocument.drawing+xml"/>
  <Override PartName="/xl/charts/chart131.xml" ContentType="application/vnd.openxmlformats-officedocument.drawingml.chart+xml"/>
  <Override PartName="/xl/drawings/drawing87.xml" ContentType="application/vnd.openxmlformats-officedocument.drawing+xml"/>
  <Override PartName="/xl/charts/chart125.xml" ContentType="application/vnd.openxmlformats-officedocument.drawingml.chart+xml"/>
  <Override PartName="/xl/drawings/drawing82.xml" ContentType="application/vnd.openxmlformats-officedocument.drawing+xml"/>
  <Override PartName="/xl/charts/chart124.xml" ContentType="application/vnd.openxmlformats-officedocument.drawingml.chart+xml"/>
  <Override PartName="/xl/drawings/drawing78.xml" ContentType="application/vnd.openxmlformats-officedocument.drawing+xml"/>
  <Override PartName="/xl/charts/chart117.xml" ContentType="application/vnd.openxmlformats-officedocument.drawingml.chart+xml"/>
  <Override PartName="/xl/drawings/drawing77.xml" ContentType="application/vnd.openxmlformats-officedocument.drawing+xml"/>
  <Override PartName="/xl/charts/chart116.xml" ContentType="application/vnd.openxmlformats-officedocument.drawingml.chart+xml"/>
  <Override PartName="/xl/drawings/drawing76.xml" ContentType="application/vnd.openxmlformats-officedocument.drawing+xml"/>
  <Override PartName="/xl/charts/chart115.xml" ContentType="application/vnd.openxmlformats-officedocument.drawingml.chart+xml"/>
  <Override PartName="/xl/charts/chart118.xml" ContentType="application/vnd.openxmlformats-officedocument.drawingml.chart+xml"/>
  <Override PartName="/xl/drawings/drawing79.xml" ContentType="application/vnd.openxmlformats-officedocument.drawing+xml"/>
  <Override PartName="/xl/charts/chart119.xml" ContentType="application/vnd.openxmlformats-officedocument.drawingml.chart+xml"/>
  <Override PartName="/xl/charts/chart123.xml" ContentType="application/vnd.openxmlformats-officedocument.drawingml.chart+xml"/>
  <Override PartName="/xl/charts/chart122.xml" ContentType="application/vnd.openxmlformats-officedocument.drawingml.chart+xml"/>
  <Override PartName="/xl/drawings/drawing81.xml" ContentType="application/vnd.openxmlformats-officedocument.drawing+xml"/>
  <Override PartName="/xl/charts/chart121.xml" ContentType="application/vnd.openxmlformats-officedocument.drawingml.chart+xml"/>
  <Override PartName="/xl/drawings/drawing80.xml" ContentType="application/vnd.openxmlformats-officedocument.drawing+xml"/>
  <Override PartName="/xl/charts/chart120.xml" ContentType="application/vnd.openxmlformats-officedocument.drawingml.chart+xml"/>
  <Override PartName="/xl/drawings/drawing75.xml" ContentType="application/vnd.openxmlformats-officedocument.drawing+xml"/>
  <Override PartName="/xl/theme/themeOverride1.xml" ContentType="application/vnd.openxmlformats-officedocument.themeOverride+xml"/>
  <Override PartName="/xl/charts/chart114.xml" ContentType="application/vnd.openxmlformats-officedocument.drawingml.chart+xml"/>
  <Override PartName="/xl/drawings/drawing57.xml" ContentType="application/vnd.openxmlformats-officedocument.drawing+xml"/>
  <Override PartName="/xl/charts/chart86.xml" ContentType="application/vnd.openxmlformats-officedocument.drawingml.chart+xml"/>
  <Override PartName="/xl/charts/chart85.xml" ContentType="application/vnd.openxmlformats-officedocument.drawingml.chart+xml"/>
  <Override PartName="/xl/charts/chart84.xml" ContentType="application/vnd.openxmlformats-officedocument.drawingml.chart+xml"/>
  <Override PartName="/xl/drawings/drawing56.xml" ContentType="application/vnd.openxmlformats-officedocument.drawing+xml"/>
  <Override PartName="/xl/charts/chart83.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3.xml" ContentType="application/vnd.openxmlformats-officedocument.drawingml.chart+xml"/>
  <Override PartName="/xl/drawings/drawing59.xml" ContentType="application/vnd.openxmlformats-officedocument.drawing+xml"/>
  <Override PartName="/xl/charts/chart92.xml" ContentType="application/vnd.openxmlformats-officedocument.drawingml.chart+xml"/>
  <Override PartName="/xl/drawings/drawing58.xml" ContentType="application/vnd.openxmlformats-officedocument.drawing+xml"/>
  <Override PartName="/xl/charts/chart91.xml" ContentType="application/vnd.openxmlformats-officedocument.drawingml.chart+xml"/>
  <Override PartName="/xl/charts/chart90.xml" ContentType="application/vnd.openxmlformats-officedocument.drawingml.chart+xml"/>
  <Override PartName="/xl/charts/chart82.xml" ContentType="application/vnd.openxmlformats-officedocument.drawingml.chart+xml"/>
  <Override PartName="/xl/drawings/drawing55.xml" ContentType="application/vnd.openxmlformats-officedocument.drawing+xml"/>
  <Override PartName="/xl/charts/chart81.xml" ContentType="application/vnd.openxmlformats-officedocument.drawingml.chart+xml"/>
  <Override PartName="/xl/drawings/drawing50.xml" ContentType="application/vnd.openxmlformats-officedocument.drawing+xml"/>
  <Override PartName="/xl/charts/chart76.xml" ContentType="application/vnd.openxmlformats-officedocument.drawingml.chart+xml"/>
  <Override PartName="/xl/drawings/drawing49.xml" ContentType="application/vnd.openxmlformats-officedocument.drawing+xml"/>
  <Override PartName="/xl/worksheets/sheet10.xml" ContentType="application/vnd.openxmlformats-officedocument.spreadsheetml.worksheet+xml"/>
  <Override PartName="/xl/charts/chart75.xml" ContentType="application/vnd.openxmlformats-officedocument.drawingml.chart+xml"/>
  <Override PartName="/xl/worksheets/sheet11.xml" ContentType="application/vnd.openxmlformats-officedocument.spreadsheetml.worksheet+xml"/>
  <Override PartName="/xl/charts/chart77.xml" ContentType="application/vnd.openxmlformats-officedocument.drawingml.chart+xml"/>
  <Override PartName="/xl/drawings/drawing51.xml" ContentType="application/vnd.openxmlformats-officedocument.drawing+xml"/>
  <Override PartName="/xl/charts/chart78.xml" ContentType="application/vnd.openxmlformats-officedocument.drawingml.chart+xml"/>
  <Override PartName="/xl/charts/chart80.xml" ContentType="application/vnd.openxmlformats-officedocument.drawingml.chart+xml"/>
  <Override PartName="/xl/drawings/drawing54.xml" ContentType="application/vnd.openxmlformats-officedocument.drawing+xml"/>
  <Override PartName="/xl/worksheets/sheet8.xml" ContentType="application/vnd.openxmlformats-officedocument.spreadsheetml.worksheet+xml"/>
  <Override PartName="/xl/charts/chart79.xml" ContentType="application/vnd.openxmlformats-officedocument.drawingml.chart+xml"/>
  <Override PartName="/xl/worksheets/sheet9.xml" ContentType="application/vnd.openxmlformats-officedocument.spreadsheetml.worksheet+xml"/>
  <Override PartName="/xl/drawings/drawing60.xml" ContentType="application/vnd.openxmlformats-officedocument.drawing+xml"/>
  <Override PartName="/xl/charts/chart94.xml" ContentType="application/vnd.openxmlformats-officedocument.drawingml.chart+xml"/>
  <Override PartName="/xl/worksheets/sheet1.xml" ContentType="application/vnd.openxmlformats-officedocument.spreadsheetml.worksheet+xml"/>
  <Override PartName="/xl/charts/chart108.xml" ContentType="application/vnd.openxmlformats-officedocument.drawingml.chart+xml"/>
  <Override PartName="/xl/drawings/drawing70.xml" ContentType="application/vnd.openxmlformats-officedocument.drawing+xml"/>
  <Override PartName="/xl/charts/chart107.xml" ContentType="application/vnd.openxmlformats-officedocument.drawingml.chart+xml"/>
  <Override PartName="/xl/charts/chart106.xml" ContentType="application/vnd.openxmlformats-officedocument.drawingml.chart+xml"/>
  <Override PartName="/xl/drawings/drawing69.xml" ContentType="application/vnd.openxmlformats-officedocument.drawing+xml"/>
  <Override PartName="/xl/charts/chart105.xml" ContentType="application/vnd.openxmlformats-officedocument.drawingml.chart+xml"/>
  <Override PartName="/xl/charts/chart109.xml" ContentType="application/vnd.openxmlformats-officedocument.drawingml.chart+xml"/>
  <Override PartName="/xl/drawings/drawing71.xml" ContentType="application/vnd.openxmlformats-officedocument.drawing+xml"/>
  <Override PartName="/xl/charts/chart110.xml" ContentType="application/vnd.openxmlformats-officedocument.drawingml.chart+xml"/>
  <Override PartName="/xl/drawings/drawing74.xml" ContentType="application/vnd.openxmlformats-officedocument.drawing+xml"/>
  <Override PartName="/xl/charts/chart113.xml" ContentType="application/vnd.openxmlformats-officedocument.drawingml.chart+xml"/>
  <Override PartName="/xl/charts/chart112.xml" ContentType="application/vnd.openxmlformats-officedocument.drawingml.chart+xml"/>
  <Override PartName="/xl/drawings/drawing73.xml" ContentType="application/vnd.openxmlformats-officedocument.drawing+xml"/>
  <Override PartName="/xl/charts/chart111.xml" ContentType="application/vnd.openxmlformats-officedocument.drawingml.chart+xml"/>
  <Override PartName="/xl/drawings/drawing72.xml" ContentType="application/vnd.openxmlformats-officedocument.drawing+xml"/>
  <Override PartName="/xl/drawings/drawing68.xml" ContentType="application/vnd.openxmlformats-officedocument.drawing+xml"/>
  <Override PartName="/xl/charts/chart104.xml" ContentType="application/vnd.openxmlformats-officedocument.drawingml.chart+xml"/>
  <Override PartName="/xl/charts/chart103.xml" ContentType="application/vnd.openxmlformats-officedocument.drawingml.chart+xml"/>
  <Override PartName="/xl/charts/chart99.xml" ContentType="application/vnd.openxmlformats-officedocument.drawingml.chart+xml"/>
  <Override PartName="/xl/drawings/drawing62.xml" ContentType="application/vnd.openxmlformats-officedocument.drawing+xml"/>
  <Override PartName="/xl/charts/chart98.xml" ContentType="application/vnd.openxmlformats-officedocument.drawingml.chart+xml"/>
  <Override PartName="/xl/charts/chart97.xml" ContentType="application/vnd.openxmlformats-officedocument.drawingml.chart+xml"/>
  <Override PartName="/xl/drawings/drawing61.xml" ContentType="application/vnd.openxmlformats-officedocument.drawing+xml"/>
  <Override PartName="/xl/charts/chart96.xml" ContentType="application/vnd.openxmlformats-officedocument.drawingml.chart+xml"/>
  <Override PartName="/xl/drawings/drawing63.xml" ContentType="application/vnd.openxmlformats-officedocument.drawing+xml"/>
  <Override PartName="/xl/charts/chart100.xml" ContentType="application/vnd.openxmlformats-officedocument.drawingml.chart+xml"/>
  <Override PartName="/xl/worksheets/sheet7.xml" ContentType="application/vnd.openxmlformats-officedocument.spreadsheetml.worksheet+xml"/>
  <Override PartName="/xl/drawings/drawing67.xml" ContentType="application/vnd.openxmlformats-officedocument.drawing+xml"/>
  <Override PartName="/xl/charts/chart102.xml" ContentType="application/vnd.openxmlformats-officedocument.drawingml.chart+xml"/>
  <Override PartName="/xl/drawings/drawing66.xml" ContentType="application/vnd.openxmlformats-officedocument.drawing+xml"/>
  <Override PartName="/xl/worksheets/sheet6.xml" ContentType="application/vnd.openxmlformats-officedocument.spreadsheetml.worksheet+xml"/>
  <Override PartName="/xl/charts/chart101.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charts/chart74.xml" ContentType="application/vnd.openxmlformats-officedocument.drawingml.chart+xml"/>
  <Override PartName="/xl/charts/chart95.xml" ContentType="application/vnd.openxmlformats-officedocument.drawingml.chart+xml"/>
  <Override PartName="/xl/worksheets/sheet22.xml" ContentType="application/vnd.openxmlformats-officedocument.spreadsheetml.worksheet+xml"/>
  <Override PartName="/xl/worksheets/sheet18.xml" ContentType="application/vnd.openxmlformats-officedocument.spreadsheetml.worksheet+xml"/>
  <Override PartName="/xl/charts/chart8.xml" ContentType="application/vnd.openxmlformats-officedocument.drawingml.chart+xml"/>
  <Override PartName="/xl/worksheets/sheet19.xml" ContentType="application/vnd.openxmlformats-officedocument.spreadsheetml.worksheet+xml"/>
  <Override PartName="/xl/charts/chart7.xml" ContentType="application/vnd.openxmlformats-officedocument.drawingml.chart+xml"/>
  <Override PartName="/xl/drawings/drawing5.xml" ContentType="application/vnd.openxmlformats-officedocument.drawing+xml"/>
  <Override PartName="/xl/drawings/drawing4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worksheets/sheet16.xml" ContentType="application/vnd.openxmlformats-officedocument.spreadsheetml.worksheet+xml"/>
  <Override PartName="/xl/charts/chart12.xml" ContentType="application/vnd.openxmlformats-officedocument.drawingml.chart+xml"/>
  <Override PartName="/xl/worksheets/sheet17.xml" ContentType="application/vnd.openxmlformats-officedocument.spreadsheetml.worksheet+xml"/>
  <Override PartName="/xl/charts/chart11.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worksheets/sheet20.xml" ContentType="application/vnd.openxmlformats-officedocument.spreadsheetml.worksheet+xml"/>
  <Override PartName="/xl/charts/chart5.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86.xml" ContentType="application/vnd.openxmlformats-officedocument.spreadsheetml.worksheet+xml"/>
  <Override PartName="/xl/charts/chart1.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1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27.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21.xml" ContentType="application/vnd.openxmlformats-officedocument.drawing+xml"/>
  <Override PartName="/xl/charts/chart34.xml" ContentType="application/vnd.openxmlformats-officedocument.drawingml.chart+xml"/>
  <Override PartName="/xl/charts/chart33.xml" ContentType="application/vnd.openxmlformats-officedocument.drawingml.chart+xml"/>
  <Override PartName="/xl/charts/chart32.xml" ContentType="application/vnd.openxmlformats-officedocument.drawingml.chart+xml"/>
  <Override PartName="/xl/charts/chart31.xml" ContentType="application/vnd.openxmlformats-officedocument.drawingml.chart+xml"/>
  <Override PartName="/xl/charts/chart30.xml" ContentType="application/vnd.openxmlformats-officedocument.drawingml.chart+xml"/>
  <Override PartName="/xl/charts/chart23.xml" ContentType="application/vnd.openxmlformats-officedocument.drawingml.chart+xml"/>
  <Override PartName="/xl/drawings/drawing19.xml" ContentType="application/vnd.openxmlformats-officedocument.drawing+xml"/>
  <Override PartName="/xl/worksheets/sheet14.xml" ContentType="application/vnd.openxmlformats-officedocument.spreadsheetml.worksheet+xml"/>
  <Override PartName="/xl/charts/chart17.xml" ContentType="application/vnd.openxmlformats-officedocument.drawingml.chart+xml"/>
  <Override PartName="/xl/drawings/drawing14.xml" ContentType="application/vnd.openxmlformats-officedocument.drawing+xml"/>
  <Override PartName="/xl/charts/chart16.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5.xml" ContentType="application/vnd.openxmlformats-officedocument.drawing+xml"/>
  <Override PartName="/xl/charts/chart22.xml" ContentType="application/vnd.openxmlformats-officedocument.drawingml.chart+xml"/>
  <Override PartName="/xl/worksheets/sheet15.xml" ContentType="application/vnd.openxmlformats-officedocument.spreadsheetml.worksheet+xml"/>
  <Override PartName="/xl/charts/chart21.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worksheets/sheet85.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drawings/drawing22.xml" ContentType="application/vnd.openxmlformats-officedocument.drawing+xml"/>
  <Override PartName="/xl/drawings/drawing8.xml" ContentType="application/vnd.openxmlformats-officedocument.drawing+xml"/>
  <Override PartName="/xl/charts/chart58.xml" ContentType="application/vnd.openxmlformats-officedocument.drawingml.chart+xml"/>
  <Override PartName="/xl/charts/chart52.xml" ContentType="application/vnd.openxmlformats-officedocument.drawingml.chart+xml"/>
  <Override PartName="/xl/charts/chart62.xml" ContentType="application/vnd.openxmlformats-officedocument.drawingml.chart+xml"/>
  <Override PartName="/xl/drawings/drawing27.xml" ContentType="application/vnd.openxmlformats-officedocument.drawing+xml"/>
  <Override PartName="/xl/charts/chart44.xml" ContentType="application/vnd.openxmlformats-officedocument.drawingml.chart+xml"/>
  <Override PartName="/xl/drawings/drawing38.xml" ContentType="application/vnd.openxmlformats-officedocument.drawing+xml"/>
  <Override PartName="/xl/charts/chart51.xml" ContentType="application/vnd.openxmlformats-officedocument.drawingml.chart+xml"/>
  <Override PartName="/xl/drawings/drawing28.xml" ContentType="application/vnd.openxmlformats-officedocument.drawing+xml"/>
  <Override PartName="/xl/drawings/drawing39.xml" ContentType="application/vnd.openxmlformats-officedocument.drawing+xml"/>
  <Override PartName="/xl/charts/chart43.xml" ContentType="application/vnd.openxmlformats-officedocument.drawingml.chart+xml"/>
  <Override PartName="/xl/charts/chart63.xml" ContentType="application/vnd.openxmlformats-officedocument.drawingml.chart+xml"/>
  <Override PartName="/xl/drawings/drawing34.xml" ContentType="application/vnd.openxmlformats-officedocument.drawing+xml"/>
  <Override PartName="/xl/drawings/drawing33.xml" ContentType="application/vnd.openxmlformats-officedocument.drawing+xml"/>
  <Override PartName="/xl/drawings/drawing26.xml" ContentType="application/vnd.openxmlformats-officedocument.drawing+xml"/>
  <Override PartName="/xl/charts/chart41.xml" ContentType="application/vnd.openxmlformats-officedocument.drawingml.chart+xml"/>
  <Override PartName="/xl/charts/chart64.xml" ContentType="application/vnd.openxmlformats-officedocument.drawingml.chart+xml"/>
  <Override PartName="/xl/charts/chart42.xml" ContentType="application/vnd.openxmlformats-officedocument.drawingml.chart+xml"/>
  <Override PartName="/xl/charts/chart45.xml" ContentType="application/vnd.openxmlformats-officedocument.drawingml.chart+xml"/>
  <Override PartName="/xl/worksheets/sheet12.xml" ContentType="application/vnd.openxmlformats-officedocument.spreadsheetml.worksheet+xml"/>
  <Override PartName="/xl/charts/chart56.xml" ContentType="application/vnd.openxmlformats-officedocument.drawingml.chart+xml"/>
  <Override PartName="/xl/charts/chart59.xml" ContentType="application/vnd.openxmlformats-officedocument.drawingml.chart+xml"/>
  <Override PartName="/xl/charts/chart50.xml" ContentType="application/vnd.openxmlformats-officedocument.drawingml.chart+xml"/>
  <Override PartName="/xl/drawings/drawing3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31.xml" ContentType="application/vnd.openxmlformats-officedocument.drawing+xml"/>
  <Override PartName="/xl/charts/chart57.xml" ContentType="application/vnd.openxmlformats-officedocument.drawingml.chart+xml"/>
  <Override PartName="/xl/drawings/drawing35.xml" ContentType="application/vnd.openxmlformats-officedocument.drawing+xml"/>
  <Override PartName="/xl/charts/chart47.xml" ContentType="application/vnd.openxmlformats-officedocument.drawingml.chart+xml"/>
  <Override PartName="/xl/charts/chart61.xml" ContentType="application/vnd.openxmlformats-officedocument.drawingml.chart+xml"/>
  <Override PartName="/xl/charts/chart46.xml" ContentType="application/vnd.openxmlformats-officedocument.drawingml.chart+xml"/>
  <Override PartName="/xl/worksheets/sheet13.xml" ContentType="application/vnd.openxmlformats-officedocument.spreadsheetml.worksheet+xml"/>
  <Override PartName="/xl/drawings/drawing32.xml" ContentType="application/vnd.openxmlformats-officedocument.drawing+xml"/>
  <Override PartName="/xl/charts/chart60.xml" ContentType="application/vnd.openxmlformats-officedocument.drawingml.chart+xml"/>
  <Override PartName="/xl/drawings/drawing29.xml" ContentType="application/vnd.openxmlformats-officedocument.drawing+xml"/>
  <Override PartName="/xl/drawings/drawing40.xml" ContentType="application/vnd.openxmlformats-officedocument.drawing+xml"/>
  <Override PartName="/xl/charts/chart35.xml" ContentType="application/vnd.openxmlformats-officedocument.drawingml.chart+xml"/>
  <Override PartName="/xl/charts/chart40.xml" ContentType="application/vnd.openxmlformats-officedocument.drawingml.chart+xml"/>
  <Override PartName="/xl/drawings/drawing44.xml" ContentType="application/vnd.openxmlformats-officedocument.drawing+xml"/>
  <Override PartName="/xl/charts/chart37.xml" ContentType="application/vnd.openxmlformats-officedocument.drawingml.chart+xml"/>
  <Override PartName="/xl/charts/chart69.xml" ContentType="application/vnd.openxmlformats-officedocument.drawingml.chart+xml"/>
  <Override PartName="/xl/charts/chart65.xml" ContentType="application/vnd.openxmlformats-officedocument.drawingml.chart+xml"/>
  <Override PartName="/xl/charts/chart68.xml" ContentType="application/vnd.openxmlformats-officedocument.drawingml.chart+xml"/>
  <Override PartName="/xl/charts/chart36.xml" ContentType="application/vnd.openxmlformats-officedocument.drawingml.chart+xml"/>
  <Override PartName="/xl/charts/chart70.xml" ContentType="application/vnd.openxmlformats-officedocument.drawingml.chart+xml"/>
  <Override PartName="/xl/drawings/drawing23.xml" ContentType="application/vnd.openxmlformats-officedocument.drawing+xml"/>
  <Override PartName="/xl/charts/chart73.xml" ContentType="application/vnd.openxmlformats-officedocument.drawingml.chart+xml"/>
  <Override PartName="/xl/drawings/drawing45.xml" ContentType="application/vnd.openxmlformats-officedocument.drawing+xml"/>
  <Override PartName="/xl/charts/chart72.xml" ContentType="application/vnd.openxmlformats-officedocument.drawingml.chart+xml"/>
  <Override PartName="/xl/charts/chart71.xml" ContentType="application/vnd.openxmlformats-officedocument.drawingml.chart+xml"/>
  <Override PartName="/xl/drawings/drawing43.xml" ContentType="application/vnd.openxmlformats-officedocument.drawing+xml"/>
  <Override PartName="/xl/drawings/drawing24.xml" ContentType="application/vnd.openxmlformats-officedocument.drawing+xml"/>
  <Override PartName="/xl/charts/chart67.xml" ContentType="application/vnd.openxmlformats-officedocument.drawingml.chart+xml"/>
  <Override PartName="/xl/charts/colors1.xml" ContentType="application/vnd.ms-office.chartcolorstyle+xml"/>
  <Override PartName="/xl/charts/chart54.xml" ContentType="application/vnd.openxmlformats-officedocument.drawingml.chart+xml"/>
  <Override PartName="/xl/charts/style1.xml" ContentType="application/vnd.ms-office.chartstyle+xml"/>
  <Override PartName="/xl/charts/chart66.xml" ContentType="application/vnd.openxmlformats-officedocument.drawingml.chart+xml"/>
  <Override PartName="/xl/charts/chart39.xml" ContentType="application/vnd.openxmlformats-officedocument.drawingml.chart+xml"/>
  <Override PartName="/xl/charts/chart55.xml" ContentType="application/vnd.openxmlformats-officedocument.drawingml.chart+xml"/>
  <Override PartName="/xl/charts/chart53.xml" ContentType="application/vnd.openxmlformats-officedocument.drawingml.chart+xml"/>
  <Override PartName="/xl/drawings/drawing41.xml" ContentType="application/vnd.openxmlformats-officedocument.drawing+xml"/>
  <Override PartName="/xl/charts/chart38.xml" ContentType="application/vnd.openxmlformats-officedocument.drawingml.chart+xml"/>
  <Override PartName="/xl/drawings/drawing42.xml" ContentType="application/vnd.openxmlformats-officedocument.drawing+xml"/>
  <Override PartName="/xl/drawings/drawing25.xml" ContentType="application/vnd.openxmlformats-officedocument.drawing+xml"/>
  <Override PartName="/xl/externalLinks/externalLink11.xml" ContentType="application/vnd.openxmlformats-officedocument.spreadsheetml.externalLink+xml"/>
  <Override PartName="/xl/externalLinks/externalLink16.xml" ContentType="application/vnd.openxmlformats-officedocument.spreadsheetml.externalLink+xml"/>
  <Override PartName="/xl/externalLinks/externalLink21.xml" ContentType="application/vnd.openxmlformats-officedocument.spreadsheetml.externalLink+xml"/>
  <Override PartName="/xl/externalLinks/externalLink10.xml" ContentType="application/vnd.openxmlformats-officedocument.spreadsheetml.externalLink+xml"/>
  <Override PartName="/xl/externalLinks/externalLink18.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9.xml" ContentType="application/vnd.openxmlformats-officedocument.spreadsheetml.externalLink+xml"/>
  <Override PartName="/xl/externalLinks/externalLink17.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20.xml" ContentType="application/vnd.openxmlformats-officedocument.spreadsheetml.externalLink+xml"/>
  <Override PartName="/xl/externalLinks/externalLink9.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2.xml" ContentType="application/vnd.openxmlformats-officedocument.spreadsheetml.externalLink+xml"/>
  <Override PartName="/xl/externalLinks/externalLink7.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8.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Kenneth.Matlala\Desktop\Development Indicators\"/>
    </mc:Choice>
  </mc:AlternateContent>
  <bookViews>
    <workbookView xWindow="0" yWindow="0" windowWidth="20490" windowHeight="7065" firstSheet="36" activeTab="36"/>
  </bookViews>
  <sheets>
    <sheet name="Intro " sheetId="1" r:id="rId1"/>
    <sheet name="GDP " sheetId="2" r:id="rId2"/>
    <sheet name="GDP per Capita " sheetId="3" r:id="rId3"/>
    <sheet name="NFDI " sheetId="4" r:id="rId4"/>
    <sheet name="GFCF " sheetId="5" r:id="rId5"/>
    <sheet name="B deficit " sheetId="6" r:id="rId6"/>
    <sheet name="G debt " sheetId="7" r:id="rId7"/>
    <sheet name="Interest " sheetId="8" r:id="rId8"/>
    <sheet name="Inflation " sheetId="9" r:id="rId9"/>
    <sheet name="Bondpoints Spread " sheetId="10" r:id="rId10"/>
    <sheet name="R&amp;D " sheetId="11" r:id="rId11"/>
    <sheet name="ICT" sheetId="12" r:id="rId12"/>
    <sheet name="Patents" sheetId="13" r:id="rId13"/>
    <sheet name="Foreign Trade" sheetId="14" r:id="rId14"/>
    <sheet name="Competitiveness " sheetId="15" r:id="rId15"/>
    <sheet name="Knowledge Based Economy " sheetId="16" r:id="rId16"/>
    <sheet name="BM " sheetId="17" r:id="rId17"/>
    <sheet name="Employed " sheetId="19" r:id="rId18"/>
    <sheet name="Unempl" sheetId="18" r:id="rId19"/>
    <sheet name="EPWP " sheetId="20" r:id="rId20"/>
    <sheet name="CWP " sheetId="21" r:id="rId21"/>
    <sheet name="Income" sheetId="23" r:id="rId22"/>
    <sheet name="LSM " sheetId="24" r:id="rId23"/>
    <sheet name="Inequality" sheetId="25" r:id="rId24"/>
    <sheet name="Poverty Headcount" sheetId="26" r:id="rId25"/>
    <sheet name="Poverty Gap indices  " sheetId="27" r:id="rId26"/>
    <sheet name="Grants" sheetId="28" r:id="rId27"/>
    <sheet name="People with disability " sheetId="29" r:id="rId28"/>
    <sheet name="Dwellings" sheetId="68" r:id="rId29"/>
    <sheet name="Water" sheetId="31" r:id="rId30"/>
    <sheet name="Sanitation" sheetId="32" r:id="rId31"/>
    <sheet name="Electricity" sheetId="33" r:id="rId32"/>
    <sheet name="Land restitution" sheetId="35" r:id="rId33"/>
    <sheet name="Land redistribution " sheetId="36" r:id="rId34"/>
    <sheet name="Life Expectancy " sheetId="71" r:id="rId35"/>
    <sheet name="Infant &amp; Child mortality" sheetId="72" r:id="rId36"/>
    <sheet name="Severe Acute Malnutrition" sheetId="73" r:id="rId37"/>
    <sheet name="Immunization" sheetId="74" r:id="rId38"/>
    <sheet name="Martenal mortality" sheetId="75" r:id="rId39"/>
    <sheet name="HIV Prevalance " sheetId="76" r:id="rId40"/>
    <sheet name="ART new TROA" sheetId="77" r:id="rId41"/>
    <sheet name="TB" sheetId="78" r:id="rId42"/>
    <sheet name="Malaria" sheetId="79" r:id="rId43"/>
    <sheet name="ECD" sheetId="38" r:id="rId44"/>
    <sheet name="Educator Learner ratio" sheetId="39" r:id="rId45"/>
    <sheet name="Gender parity index" sheetId="40" r:id="rId46"/>
    <sheet name="Matric pass rate" sheetId="41" r:id="rId47"/>
    <sheet name="Mathematics pass rate" sheetId="42" r:id="rId48"/>
    <sheet name="Literacy rate " sheetId="44" r:id="rId49"/>
    <sheet name="SET Uni" sheetId="46" r:id="rId50"/>
    <sheet name="Educational Perfomance  " sheetId="43" r:id="rId51"/>
    <sheet name="Maths, science perf" sheetId="45" r:id="rId52"/>
    <sheet name="Skills and training" sheetId="47" r:id="rId53"/>
    <sheet name="Civil Society" sheetId="49" r:id="rId54"/>
    <sheet name="Voter Participation" sheetId="50" r:id="rId55"/>
    <sheet name="Voter prov" sheetId="51" r:id="rId56"/>
    <sheet name="Women legislative bodies" sheetId="52" r:id="rId57"/>
    <sheet name="Confident in happy future" sheetId="53" r:id="rId58"/>
    <sheet name="Race relations opinion" sheetId="54" r:id="rId59"/>
    <sheet name="Country direction" sheetId="55" r:id="rId60"/>
    <sheet name="Self description" sheetId="56" r:id="rId61"/>
    <sheet name="Pride in being SA" sheetId="57" r:id="rId62"/>
    <sheet name="Crime Victims " sheetId="94" r:id="rId63"/>
    <sheet name="Contact crime" sheetId="80" r:id="rId64"/>
    <sheet name="Serious robberies" sheetId="81" r:id="rId65"/>
    <sheet name="Drug-Related Crime" sheetId="82" r:id="rId66"/>
    <sheet name="Sexual offences" sheetId="83" r:id="rId67"/>
    <sheet name="Cases in court" sheetId="85" r:id="rId68"/>
    <sheet name="Detainees" sheetId="86" r:id="rId69"/>
    <sheet name="Rehabilitation" sheetId="87" r:id="rId70"/>
    <sheet name="Parolees" sheetId="88" r:id="rId71"/>
    <sheet name="Road Accidents" sheetId="89" r:id="rId72"/>
    <sheet name="Development cooperation" sheetId="90" r:id="rId73"/>
    <sheet name="Tourism" sheetId="91" r:id="rId74"/>
    <sheet name="Missions" sheetId="92" r:id="rId75"/>
    <sheet name="International Agreements" sheetId="93" r:id="rId76"/>
    <sheet name="Tax Admin" sheetId="58" r:id="rId77"/>
    <sheet name="Qualified Audits" sheetId="59" r:id="rId78"/>
    <sheet name="Corruption" sheetId="60" r:id="rId79"/>
    <sheet name="Budget Process" sheetId="61" r:id="rId80"/>
    <sheet name="Public Opinion" sheetId="62" r:id="rId81"/>
    <sheet name="Doing business" sheetId="63" r:id="rId82"/>
    <sheet name="Gas Emission " sheetId="64" r:id="rId83"/>
    <sheet name="Air Quality" sheetId="65" r:id="rId84"/>
    <sheet name="Terrestrial BPI" sheetId="66" r:id="rId85"/>
    <sheet name="Marine PAs" sheetId="67"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s>
  <definedNames>
    <definedName name="_AMO_UniqueIdentifier" hidden="1">"'96803818-9363-4ac2-8db8-841b60aa1c62'"</definedName>
    <definedName name="_msocom_4" localSheetId="41">TB!$N$17</definedName>
    <definedName name="OLE_LINK1" localSheetId="83">'Air Quality'!#REF!</definedName>
    <definedName name="OLE_LINK1" localSheetId="82">'Gas Emission '!#REF!</definedName>
    <definedName name="OLE_LINK1" localSheetId="85">'Marine PAs'!#REF!</definedName>
    <definedName name="OLE_LINK1" localSheetId="84">'Terrestrial BPI'!#REF!</definedName>
    <definedName name="_xlnm.Print_Area" localSheetId="83">'Air Quality'!$A$1:$O$48</definedName>
    <definedName name="_xlnm.Print_Area" localSheetId="40">'ART new TROA'!$A$1:$W$34</definedName>
    <definedName name="_xlnm.Print_Area" localSheetId="5">'B deficit '!$A$1:$AB$35</definedName>
    <definedName name="_xlnm.Print_Area" localSheetId="16">'BM '!$A$1:$U$37</definedName>
    <definedName name="_xlnm.Print_Area" localSheetId="9">'Bondpoints Spread '!$A$1:$Y$31</definedName>
    <definedName name="_xlnm.Print_Area" localSheetId="79">'Budget Process'!$A$1:$AF$43</definedName>
    <definedName name="_xlnm.Print_Area" localSheetId="67">'Cases in court'!$A$1:$S$34</definedName>
    <definedName name="_xlnm.Print_Area" localSheetId="53">'Civil Society'!$A$1:$U$45</definedName>
    <definedName name="_xlnm.Print_Area" localSheetId="14">'Competitiveness '!$A$1:$R$132</definedName>
    <definedName name="_xlnm.Print_Area" localSheetId="57">'Confident in happy future'!$A$1:$AK$32</definedName>
    <definedName name="_xlnm.Print_Area" localSheetId="63">'Contact crime'!$A$1:$Y$44</definedName>
    <definedName name="_xlnm.Print_Area" localSheetId="78">Corruption!$A$1:$X$38</definedName>
    <definedName name="_xlnm.Print_Area" localSheetId="59">'Country direction'!$A$1:$P$35</definedName>
    <definedName name="_xlnm.Print_Area" localSheetId="62">'Crime Victims '!$A$1:$S$58</definedName>
    <definedName name="_xlnm.Print_Area" localSheetId="20">'CWP '!$A$1:$P$23</definedName>
    <definedName name="_xlnm.Print_Area" localSheetId="68">Detainees!$A$1:$Z$57</definedName>
    <definedName name="_xlnm.Print_Area" localSheetId="72">'Development cooperation'!$A$1:$V$38</definedName>
    <definedName name="_xlnm.Print_Area" localSheetId="81">'Doing business'!$A$1:$S$40</definedName>
    <definedName name="_xlnm.Print_Area" localSheetId="65">'Drug-Related Crime'!$A$1:$T$50</definedName>
    <definedName name="_xlnm.Print_Area" localSheetId="28">Dwellings!$A$1:$AB$49</definedName>
    <definedName name="_xlnm.Print_Area" localSheetId="43">ECD!$A$1:$T$53</definedName>
    <definedName name="_xlnm.Print_Area" localSheetId="50">'Educational Perfomance  '!$A$1:$T$34</definedName>
    <definedName name="_xlnm.Print_Area" localSheetId="44">'Educator Learner ratio'!$A$1:$V$47</definedName>
    <definedName name="_xlnm.Print_Area" localSheetId="31">Electricity!$A$1:$AU$55</definedName>
    <definedName name="_xlnm.Print_Area" localSheetId="17">'Employed '!$A$1:$T$56</definedName>
    <definedName name="_xlnm.Print_Area" localSheetId="19">'EPWP '!$A$1:$P$45</definedName>
    <definedName name="_xlnm.Print_Area" localSheetId="13">'Foreign Trade'!$A$1:$AA$39</definedName>
    <definedName name="_xlnm.Print_Area" localSheetId="6">'G debt '!$A$1:$AB$32</definedName>
    <definedName name="_xlnm.Print_Area" localSheetId="82">'Gas Emission '!$A$1:$R$47</definedName>
    <definedName name="_xlnm.Print_Area" localSheetId="1">'GDP '!$A$1:$AB$59</definedName>
    <definedName name="_xlnm.Print_Area" localSheetId="2">'GDP per Capita '!$A$1:$AB$61</definedName>
    <definedName name="_xlnm.Print_Area" localSheetId="45">'Gender parity index'!$A$1:$W$61</definedName>
    <definedName name="_xlnm.Print_Area" localSheetId="4">'GFCF '!$A$1:$AB$33</definedName>
    <definedName name="_xlnm.Print_Area" localSheetId="26">Grants!$A$1:$BC$54</definedName>
    <definedName name="_xlnm.Print_Area" localSheetId="39">'HIV Prevalance '!$A$1:$AA$59</definedName>
    <definedName name="_xlnm.Print_Area" localSheetId="11">ICT!$A$1:$U$42</definedName>
    <definedName name="_xlnm.Print_Area" localSheetId="37">Immunization!$A$1:$X$41</definedName>
    <definedName name="_xlnm.Print_Area" localSheetId="21">Income!$A$1:$AD$77</definedName>
    <definedName name="_xlnm.Print_Area" localSheetId="23">Inequality!$A$1:$T$100</definedName>
    <definedName name="_xlnm.Print_Area" localSheetId="35">'Infant &amp; Child mortality'!$A$1:$X$36</definedName>
    <definedName name="_xlnm.Print_Area" localSheetId="8">'Inflation '!$A$1:$AB$41</definedName>
    <definedName name="_xlnm.Print_Area" localSheetId="7">'Interest '!$A$1:$AA$37</definedName>
    <definedName name="_xlnm.Print_Area" localSheetId="75">'International Agreements'!$A$1:$U$40</definedName>
    <definedName name="_xlnm.Print_Area" localSheetId="0">'Intro '!$A$1:$R$51</definedName>
    <definedName name="_xlnm.Print_Area" localSheetId="15">'Knowledge Based Economy '!$A$1:$K$29</definedName>
    <definedName name="_xlnm.Print_Area" localSheetId="33">'Land redistribution '!$A$1:$AC$47</definedName>
    <definedName name="_xlnm.Print_Area" localSheetId="32">'Land restitution'!$A$1:$AA$55</definedName>
    <definedName name="_xlnm.Print_Area" localSheetId="34">'Life Expectancy '!$A$1:$W$53</definedName>
    <definedName name="_xlnm.Print_Area" localSheetId="48">'Literacy rate '!$A$1:$Z$49</definedName>
    <definedName name="_xlnm.Print_Area" localSheetId="22">'LSM '!$A$1:$AI$98</definedName>
    <definedName name="_xlnm.Print_Area" localSheetId="42">Malaria!$A$1:$Y$33</definedName>
    <definedName name="_xlnm.Print_Area" localSheetId="85">'Marine PAs'!$A$1:$O$48</definedName>
    <definedName name="_xlnm.Print_Area" localSheetId="38">'Martenal mortality'!$A$1:$V$37</definedName>
    <definedName name="_xlnm.Print_Area" localSheetId="47">'Mathematics pass rate'!$A$1:$AA$34</definedName>
    <definedName name="_xlnm.Print_Area" localSheetId="51">'Maths, science perf'!$A$1:$R$42</definedName>
    <definedName name="_xlnm.Print_Area" localSheetId="46">'Matric pass rate'!$A$1:$AC$48</definedName>
    <definedName name="_xlnm.Print_Area" localSheetId="74">Missions!$A$1:$T$52</definedName>
    <definedName name="_xlnm.Print_Area" localSheetId="3">'NFDI '!$A$1:$AB$33</definedName>
    <definedName name="_xlnm.Print_Area" localSheetId="70">Parolees!$A$1:$Z$42</definedName>
    <definedName name="_xlnm.Print_Area" localSheetId="12">Patents!$A$1:$Z$60</definedName>
    <definedName name="_xlnm.Print_Area" localSheetId="27">'People with disability '!$A$1:$AL$44</definedName>
    <definedName name="_xlnm.Print_Area" localSheetId="25">'Poverty Gap indices  '!$A$1:$Q$55</definedName>
    <definedName name="_xlnm.Print_Area" localSheetId="24">'Poverty Headcount'!$A$1:$X$43</definedName>
    <definedName name="_xlnm.Print_Area" localSheetId="61">'Pride in being SA'!$A$1:$AJ$34</definedName>
    <definedName name="_xlnm.Print_Area" localSheetId="80">'Public Opinion'!$A$1:$AK$45</definedName>
    <definedName name="_xlnm.Print_Area" localSheetId="77">'Qualified Audits'!$A$1:$U$43</definedName>
    <definedName name="_xlnm.Print_Area" localSheetId="10">'R&amp;D '!$A$1:$T$49</definedName>
    <definedName name="_xlnm.Print_Area" localSheetId="58">'Race relations opinion'!$A$1:$AK$34</definedName>
    <definedName name="_xlnm.Print_Area" localSheetId="69">Rehabilitation!$A$1:$Y$47</definedName>
    <definedName name="_xlnm.Print_Area" localSheetId="71">'Road Accidents'!$A$1:$AA$37</definedName>
    <definedName name="_xlnm.Print_Area" localSheetId="30">Sanitation!$A$2:$AU$55</definedName>
    <definedName name="_xlnm.Print_Area" localSheetId="60">'Self description'!$A$1:$N$33</definedName>
    <definedName name="_xlnm.Print_Area" localSheetId="64">'Serious robberies'!$A$1:$T$42</definedName>
    <definedName name="_xlnm.Print_Area" localSheetId="49">'SET Uni'!$A$1:$AA$46</definedName>
    <definedName name="_xlnm.Print_Area" localSheetId="36">'Severe Acute Malnutrition'!$A$1:$W$89</definedName>
    <definedName name="_xlnm.Print_Area" localSheetId="66">'Sexual offences'!$A$1:$Q$50</definedName>
    <definedName name="_xlnm.Print_Area" localSheetId="52">'Skills and training'!$A$1:$Q$35</definedName>
    <definedName name="_xlnm.Print_Area" localSheetId="76">'Tax Admin'!$A$1:$Z$49</definedName>
    <definedName name="_xlnm.Print_Area" localSheetId="41">TB!$A$1:$Z$48</definedName>
    <definedName name="_xlnm.Print_Area" localSheetId="84">'Terrestrial BPI'!$A$1:$O$48</definedName>
    <definedName name="_xlnm.Print_Area" localSheetId="73">Tourism!$A$1:$V$53</definedName>
    <definedName name="_xlnm.Print_Area" localSheetId="18">Unempl!$A$1:$T$70</definedName>
    <definedName name="_xlnm.Print_Area" localSheetId="54">'Voter Participation'!$A$1:$AB$26</definedName>
    <definedName name="_xlnm.Print_Area" localSheetId="55">'Voter prov'!$A$1:$T$40</definedName>
    <definedName name="_xlnm.Print_Area" localSheetId="29">Water!$A$1:$BW$58</definedName>
    <definedName name="_xlnm.Print_Area" localSheetId="56">'Women legislative bodies'!$A$1:$AF$40</definedName>
    <definedName name="Z_3C387070_FAB5_453F_8FD1_D96D91C5600B_.wvu.PrintArea" localSheetId="33" hidden="1">'Land redistribution '!$A$1:$Z$46</definedName>
    <definedName name="Z_3C387070_FAB5_453F_8FD1_D96D91C5600B_.wvu.PrintArea" localSheetId="32" hidden="1">'Land restitution'!$A$1:$X$54</definedName>
    <definedName name="Z_8BF1E157_35CB_4DD8_A2C7_E00CDEDBE1EA_.wvu.PrintArea" localSheetId="33" hidden="1">'Land redistribution '!$A$1:$Z$46</definedName>
    <definedName name="Z_8BF1E157_35CB_4DD8_A2C7_E00CDEDBE1EA_.wvu.PrintArea" localSheetId="32" hidden="1">'Land restitution'!$A$1:$X$54</definedName>
    <definedName name="Z_AC293C0C_6A7E_4E08_8902_A017C77E0B74_.wvu.PrintArea" localSheetId="17" hidden="1">'Employed '!$A$1:$J$54</definedName>
    <definedName name="Z_AC293C0C_6A7E_4E08_8902_A017C77E0B74_.wvu.PrintArea" localSheetId="18" hidden="1">Unempl!$A$1:$K$68</definedName>
    <definedName name="Z_C51F81C0_24A3_4F91_8877_BF313FC578AF_.wvu.PrintArea" localSheetId="17" hidden="1">'Employed '!$A$1:$J$54</definedName>
    <definedName name="Z_C51F81C0_24A3_4F91_8877_BF313FC578AF_.wvu.PrintArea" localSheetId="18" hidden="1">Unempl!$A$1:$K$68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 i="77" l="1"/>
  <c r="H13" i="77"/>
  <c r="I13" i="77"/>
  <c r="J13" i="77"/>
  <c r="K13" i="77"/>
  <c r="L13" i="77"/>
  <c r="M13" i="77"/>
  <c r="N13" i="77"/>
  <c r="O13" i="77"/>
  <c r="P13" i="77"/>
  <c r="Q13" i="77"/>
  <c r="F13" i="77"/>
  <c r="C2" i="94" l="1"/>
  <c r="T70" i="92" l="1"/>
  <c r="S70" i="92"/>
  <c r="Q70" i="92"/>
  <c r="O70" i="92"/>
  <c r="M70" i="92"/>
  <c r="L70" i="92"/>
  <c r="K70" i="92"/>
  <c r="J70" i="92"/>
  <c r="P30" i="92"/>
  <c r="O30" i="92"/>
  <c r="N30" i="92"/>
  <c r="L30" i="92"/>
  <c r="J30" i="92"/>
  <c r="I30" i="92"/>
  <c r="H30" i="92"/>
  <c r="G30" i="92"/>
  <c r="R17" i="92"/>
  <c r="Q17" i="92"/>
  <c r="P17" i="92"/>
  <c r="O17" i="92"/>
  <c r="R13" i="92"/>
  <c r="Q13" i="92"/>
  <c r="P13" i="92"/>
  <c r="O13" i="92"/>
  <c r="N13" i="92"/>
  <c r="S23" i="91"/>
  <c r="R23" i="91"/>
  <c r="Q23" i="91"/>
  <c r="P23" i="91"/>
  <c r="O23" i="91"/>
  <c r="N23" i="91"/>
  <c r="M23" i="91"/>
  <c r="L23" i="91"/>
  <c r="K23" i="91"/>
  <c r="J23" i="91"/>
  <c r="I23" i="91"/>
  <c r="P11" i="90"/>
  <c r="O11" i="90"/>
  <c r="N11" i="90"/>
  <c r="L11" i="90"/>
  <c r="K11" i="90"/>
  <c r="J11" i="90"/>
  <c r="I11" i="90"/>
  <c r="H11" i="90"/>
  <c r="G11" i="90"/>
  <c r="F11" i="90"/>
  <c r="E11" i="90"/>
  <c r="C2" i="91"/>
  <c r="C2" i="92" s="1"/>
  <c r="C2" i="93" s="1"/>
  <c r="Z12" i="89" l="1"/>
  <c r="Y12" i="89"/>
  <c r="X12" i="89"/>
  <c r="W12" i="89"/>
  <c r="V12" i="89"/>
  <c r="U12" i="89"/>
  <c r="T12" i="89"/>
  <c r="S12" i="89"/>
  <c r="R12" i="89"/>
  <c r="Q12" i="89"/>
  <c r="P12" i="89"/>
  <c r="O12" i="89"/>
  <c r="N12" i="89"/>
  <c r="M12" i="89"/>
  <c r="L12" i="89"/>
  <c r="K12" i="89"/>
  <c r="J12" i="89"/>
  <c r="I12" i="89"/>
  <c r="H12" i="89"/>
  <c r="G12" i="89"/>
  <c r="F12" i="89"/>
  <c r="E12" i="89"/>
  <c r="V11" i="89"/>
  <c r="U11" i="89"/>
  <c r="T11" i="89"/>
  <c r="S11" i="89"/>
  <c r="R11" i="89"/>
  <c r="Q11" i="89"/>
  <c r="P11" i="89"/>
  <c r="O11" i="89"/>
  <c r="N11" i="89"/>
  <c r="M11" i="89"/>
  <c r="L11" i="89"/>
  <c r="K11" i="89"/>
  <c r="J11" i="89"/>
  <c r="I11" i="89"/>
  <c r="H11" i="89"/>
  <c r="G11" i="89"/>
  <c r="F11" i="89"/>
  <c r="E11" i="89"/>
  <c r="AB10" i="89"/>
  <c r="V10" i="89"/>
  <c r="U10" i="89"/>
  <c r="T10" i="89"/>
  <c r="S10" i="89"/>
  <c r="R10" i="89"/>
  <c r="Q10" i="89"/>
  <c r="P10" i="89"/>
  <c r="O10" i="89"/>
  <c r="N10" i="89"/>
  <c r="M10" i="89"/>
  <c r="L10" i="89"/>
  <c r="K10" i="89"/>
  <c r="J10" i="89"/>
  <c r="I10" i="89"/>
  <c r="H10" i="89"/>
  <c r="G10" i="89"/>
  <c r="F10" i="89"/>
  <c r="E10" i="89"/>
  <c r="X18" i="88"/>
  <c r="W18" i="88"/>
  <c r="V18" i="88"/>
  <c r="U18" i="88"/>
  <c r="T18" i="88"/>
  <c r="S18" i="88"/>
  <c r="R18" i="88"/>
  <c r="Q18" i="88"/>
  <c r="P18" i="88"/>
  <c r="O18" i="88"/>
  <c r="N18" i="88"/>
  <c r="M18" i="88"/>
  <c r="L18" i="88"/>
  <c r="K18" i="88"/>
  <c r="J18" i="88"/>
  <c r="I18" i="88"/>
  <c r="H18" i="88"/>
  <c r="G18" i="88"/>
  <c r="F18" i="88"/>
  <c r="X11" i="88"/>
  <c r="W11" i="88"/>
  <c r="V11" i="88"/>
  <c r="U11" i="88"/>
  <c r="T11" i="88"/>
  <c r="S11" i="88"/>
  <c r="R11" i="88"/>
  <c r="Q11" i="88"/>
  <c r="P11" i="88"/>
  <c r="O11" i="88"/>
  <c r="N11" i="88"/>
  <c r="M11" i="88"/>
  <c r="L11" i="88"/>
  <c r="K11" i="88"/>
  <c r="J11" i="88"/>
  <c r="I11" i="88"/>
  <c r="H11" i="88"/>
  <c r="G11" i="88"/>
  <c r="F11" i="88"/>
  <c r="U24" i="87"/>
  <c r="T24" i="87"/>
  <c r="S24" i="87"/>
  <c r="R24" i="87"/>
  <c r="Q24" i="87"/>
  <c r="P24" i="87"/>
  <c r="O24" i="87"/>
  <c r="N24" i="87"/>
  <c r="M24" i="87"/>
  <c r="L24" i="87"/>
  <c r="K24" i="87"/>
  <c r="J24" i="87"/>
  <c r="I24" i="87"/>
  <c r="H24" i="87"/>
  <c r="G24" i="87"/>
  <c r="F24" i="87"/>
  <c r="E24" i="87"/>
  <c r="X18" i="87"/>
  <c r="W18" i="87"/>
  <c r="V18" i="87"/>
  <c r="U18" i="87"/>
  <c r="T18" i="87"/>
  <c r="S18" i="87"/>
  <c r="R18" i="87"/>
  <c r="Q18" i="87"/>
  <c r="P18" i="87"/>
  <c r="O18" i="87"/>
  <c r="N18" i="87"/>
  <c r="M18" i="87"/>
  <c r="L18" i="87"/>
  <c r="K18" i="87"/>
  <c r="J18" i="87"/>
  <c r="I18" i="87"/>
  <c r="H18" i="87"/>
  <c r="G18" i="87"/>
  <c r="F18" i="87"/>
  <c r="E18" i="87"/>
  <c r="X10" i="87"/>
  <c r="W10" i="87"/>
  <c r="V10" i="87"/>
  <c r="U10" i="87"/>
  <c r="T10" i="87"/>
  <c r="S10" i="87"/>
  <c r="R10" i="87"/>
  <c r="Q10" i="87"/>
  <c r="P10" i="87"/>
  <c r="O10" i="87"/>
  <c r="N10" i="87"/>
  <c r="M10" i="87"/>
  <c r="L10" i="87"/>
  <c r="K10" i="87"/>
  <c r="J10" i="87"/>
  <c r="I10" i="87"/>
  <c r="H10" i="87"/>
  <c r="G10" i="87"/>
  <c r="X13" i="86"/>
  <c r="W13" i="86"/>
  <c r="V13" i="86"/>
  <c r="U13" i="86"/>
  <c r="T13" i="86"/>
  <c r="S13" i="86"/>
  <c r="R13" i="86"/>
  <c r="Q13" i="86"/>
  <c r="P13" i="86"/>
  <c r="O13" i="86"/>
  <c r="N13" i="86"/>
  <c r="M13" i="86"/>
  <c r="L13" i="86"/>
  <c r="K13" i="86"/>
  <c r="J13" i="86"/>
  <c r="I13" i="86"/>
  <c r="H13" i="86"/>
  <c r="G13" i="86"/>
  <c r="F13" i="86"/>
  <c r="E13" i="86"/>
  <c r="N28" i="85"/>
  <c r="M28" i="85"/>
  <c r="P23" i="85"/>
  <c r="R23" i="85" s="1"/>
  <c r="M23" i="85"/>
  <c r="L23" i="85"/>
  <c r="K23" i="85"/>
  <c r="J23" i="85"/>
  <c r="I23" i="85"/>
  <c r="H23" i="85"/>
  <c r="G23" i="85"/>
  <c r="F23" i="85"/>
  <c r="E23" i="85"/>
  <c r="R22" i="85"/>
  <c r="L22" i="85"/>
  <c r="K22" i="85"/>
  <c r="J22" i="85"/>
  <c r="R21" i="85"/>
  <c r="R20" i="85"/>
  <c r="L20" i="85"/>
  <c r="K20" i="85"/>
  <c r="J20" i="85"/>
  <c r="I20" i="85"/>
  <c r="H20" i="85"/>
  <c r="G20" i="85"/>
  <c r="F20" i="85"/>
  <c r="E20" i="85"/>
  <c r="Q19" i="85"/>
  <c r="R19" i="85" s="1"/>
  <c r="L19" i="85"/>
  <c r="K19" i="85"/>
  <c r="J19" i="85"/>
  <c r="Q18" i="85"/>
  <c r="R18" i="85" s="1"/>
  <c r="Q17" i="85"/>
  <c r="R17" i="85" s="1"/>
  <c r="L17" i="85"/>
  <c r="K17" i="85"/>
  <c r="J17" i="85"/>
  <c r="I17" i="85"/>
  <c r="H17" i="85"/>
  <c r="G17" i="85"/>
  <c r="F17" i="85"/>
  <c r="E17" i="85"/>
  <c r="Q16" i="85"/>
  <c r="P16" i="85"/>
  <c r="M16" i="85"/>
  <c r="L16" i="85"/>
  <c r="K16" i="85"/>
  <c r="J16" i="85"/>
  <c r="I16" i="85"/>
  <c r="H16" i="85"/>
  <c r="G16" i="85"/>
  <c r="F16" i="85"/>
  <c r="E16" i="85"/>
  <c r="Q15" i="85"/>
  <c r="R15" i="85" s="1"/>
  <c r="Q14" i="85"/>
  <c r="R14" i="85" s="1"/>
  <c r="L14" i="85"/>
  <c r="L13" i="85" s="1"/>
  <c r="K14" i="85"/>
  <c r="K13" i="85" s="1"/>
  <c r="J14" i="85"/>
  <c r="I14" i="85"/>
  <c r="I13" i="85" s="1"/>
  <c r="H14" i="85"/>
  <c r="H13" i="85" s="1"/>
  <c r="G14" i="85"/>
  <c r="G13" i="85" s="1"/>
  <c r="F14" i="85"/>
  <c r="F13" i="85" s="1"/>
  <c r="E14" i="85"/>
  <c r="Q13" i="85"/>
  <c r="P13" i="85"/>
  <c r="O13" i="85"/>
  <c r="O28" i="85" s="1"/>
  <c r="M13" i="85"/>
  <c r="J13" i="85"/>
  <c r="E13" i="85"/>
  <c r="Q12" i="85"/>
  <c r="Q11" i="85" s="1"/>
  <c r="R11" i="85" s="1"/>
  <c r="P12" i="85"/>
  <c r="P11" i="85" s="1"/>
  <c r="P10" i="85" s="1"/>
  <c r="M12" i="85"/>
  <c r="L12" i="85"/>
  <c r="K12" i="85"/>
  <c r="K11" i="85" s="1"/>
  <c r="K10" i="85" s="1"/>
  <c r="J12" i="85"/>
  <c r="J11" i="85" s="1"/>
  <c r="J10" i="85" s="1"/>
  <c r="I12" i="85"/>
  <c r="H12" i="85"/>
  <c r="G12" i="85"/>
  <c r="F12" i="85"/>
  <c r="F11" i="85" s="1"/>
  <c r="F10" i="85" s="1"/>
  <c r="E12" i="85"/>
  <c r="O11" i="85"/>
  <c r="O10" i="85" s="1"/>
  <c r="N11" i="85"/>
  <c r="N10" i="85"/>
  <c r="Q9" i="85"/>
  <c r="R9" i="85" s="1"/>
  <c r="P9" i="85"/>
  <c r="M9" i="85"/>
  <c r="L9" i="85"/>
  <c r="K9" i="85"/>
  <c r="J9" i="85"/>
  <c r="I9" i="85"/>
  <c r="H9" i="85"/>
  <c r="G9" i="85"/>
  <c r="F9" i="85"/>
  <c r="E9" i="85"/>
  <c r="P44" i="83"/>
  <c r="P43" i="83"/>
  <c r="P42" i="83"/>
  <c r="P41" i="83"/>
  <c r="P40" i="83"/>
  <c r="P39" i="83"/>
  <c r="P38" i="83"/>
  <c r="P37" i="83"/>
  <c r="P36" i="83"/>
  <c r="P35" i="83"/>
  <c r="P44" i="82"/>
  <c r="P43" i="82"/>
  <c r="P42" i="82"/>
  <c r="P41" i="82"/>
  <c r="P40" i="82"/>
  <c r="P39" i="82"/>
  <c r="P38" i="82"/>
  <c r="P37" i="82"/>
  <c r="P36" i="82"/>
  <c r="P35" i="82"/>
  <c r="E18" i="82"/>
  <c r="O65" i="81"/>
  <c r="N65" i="81"/>
  <c r="M65" i="81"/>
  <c r="L65" i="81"/>
  <c r="K65" i="81"/>
  <c r="J65" i="81"/>
  <c r="I65" i="81"/>
  <c r="H65" i="81"/>
  <c r="G65" i="81"/>
  <c r="F65" i="81"/>
  <c r="O64" i="81"/>
  <c r="N64" i="81"/>
  <c r="M64" i="81"/>
  <c r="L64" i="81"/>
  <c r="K64" i="81"/>
  <c r="J64" i="81"/>
  <c r="I64" i="81"/>
  <c r="H64" i="81"/>
  <c r="G64" i="81"/>
  <c r="F64" i="81"/>
  <c r="O63" i="81"/>
  <c r="N63" i="81"/>
  <c r="M63" i="81"/>
  <c r="L63" i="81"/>
  <c r="K63" i="81"/>
  <c r="J63" i="81"/>
  <c r="I63" i="81"/>
  <c r="H63" i="81"/>
  <c r="G63" i="81"/>
  <c r="F63" i="81"/>
  <c r="N62" i="81"/>
  <c r="M62" i="81"/>
  <c r="L62" i="81"/>
  <c r="K62" i="81"/>
  <c r="J62" i="81"/>
  <c r="I62" i="81"/>
  <c r="H62" i="81"/>
  <c r="G62" i="81"/>
  <c r="F62" i="81"/>
  <c r="O61" i="81"/>
  <c r="N61" i="81"/>
  <c r="M61" i="81"/>
  <c r="L61" i="81"/>
  <c r="K61" i="81"/>
  <c r="J61" i="81"/>
  <c r="I61" i="81"/>
  <c r="H61" i="81"/>
  <c r="G61" i="81"/>
  <c r="F61" i="81"/>
  <c r="O60" i="81"/>
  <c r="N60" i="81"/>
  <c r="M60" i="81"/>
  <c r="L60" i="81"/>
  <c r="K60" i="81"/>
  <c r="J60" i="81"/>
  <c r="I60" i="81"/>
  <c r="H60" i="81"/>
  <c r="G60" i="81"/>
  <c r="F60" i="81"/>
  <c r="O59" i="81"/>
  <c r="N59" i="81"/>
  <c r="M59" i="81"/>
  <c r="L59" i="81"/>
  <c r="K59" i="81"/>
  <c r="J59" i="81"/>
  <c r="I59" i="81"/>
  <c r="H59" i="81"/>
  <c r="G59" i="81"/>
  <c r="F59" i="81"/>
  <c r="R14" i="81"/>
  <c r="R13" i="81"/>
  <c r="R12" i="81"/>
  <c r="R11" i="81"/>
  <c r="R10" i="81"/>
  <c r="R9" i="81"/>
  <c r="R8" i="81"/>
  <c r="C2" i="81"/>
  <c r="C2" i="82" s="1"/>
  <c r="C2" i="83" s="1"/>
  <c r="C2" i="86" s="1"/>
  <c r="C2" i="87" s="1"/>
  <c r="C2" i="88" s="1"/>
  <c r="C2" i="89" s="1"/>
  <c r="W16" i="80"/>
  <c r="V16" i="80"/>
  <c r="U16" i="80"/>
  <c r="T16" i="80"/>
  <c r="S16" i="80"/>
  <c r="R16" i="80"/>
  <c r="Q16" i="80"/>
  <c r="P16" i="80"/>
  <c r="O16" i="80"/>
  <c r="N16" i="80"/>
  <c r="C2" i="80"/>
  <c r="P28" i="85" l="1"/>
  <c r="R13" i="85"/>
  <c r="G11" i="85"/>
  <c r="G10" i="85" s="1"/>
  <c r="R16" i="85"/>
  <c r="E11" i="85"/>
  <c r="E10" i="85" s="1"/>
  <c r="I11" i="85"/>
  <c r="I10" i="85" s="1"/>
  <c r="M11" i="85"/>
  <c r="M10" i="85" s="1"/>
  <c r="R12" i="85"/>
  <c r="H11" i="85"/>
  <c r="H10" i="85" s="1"/>
  <c r="L11" i="85"/>
  <c r="L10" i="85" s="1"/>
  <c r="Q10" i="85"/>
  <c r="R10" i="85" s="1"/>
  <c r="AD93" i="79" l="1"/>
  <c r="AD79" i="79"/>
  <c r="Z63" i="79"/>
  <c r="Y63" i="79"/>
  <c r="X63" i="79"/>
  <c r="W63" i="79"/>
  <c r="V63" i="79"/>
  <c r="U63" i="79"/>
  <c r="T63" i="79"/>
  <c r="S63" i="79"/>
  <c r="R63" i="79"/>
  <c r="Q63" i="79"/>
  <c r="P63" i="79"/>
  <c r="O63" i="79"/>
  <c r="N63" i="79"/>
  <c r="M63" i="79"/>
  <c r="L63" i="79"/>
  <c r="K63" i="79"/>
  <c r="J63" i="79"/>
  <c r="I63" i="79"/>
  <c r="H63" i="79"/>
  <c r="G63" i="79"/>
  <c r="F63" i="79"/>
  <c r="E63" i="79"/>
  <c r="D63" i="79"/>
  <c r="C63" i="79"/>
  <c r="AB59" i="79"/>
  <c r="AC59" i="79" s="1"/>
  <c r="AA59" i="79"/>
  <c r="AB58" i="79"/>
  <c r="AC58" i="79" s="1"/>
  <c r="AA58" i="79"/>
  <c r="AC57" i="79"/>
  <c r="AB57" i="79"/>
  <c r="AA57" i="79"/>
  <c r="AB56" i="79"/>
  <c r="AC56" i="79" s="1"/>
  <c r="AA56" i="79"/>
  <c r="AA63" i="79" s="1"/>
  <c r="Z48" i="79"/>
  <c r="Y48" i="79"/>
  <c r="X48" i="79"/>
  <c r="W48" i="79"/>
  <c r="V48" i="79"/>
  <c r="U48" i="79"/>
  <c r="T48" i="79"/>
  <c r="S48" i="79"/>
  <c r="R48" i="79"/>
  <c r="Q48" i="79"/>
  <c r="P48" i="79"/>
  <c r="O48" i="79"/>
  <c r="N48" i="79"/>
  <c r="M48" i="79"/>
  <c r="L48" i="79"/>
  <c r="K48" i="79"/>
  <c r="J48" i="79"/>
  <c r="I48" i="79"/>
  <c r="H48" i="79"/>
  <c r="G48" i="79"/>
  <c r="F48" i="79"/>
  <c r="E48" i="79"/>
  <c r="D48" i="79"/>
  <c r="C48" i="79"/>
  <c r="AC47" i="79"/>
  <c r="AC46" i="79"/>
  <c r="AB44" i="79"/>
  <c r="AC44" i="79" s="1"/>
  <c r="AA44" i="79"/>
  <c r="AB43" i="79"/>
  <c r="AC43" i="79" s="1"/>
  <c r="AA43" i="79"/>
  <c r="AA48" i="79" s="1"/>
  <c r="AB42" i="79"/>
  <c r="AA42" i="79"/>
  <c r="AC42" i="79" s="1"/>
  <c r="AC41" i="79"/>
  <c r="AB41" i="79"/>
  <c r="AA41" i="79"/>
  <c r="C2" i="76"/>
  <c r="C2" i="77" s="1"/>
  <c r="C2" i="78" s="1"/>
  <c r="C2" i="79" s="1"/>
  <c r="C12" i="75"/>
  <c r="C2" i="74"/>
  <c r="C2" i="75" s="1"/>
  <c r="D9" i="73"/>
  <c r="C2" i="72"/>
  <c r="C2" i="71"/>
  <c r="AB63" i="79" l="1"/>
  <c r="AC63" i="79" s="1"/>
  <c r="AB48" i="79"/>
  <c r="AC48" i="79" s="1"/>
  <c r="X43" i="68" l="1"/>
  <c r="V43" i="68"/>
  <c r="T43" i="68"/>
  <c r="R43" i="68"/>
  <c r="P43" i="68"/>
  <c r="N43" i="68"/>
  <c r="L43" i="68"/>
  <c r="J43" i="68"/>
  <c r="H43" i="68"/>
  <c r="F43" i="68"/>
  <c r="X26" i="68"/>
  <c r="W26" i="68"/>
  <c r="C2" i="68"/>
  <c r="C2" i="15" l="1"/>
  <c r="C2" i="6"/>
  <c r="O28" i="63" l="1"/>
  <c r="O30" i="63"/>
  <c r="O33" i="63"/>
  <c r="E6" i="62"/>
  <c r="E10" i="62"/>
  <c r="G10" i="62"/>
  <c r="I10" i="62"/>
  <c r="K10" i="62"/>
  <c r="M10" i="62"/>
  <c r="O10" i="62"/>
  <c r="Q10" i="62"/>
  <c r="S10" i="62"/>
  <c r="U10" i="62"/>
  <c r="W10" i="62"/>
  <c r="Y10" i="62"/>
  <c r="AA10" i="62"/>
  <c r="AC10" i="62"/>
  <c r="AE10" i="62"/>
  <c r="AG10" i="62"/>
  <c r="AI10" i="62"/>
  <c r="E76" i="62"/>
  <c r="G76" i="62"/>
  <c r="I76" i="62"/>
  <c r="K76" i="62"/>
  <c r="M76" i="62"/>
  <c r="O76" i="62"/>
  <c r="Q76" i="62"/>
  <c r="S76" i="62"/>
  <c r="U76" i="62"/>
  <c r="W76" i="62"/>
  <c r="Y76" i="62"/>
  <c r="AA76" i="62"/>
  <c r="AC76" i="62"/>
  <c r="AE76" i="62"/>
  <c r="AG76" i="62"/>
  <c r="M9" i="59"/>
  <c r="M10" i="59" s="1"/>
  <c r="E10" i="59"/>
  <c r="F10" i="59"/>
  <c r="G10" i="59"/>
  <c r="H10" i="59"/>
  <c r="I10" i="59"/>
  <c r="J10" i="59"/>
  <c r="K10" i="59"/>
  <c r="L10" i="59"/>
  <c r="N10" i="59"/>
  <c r="O10" i="59"/>
  <c r="P10" i="59"/>
  <c r="Q10" i="59"/>
  <c r="R10" i="59"/>
  <c r="S10" i="59"/>
  <c r="T10" i="59"/>
  <c r="E14" i="59"/>
  <c r="F14" i="59"/>
  <c r="G14" i="59"/>
  <c r="H14" i="59"/>
  <c r="I14" i="59"/>
  <c r="J14" i="59"/>
  <c r="K14" i="59"/>
  <c r="L14" i="59"/>
  <c r="M14" i="59"/>
  <c r="N14" i="59"/>
  <c r="O14" i="59"/>
  <c r="P14" i="59"/>
  <c r="Q14" i="59"/>
  <c r="R14" i="59"/>
  <c r="S14" i="59"/>
  <c r="T14" i="59"/>
  <c r="E18" i="59"/>
  <c r="F18" i="59"/>
  <c r="G18" i="59"/>
  <c r="H18" i="59"/>
  <c r="I18" i="59"/>
  <c r="J18" i="59"/>
  <c r="K18" i="59"/>
  <c r="L18" i="59"/>
  <c r="M18" i="59"/>
  <c r="N18" i="59"/>
  <c r="O18" i="59"/>
  <c r="P18" i="59"/>
  <c r="Q18" i="59"/>
  <c r="F22" i="59"/>
  <c r="G22" i="59"/>
  <c r="H22" i="59"/>
  <c r="I22" i="59"/>
  <c r="J22" i="59"/>
  <c r="K22" i="59"/>
  <c r="L22" i="59"/>
  <c r="M22" i="59"/>
  <c r="N22" i="59"/>
  <c r="O22" i="59"/>
  <c r="P22" i="59"/>
  <c r="Q22" i="59"/>
  <c r="R22" i="59"/>
  <c r="S22" i="59"/>
  <c r="T22" i="59"/>
  <c r="C2" i="58"/>
  <c r="C2" i="59" s="1"/>
  <c r="C2" i="60" s="1"/>
  <c r="C2" i="61" s="1"/>
  <c r="C2" i="62" s="1"/>
  <c r="C2" i="63" s="1"/>
  <c r="F12" i="58"/>
  <c r="G12" i="58"/>
  <c r="H12" i="58"/>
  <c r="I12" i="58"/>
  <c r="J12" i="58"/>
  <c r="K12" i="58"/>
  <c r="L12" i="58"/>
  <c r="M12" i="58"/>
  <c r="N12" i="58"/>
  <c r="O12" i="58"/>
  <c r="P12" i="58"/>
  <c r="Q12" i="58"/>
  <c r="R12" i="58"/>
  <c r="S12" i="58"/>
  <c r="T12" i="58"/>
  <c r="U12" i="58"/>
  <c r="V12" i="58"/>
  <c r="W12" i="58"/>
  <c r="F21" i="58"/>
  <c r="G21" i="58"/>
  <c r="H21" i="58"/>
  <c r="I21" i="58"/>
  <c r="J21" i="58"/>
  <c r="K21" i="58"/>
  <c r="L21" i="58"/>
  <c r="M21" i="58"/>
  <c r="N21" i="58"/>
  <c r="O21" i="58"/>
  <c r="P21" i="58"/>
  <c r="Q21" i="58"/>
  <c r="R21" i="58"/>
  <c r="S21" i="58"/>
  <c r="T21" i="58"/>
  <c r="U21" i="58"/>
  <c r="V21" i="58"/>
  <c r="W21" i="58"/>
  <c r="X21" i="58"/>
  <c r="G23" i="58"/>
  <c r="H23" i="58"/>
  <c r="I23" i="58"/>
  <c r="J23" i="58"/>
  <c r="K23" i="58"/>
  <c r="L23" i="58"/>
  <c r="M23" i="58"/>
  <c r="N23" i="58"/>
  <c r="O23" i="58"/>
  <c r="P23" i="58"/>
  <c r="Q23" i="58"/>
  <c r="R23" i="58"/>
  <c r="S23" i="58"/>
  <c r="T23" i="58"/>
  <c r="U23" i="58"/>
  <c r="V23" i="58"/>
  <c r="W23" i="58"/>
  <c r="X23" i="58"/>
  <c r="E7" i="57" l="1"/>
  <c r="D10" i="57"/>
  <c r="L11" i="57"/>
  <c r="P11" i="57"/>
  <c r="T11" i="57"/>
  <c r="X11" i="57"/>
  <c r="AB11" i="57"/>
  <c r="AF11" i="57"/>
  <c r="E6" i="55"/>
  <c r="E7" i="54"/>
  <c r="E11" i="54"/>
  <c r="G11" i="54"/>
  <c r="I11" i="54"/>
  <c r="K11" i="54"/>
  <c r="M11" i="54"/>
  <c r="O11" i="54"/>
  <c r="Q11" i="54"/>
  <c r="S11" i="54"/>
  <c r="U11" i="54"/>
  <c r="W11" i="54"/>
  <c r="Y11" i="54"/>
  <c r="AA11" i="54"/>
  <c r="AC11" i="54"/>
  <c r="AE11" i="54"/>
  <c r="AG11" i="54"/>
  <c r="E11" i="53"/>
  <c r="G11" i="53"/>
  <c r="I11" i="53"/>
  <c r="K11" i="53"/>
  <c r="M11" i="53"/>
  <c r="O11" i="53"/>
  <c r="Q11" i="53"/>
  <c r="S11" i="53"/>
  <c r="U11" i="53"/>
  <c r="W11" i="53"/>
  <c r="Y11" i="53"/>
  <c r="AA11" i="53"/>
  <c r="AC11" i="53"/>
  <c r="AE11" i="53"/>
  <c r="AG11" i="53"/>
  <c r="G10" i="52"/>
  <c r="J10" i="52"/>
  <c r="M10" i="52"/>
  <c r="P10" i="52"/>
  <c r="S10" i="52"/>
  <c r="G12" i="52"/>
  <c r="J12" i="52"/>
  <c r="M12" i="52"/>
  <c r="P12" i="52"/>
  <c r="S12" i="52"/>
  <c r="G13" i="52"/>
  <c r="J13" i="52"/>
  <c r="M13" i="52"/>
  <c r="P13" i="52"/>
  <c r="S13" i="52"/>
  <c r="G14" i="52"/>
  <c r="J14" i="52"/>
  <c r="M14" i="52"/>
  <c r="P14" i="52"/>
  <c r="S14" i="52"/>
  <c r="G15" i="52"/>
  <c r="J15" i="52"/>
  <c r="M15" i="52"/>
  <c r="P15" i="52"/>
  <c r="S15" i="52"/>
  <c r="G16" i="52"/>
  <c r="J16" i="52"/>
  <c r="M16" i="52"/>
  <c r="P16" i="52"/>
  <c r="S16" i="52"/>
  <c r="G17" i="52"/>
  <c r="J17" i="52"/>
  <c r="M17" i="52"/>
  <c r="P17" i="52"/>
  <c r="S17" i="52"/>
  <c r="G18" i="52"/>
  <c r="J18" i="52"/>
  <c r="M18" i="52"/>
  <c r="P18" i="52"/>
  <c r="S18" i="52"/>
  <c r="G19" i="52"/>
  <c r="J19" i="52"/>
  <c r="M19" i="52"/>
  <c r="P19" i="52"/>
  <c r="S19" i="52"/>
  <c r="G20" i="52"/>
  <c r="J20" i="52"/>
  <c r="M20" i="52"/>
  <c r="P20" i="52"/>
  <c r="S20" i="52"/>
  <c r="E21" i="52"/>
  <c r="G21" i="52" s="1"/>
  <c r="F21" i="52"/>
  <c r="H21" i="52"/>
  <c r="I21" i="52"/>
  <c r="K21" i="52"/>
  <c r="L21" i="52"/>
  <c r="N21" i="52"/>
  <c r="O21" i="52"/>
  <c r="P21" i="52"/>
  <c r="Q21" i="52"/>
  <c r="R21" i="52"/>
  <c r="H10" i="51"/>
  <c r="K10" i="51"/>
  <c r="N10" i="51"/>
  <c r="Q10" i="51"/>
  <c r="H11" i="51"/>
  <c r="K11" i="51"/>
  <c r="N11" i="51"/>
  <c r="Q11" i="51"/>
  <c r="H12" i="51"/>
  <c r="K12" i="51"/>
  <c r="N12" i="51"/>
  <c r="Q12" i="51"/>
  <c r="H13" i="51"/>
  <c r="K13" i="51"/>
  <c r="N13" i="51"/>
  <c r="Q13" i="51"/>
  <c r="H14" i="51"/>
  <c r="K14" i="51"/>
  <c r="N14" i="51"/>
  <c r="Q14" i="51"/>
  <c r="H15" i="51"/>
  <c r="K15" i="51"/>
  <c r="N15" i="51"/>
  <c r="Q15" i="51"/>
  <c r="H16" i="51"/>
  <c r="K16" i="51"/>
  <c r="N16" i="51"/>
  <c r="Q16" i="51"/>
  <c r="H17" i="51"/>
  <c r="K17" i="51"/>
  <c r="N17" i="51"/>
  <c r="Q17" i="51"/>
  <c r="H18" i="51"/>
  <c r="K18" i="51"/>
  <c r="N18" i="51"/>
  <c r="Q18" i="51"/>
  <c r="F20" i="51"/>
  <c r="G20" i="51"/>
  <c r="H20" i="51" s="1"/>
  <c r="I20" i="51"/>
  <c r="J20" i="51"/>
  <c r="N20" i="51"/>
  <c r="Q20" i="51"/>
  <c r="H25" i="51"/>
  <c r="K25" i="51"/>
  <c r="N25" i="51"/>
  <c r="Q25" i="51"/>
  <c r="H26" i="51"/>
  <c r="K26" i="51"/>
  <c r="N26" i="51"/>
  <c r="Q26" i="51"/>
  <c r="H27" i="51"/>
  <c r="K27" i="51"/>
  <c r="N27" i="51"/>
  <c r="Q27" i="51"/>
  <c r="H28" i="51"/>
  <c r="K28" i="51"/>
  <c r="N28" i="51"/>
  <c r="Q28" i="51"/>
  <c r="H29" i="51"/>
  <c r="K29" i="51"/>
  <c r="N29" i="51"/>
  <c r="Q29" i="51"/>
  <c r="H30" i="51"/>
  <c r="K30" i="51"/>
  <c r="N30" i="51"/>
  <c r="Q30" i="51"/>
  <c r="H31" i="51"/>
  <c r="K31" i="51"/>
  <c r="N31" i="51"/>
  <c r="Q31" i="51"/>
  <c r="H32" i="51"/>
  <c r="K32" i="51"/>
  <c r="N32" i="51"/>
  <c r="Q32" i="51"/>
  <c r="H33" i="51"/>
  <c r="K33" i="51"/>
  <c r="N33" i="51"/>
  <c r="Q33" i="51"/>
  <c r="F34" i="51"/>
  <c r="G34" i="51"/>
  <c r="I34" i="51"/>
  <c r="J34" i="51"/>
  <c r="L34" i="51"/>
  <c r="M34" i="51"/>
  <c r="O34" i="51"/>
  <c r="P34" i="51"/>
  <c r="Q34" i="51" s="1"/>
  <c r="H10" i="50"/>
  <c r="J10" i="50"/>
  <c r="L10" i="50"/>
  <c r="N10" i="50"/>
  <c r="U10" i="50"/>
  <c r="W10" i="50"/>
  <c r="Y10" i="50"/>
  <c r="AA10" i="50"/>
  <c r="F12" i="50"/>
  <c r="H12" i="50"/>
  <c r="J12" i="50"/>
  <c r="L12" i="50"/>
  <c r="N12" i="50"/>
  <c r="U12" i="50"/>
  <c r="W12" i="50"/>
  <c r="Y12" i="50"/>
  <c r="AA12" i="50"/>
  <c r="H13" i="50"/>
  <c r="J13" i="50"/>
  <c r="L13" i="50"/>
  <c r="N13" i="50"/>
  <c r="U13" i="50"/>
  <c r="W13" i="50"/>
  <c r="Y13" i="50"/>
  <c r="H16" i="50"/>
  <c r="J16" i="50"/>
  <c r="L16" i="50"/>
  <c r="N16" i="50"/>
  <c r="U16" i="50"/>
  <c r="W16" i="50"/>
  <c r="Y16" i="50"/>
  <c r="AA16" i="50"/>
  <c r="W18" i="50"/>
  <c r="Y18" i="50"/>
  <c r="AA18" i="50"/>
  <c r="W19" i="50"/>
  <c r="Y19" i="50"/>
  <c r="AA19" i="50"/>
  <c r="C2" i="49"/>
  <c r="C2" i="50" s="1"/>
  <c r="C2" i="51" s="1"/>
  <c r="C2" i="52" s="1"/>
  <c r="C2" i="53" s="1"/>
  <c r="C2" i="54" s="1"/>
  <c r="C2" i="55" s="1"/>
  <c r="C2" i="56" s="1"/>
  <c r="C2" i="57" s="1"/>
  <c r="J21" i="52" l="1"/>
  <c r="N34" i="51"/>
  <c r="H34" i="51"/>
  <c r="K20" i="51"/>
  <c r="S21" i="52"/>
  <c r="M21" i="52"/>
  <c r="K34" i="51"/>
  <c r="E12" i="47"/>
  <c r="F12" i="47"/>
  <c r="G12" i="47"/>
  <c r="H12" i="47"/>
  <c r="E18" i="47"/>
  <c r="F18" i="47"/>
  <c r="G18" i="47"/>
  <c r="H18" i="47"/>
  <c r="I18" i="47"/>
  <c r="J18" i="47"/>
  <c r="K18" i="47"/>
  <c r="L18" i="47"/>
  <c r="G24" i="47"/>
  <c r="J24" i="47"/>
  <c r="M24" i="47"/>
  <c r="P24" i="47"/>
  <c r="G25" i="47"/>
  <c r="J25" i="47"/>
  <c r="M25" i="47"/>
  <c r="P25" i="47"/>
  <c r="G26" i="47"/>
  <c r="J26" i="47"/>
  <c r="M26" i="47"/>
  <c r="P26" i="47"/>
  <c r="X20" i="46"/>
  <c r="Y20" i="46"/>
  <c r="Z20" i="46"/>
  <c r="K27" i="45"/>
  <c r="L27" i="45"/>
  <c r="K28" i="45"/>
  <c r="L28" i="45"/>
  <c r="K29" i="45"/>
  <c r="L29" i="45"/>
  <c r="K30" i="45"/>
  <c r="L30" i="45"/>
  <c r="K31" i="45"/>
  <c r="L31" i="45"/>
  <c r="K32" i="45"/>
  <c r="L32" i="45"/>
  <c r="K33" i="45"/>
  <c r="L33" i="45"/>
  <c r="K34" i="45"/>
  <c r="L34" i="45"/>
  <c r="K35" i="45"/>
  <c r="L35" i="45"/>
  <c r="C2" i="44"/>
  <c r="C2" i="46" s="1"/>
  <c r="C2" i="43" s="1"/>
  <c r="C2" i="45" s="1"/>
  <c r="C2" i="47" s="1"/>
  <c r="E14" i="44"/>
  <c r="G14" i="44"/>
  <c r="H14" i="44"/>
  <c r="I14" i="44"/>
  <c r="F18" i="44"/>
  <c r="K18" i="44"/>
  <c r="U18" i="44"/>
  <c r="F19" i="44"/>
  <c r="K19" i="44"/>
  <c r="U19" i="44"/>
  <c r="F20" i="44"/>
  <c r="K20" i="44"/>
  <c r="U20" i="44"/>
  <c r="F21" i="44"/>
  <c r="K21" i="44"/>
  <c r="U21" i="44"/>
  <c r="F22" i="44"/>
  <c r="K22" i="44"/>
  <c r="U22" i="44"/>
  <c r="F23" i="44"/>
  <c r="K23" i="44"/>
  <c r="U23" i="44"/>
  <c r="F24" i="44"/>
  <c r="K24" i="44"/>
  <c r="U24" i="44"/>
  <c r="F25" i="44"/>
  <c r="K25" i="44"/>
  <c r="U25" i="44"/>
  <c r="F26" i="44"/>
  <c r="K26" i="44"/>
  <c r="U26" i="44"/>
  <c r="F27" i="44"/>
  <c r="K27" i="44"/>
  <c r="U27" i="44"/>
  <c r="E7" i="42"/>
  <c r="E6" i="41"/>
  <c r="G16" i="41"/>
  <c r="J16" i="41"/>
  <c r="M16" i="41"/>
  <c r="P16" i="41"/>
  <c r="AB16" i="41"/>
  <c r="G17" i="41"/>
  <c r="J17" i="41"/>
  <c r="M17" i="41"/>
  <c r="P17" i="41"/>
  <c r="AB17" i="41"/>
  <c r="G18" i="41"/>
  <c r="J18" i="41"/>
  <c r="M18" i="41"/>
  <c r="P18" i="41"/>
  <c r="AB18" i="41"/>
  <c r="G19" i="41"/>
  <c r="J19" i="41"/>
  <c r="M19" i="41"/>
  <c r="P19" i="41"/>
  <c r="AB19" i="41"/>
  <c r="G20" i="41"/>
  <c r="J20" i="41"/>
  <c r="M20" i="41"/>
  <c r="P20" i="41"/>
  <c r="AB20" i="41"/>
  <c r="G21" i="41"/>
  <c r="J21" i="41"/>
  <c r="M21" i="41"/>
  <c r="P21" i="41"/>
  <c r="AB21" i="41"/>
  <c r="G22" i="41"/>
  <c r="J22" i="41"/>
  <c r="M22" i="41"/>
  <c r="P22" i="41"/>
  <c r="AB22" i="41"/>
  <c r="G23" i="41"/>
  <c r="J23" i="41"/>
  <c r="M23" i="41"/>
  <c r="P23" i="41"/>
  <c r="AB23" i="41"/>
  <c r="G24" i="41"/>
  <c r="J24" i="41"/>
  <c r="M24" i="41"/>
  <c r="P24" i="41"/>
  <c r="AB24" i="41"/>
  <c r="E25" i="41"/>
  <c r="F25" i="41"/>
  <c r="H25" i="41"/>
  <c r="I25" i="41"/>
  <c r="K25" i="41"/>
  <c r="L25" i="41"/>
  <c r="P25" i="41"/>
  <c r="T25" i="41"/>
  <c r="U25" i="41"/>
  <c r="AB25" i="41"/>
  <c r="E10" i="39"/>
  <c r="F10" i="39"/>
  <c r="G10" i="39"/>
  <c r="H10" i="39"/>
  <c r="I10" i="39"/>
  <c r="J10" i="39"/>
  <c r="K10" i="39"/>
  <c r="L10" i="39"/>
  <c r="M10" i="39"/>
  <c r="N10" i="39"/>
  <c r="O10" i="39"/>
  <c r="P10" i="39"/>
  <c r="R10" i="39"/>
  <c r="T10" i="39"/>
  <c r="F15" i="39"/>
  <c r="H15" i="39"/>
  <c r="J15" i="39"/>
  <c r="K15" i="39"/>
  <c r="F16" i="39"/>
  <c r="H16" i="39"/>
  <c r="J16" i="39"/>
  <c r="K16" i="39"/>
  <c r="F17" i="39"/>
  <c r="H17" i="39"/>
  <c r="J17" i="39"/>
  <c r="K17" i="39"/>
  <c r="F18" i="39"/>
  <c r="H18" i="39"/>
  <c r="J18" i="39"/>
  <c r="K18" i="39"/>
  <c r="F19" i="39"/>
  <c r="H19" i="39"/>
  <c r="J19" i="39"/>
  <c r="K19" i="39"/>
  <c r="F20" i="39"/>
  <c r="H20" i="39"/>
  <c r="J20" i="39"/>
  <c r="K20" i="39"/>
  <c r="F21" i="39"/>
  <c r="H21" i="39"/>
  <c r="J21" i="39"/>
  <c r="K21" i="39"/>
  <c r="F22" i="39"/>
  <c r="H22" i="39"/>
  <c r="J22" i="39"/>
  <c r="K22" i="39"/>
  <c r="F23" i="39"/>
  <c r="H23" i="39"/>
  <c r="J23" i="39"/>
  <c r="K23" i="39"/>
  <c r="F24" i="39"/>
  <c r="H24" i="39"/>
  <c r="J24" i="39"/>
  <c r="K24" i="39"/>
  <c r="C2" i="38"/>
  <c r="C2" i="39" s="1"/>
  <c r="C2" i="40" s="1"/>
  <c r="C2" i="41" s="1"/>
  <c r="C2" i="42" s="1"/>
  <c r="M25" i="41" l="1"/>
  <c r="G25" i="41"/>
  <c r="C2" i="36"/>
  <c r="E24" i="36"/>
  <c r="F24" i="36"/>
  <c r="G24" i="36"/>
  <c r="H24" i="36"/>
  <c r="I24" i="36"/>
  <c r="J24" i="36"/>
  <c r="K24" i="36"/>
  <c r="L24" i="36"/>
  <c r="M24" i="36"/>
  <c r="N24" i="36"/>
  <c r="O24" i="36"/>
  <c r="P24" i="36"/>
  <c r="Q24" i="36"/>
  <c r="R24" i="36"/>
  <c r="S24" i="36"/>
  <c r="T24" i="36"/>
  <c r="U24" i="36"/>
  <c r="V24" i="36"/>
  <c r="W24" i="36"/>
  <c r="X24" i="36"/>
  <c r="Y24" i="36"/>
  <c r="Z24" i="36"/>
  <c r="C2" i="35"/>
  <c r="R12" i="33" l="1"/>
  <c r="F31" i="33"/>
  <c r="G31" i="33"/>
  <c r="H31" i="33" s="1"/>
  <c r="I31" i="33" s="1"/>
  <c r="J31" i="33" s="1"/>
  <c r="K31" i="33" s="1"/>
  <c r="L31" i="33" s="1"/>
  <c r="M31" i="33" s="1"/>
  <c r="N31" i="33" s="1"/>
  <c r="O31" i="33" s="1"/>
  <c r="P31" i="33" s="1"/>
  <c r="C2" i="32"/>
  <c r="C2" i="33" s="1"/>
  <c r="S9" i="32"/>
  <c r="S10" i="32"/>
  <c r="S11" i="32" s="1"/>
  <c r="F12" i="32"/>
  <c r="G12" i="32"/>
  <c r="H12" i="32"/>
  <c r="I12" i="32"/>
  <c r="J12" i="32"/>
  <c r="K12" i="32"/>
  <c r="L12" i="32"/>
  <c r="M12" i="32"/>
  <c r="N12" i="32"/>
  <c r="O12" i="32"/>
  <c r="P12" i="32"/>
  <c r="Q12" i="32"/>
  <c r="AT28" i="32"/>
  <c r="S13" i="32" s="1"/>
  <c r="S11" i="31"/>
  <c r="S13" i="31"/>
  <c r="F14" i="31"/>
  <c r="G14" i="31"/>
  <c r="H14" i="31"/>
  <c r="I14" i="31"/>
  <c r="J14" i="31"/>
  <c r="K14" i="31"/>
  <c r="L14" i="31"/>
  <c r="M14" i="31"/>
  <c r="N14" i="31"/>
  <c r="O14" i="31"/>
  <c r="P14" i="31"/>
  <c r="Q14" i="31"/>
  <c r="F15" i="31"/>
  <c r="G15" i="31"/>
  <c r="H15" i="31"/>
  <c r="I15" i="31"/>
  <c r="J15" i="31"/>
  <c r="K15" i="31"/>
  <c r="L15" i="31"/>
  <c r="M15" i="31"/>
  <c r="N15" i="31"/>
  <c r="O15" i="31"/>
  <c r="P15" i="31"/>
  <c r="Q15" i="31"/>
  <c r="S15" i="31"/>
  <c r="F17" i="31"/>
  <c r="G17" i="31"/>
  <c r="H17" i="31"/>
  <c r="I17" i="31"/>
  <c r="J17" i="31"/>
  <c r="K17" i="31"/>
  <c r="L17" i="31"/>
  <c r="M17" i="31"/>
  <c r="N17" i="31"/>
  <c r="O17" i="31"/>
  <c r="P17" i="31"/>
  <c r="Q17" i="31"/>
  <c r="S17" i="31"/>
  <c r="F18" i="31"/>
  <c r="G18" i="31"/>
  <c r="H18" i="31"/>
  <c r="I18" i="31"/>
  <c r="J18" i="31"/>
  <c r="K18" i="31"/>
  <c r="L18" i="31"/>
  <c r="M18" i="31"/>
  <c r="N18" i="31"/>
  <c r="O18" i="31"/>
  <c r="P18" i="31"/>
  <c r="Q18" i="31"/>
  <c r="S18" i="31"/>
  <c r="H23" i="31"/>
  <c r="M23" i="31"/>
  <c r="R23" i="31"/>
  <c r="W23" i="31"/>
  <c r="AB23" i="31"/>
  <c r="AG23" i="31"/>
  <c r="AL23" i="31"/>
  <c r="AQ23" i="31"/>
  <c r="AV23" i="31"/>
  <c r="BA23" i="31"/>
  <c r="BF23" i="31"/>
  <c r="BK23" i="31"/>
  <c r="BP23" i="31"/>
  <c r="BU23" i="31"/>
  <c r="H24" i="31"/>
  <c r="M24" i="31"/>
  <c r="R24" i="31"/>
  <c r="W24" i="31"/>
  <c r="AB24" i="31"/>
  <c r="AG24" i="31"/>
  <c r="AL24" i="31"/>
  <c r="AQ24" i="31"/>
  <c r="AV24" i="31"/>
  <c r="BA24" i="31"/>
  <c r="BF24" i="31"/>
  <c r="BK24" i="31"/>
  <c r="BP24" i="31"/>
  <c r="BU24" i="31"/>
  <c r="H25" i="31"/>
  <c r="M25" i="31"/>
  <c r="R25" i="31"/>
  <c r="W25" i="31"/>
  <c r="AB25" i="31"/>
  <c r="AG25" i="31"/>
  <c r="AL25" i="31"/>
  <c r="AQ25" i="31"/>
  <c r="AV25" i="31"/>
  <c r="BA25" i="31"/>
  <c r="BF25" i="31"/>
  <c r="BK25" i="31"/>
  <c r="BP25" i="31"/>
  <c r="BU25" i="31"/>
  <c r="H26" i="31"/>
  <c r="M26" i="31"/>
  <c r="R26" i="31"/>
  <c r="W26" i="31"/>
  <c r="AB26" i="31"/>
  <c r="AG26" i="31"/>
  <c r="AL26" i="31"/>
  <c r="AQ26" i="31"/>
  <c r="AV26" i="31"/>
  <c r="BA26" i="31"/>
  <c r="BF26" i="31"/>
  <c r="BK26" i="31"/>
  <c r="BP26" i="31"/>
  <c r="BU26" i="31"/>
  <c r="H27" i="31"/>
  <c r="M27" i="31"/>
  <c r="R27" i="31"/>
  <c r="W27" i="31"/>
  <c r="AB27" i="31"/>
  <c r="AG27" i="31"/>
  <c r="AL27" i="31"/>
  <c r="AQ27" i="31"/>
  <c r="AV27" i="31"/>
  <c r="BA27" i="31"/>
  <c r="BF27" i="31"/>
  <c r="BK27" i="31"/>
  <c r="BP27" i="31"/>
  <c r="BU27" i="31"/>
  <c r="H28" i="31"/>
  <c r="M28" i="31"/>
  <c r="R28" i="31"/>
  <c r="W28" i="31"/>
  <c r="AB28" i="31"/>
  <c r="AG28" i="31"/>
  <c r="AL28" i="31"/>
  <c r="AQ28" i="31"/>
  <c r="AV28" i="31"/>
  <c r="BA28" i="31"/>
  <c r="BF28" i="31"/>
  <c r="BK28" i="31"/>
  <c r="BP28" i="31"/>
  <c r="BU28" i="31"/>
  <c r="H29" i="31"/>
  <c r="M29" i="31"/>
  <c r="R29" i="31"/>
  <c r="W29" i="31"/>
  <c r="AB29" i="31"/>
  <c r="AG29" i="31"/>
  <c r="AL29" i="31"/>
  <c r="AQ29" i="31"/>
  <c r="AV29" i="31"/>
  <c r="BA29" i="31"/>
  <c r="BF29" i="31"/>
  <c r="BK29" i="31"/>
  <c r="BP29" i="31"/>
  <c r="BU29" i="31"/>
  <c r="H30" i="31"/>
  <c r="M30" i="31"/>
  <c r="R30" i="31"/>
  <c r="W30" i="31"/>
  <c r="AB30" i="31"/>
  <c r="AG30" i="31"/>
  <c r="AL30" i="31"/>
  <c r="AQ30" i="31"/>
  <c r="AV30" i="31"/>
  <c r="BA30" i="31"/>
  <c r="BF30" i="31"/>
  <c r="BK30" i="31"/>
  <c r="BP30" i="31"/>
  <c r="BU30" i="31"/>
  <c r="H31" i="31"/>
  <c r="M31" i="31"/>
  <c r="R31" i="31"/>
  <c r="W31" i="31"/>
  <c r="AB31" i="31"/>
  <c r="AG31" i="31"/>
  <c r="AL31" i="31"/>
  <c r="AQ31" i="31"/>
  <c r="AV31" i="31"/>
  <c r="BA31" i="31"/>
  <c r="BF31" i="31"/>
  <c r="BK31" i="31"/>
  <c r="BP31" i="31"/>
  <c r="BU31" i="31"/>
  <c r="H32" i="31"/>
  <c r="I32" i="31"/>
  <c r="L32" i="31"/>
  <c r="M32" i="31" s="1"/>
  <c r="N32" i="31"/>
  <c r="Q32" i="31"/>
  <c r="R32" i="31"/>
  <c r="S32" i="31"/>
  <c r="V32" i="31"/>
  <c r="W32" i="31" s="1"/>
  <c r="X32" i="31"/>
  <c r="Z32" i="31"/>
  <c r="AA32" i="31"/>
  <c r="AC32" i="31"/>
  <c r="AE32" i="31"/>
  <c r="AF32" i="31"/>
  <c r="AG32" i="31" s="1"/>
  <c r="AH32" i="31"/>
  <c r="AJ32" i="31"/>
  <c r="AK32" i="31"/>
  <c r="AM32" i="31"/>
  <c r="AO32" i="31"/>
  <c r="AP32" i="31"/>
  <c r="AR32" i="31"/>
  <c r="AT32" i="31"/>
  <c r="AU32" i="31"/>
  <c r="AW32" i="31"/>
  <c r="AY32" i="31"/>
  <c r="AZ32" i="31"/>
  <c r="BA32" i="31" s="1"/>
  <c r="BB32" i="31"/>
  <c r="BD32" i="31"/>
  <c r="BE32" i="31"/>
  <c r="BG32" i="31"/>
  <c r="BH32" i="31"/>
  <c r="BI32" i="31"/>
  <c r="BJ32" i="31"/>
  <c r="BK32" i="31"/>
  <c r="BL32" i="31"/>
  <c r="BM32" i="31"/>
  <c r="BN32" i="31"/>
  <c r="BO32" i="31"/>
  <c r="BQ32" i="31"/>
  <c r="BR32" i="31"/>
  <c r="BS32" i="31"/>
  <c r="BT32" i="31"/>
  <c r="BV32" i="31"/>
  <c r="BU32" i="31" l="1"/>
  <c r="BF32" i="31"/>
  <c r="AL32" i="31"/>
  <c r="AQ32" i="31"/>
  <c r="AV32" i="31"/>
  <c r="AB32" i="31"/>
  <c r="BP32" i="31"/>
  <c r="C2" i="29"/>
  <c r="S10" i="29"/>
  <c r="S11" i="29"/>
  <c r="W29" i="29"/>
  <c r="W30" i="29" s="1"/>
  <c r="X29" i="29"/>
  <c r="X30" i="29" s="1"/>
  <c r="K30" i="29"/>
  <c r="L30" i="29"/>
  <c r="M30" i="29"/>
  <c r="N30" i="29"/>
  <c r="O30" i="29"/>
  <c r="P30" i="29"/>
  <c r="Q30" i="29"/>
  <c r="R30" i="29"/>
  <c r="S30" i="29"/>
  <c r="T30" i="29"/>
  <c r="U30" i="29"/>
  <c r="V30" i="29"/>
  <c r="S37" i="29"/>
  <c r="V37" i="29"/>
  <c r="X37" i="29"/>
  <c r="Y37" i="29" s="1"/>
  <c r="AB37" i="29"/>
  <c r="AE37" i="29"/>
  <c r="AH37" i="29"/>
  <c r="AK37" i="29"/>
  <c r="S38" i="29"/>
  <c r="V38" i="29"/>
  <c r="Y38" i="29"/>
  <c r="AB38" i="29"/>
  <c r="AE38" i="29"/>
  <c r="AH38" i="29"/>
  <c r="AK38" i="29"/>
  <c r="C2" i="28"/>
  <c r="C2" i="27"/>
  <c r="C2" i="26"/>
  <c r="C2" i="25"/>
  <c r="C2" i="24"/>
  <c r="E12" i="24"/>
  <c r="F12" i="24"/>
  <c r="G12" i="24"/>
  <c r="H12" i="24"/>
  <c r="I12" i="24"/>
  <c r="J12" i="24"/>
  <c r="K12" i="24"/>
  <c r="L12" i="24"/>
  <c r="M12" i="24"/>
  <c r="N12" i="24"/>
  <c r="O12" i="24"/>
  <c r="P12" i="24"/>
  <c r="Q12" i="24"/>
  <c r="R12" i="24"/>
  <c r="S12" i="24"/>
  <c r="T12" i="24"/>
  <c r="U12" i="24"/>
  <c r="V12" i="24"/>
  <c r="W12" i="24"/>
  <c r="X12" i="24"/>
  <c r="Y12" i="24"/>
  <c r="Z12" i="24"/>
  <c r="AA12" i="24"/>
  <c r="AB12" i="24"/>
  <c r="AC12" i="24"/>
  <c r="AD12" i="24"/>
  <c r="AE12" i="24"/>
  <c r="AF12" i="24"/>
  <c r="AG12" i="24"/>
  <c r="AH12" i="24"/>
  <c r="E17" i="24"/>
  <c r="F17" i="24"/>
  <c r="G17" i="24"/>
  <c r="H17" i="24"/>
  <c r="I17" i="24"/>
  <c r="J17" i="24"/>
  <c r="K17" i="24"/>
  <c r="L17" i="24"/>
  <c r="M17" i="24"/>
  <c r="N17" i="24"/>
  <c r="O17" i="24"/>
  <c r="P17" i="24"/>
  <c r="Q17" i="24"/>
  <c r="R17" i="24"/>
  <c r="S17" i="24"/>
  <c r="T17" i="24"/>
  <c r="U17" i="24"/>
  <c r="V17" i="24"/>
  <c r="W17" i="24"/>
  <c r="X17" i="24"/>
  <c r="Y17" i="24"/>
  <c r="Z17" i="24"/>
  <c r="AA17" i="24"/>
  <c r="AB17" i="24"/>
  <c r="AC17" i="24"/>
  <c r="AD17" i="24"/>
  <c r="AE17" i="24"/>
  <c r="AF17" i="24"/>
  <c r="AG17" i="24"/>
  <c r="AH17" i="24"/>
  <c r="E21" i="24"/>
  <c r="F21" i="24"/>
  <c r="G21" i="24"/>
  <c r="H21" i="24"/>
  <c r="I21" i="24"/>
  <c r="J21" i="24"/>
  <c r="K21" i="24"/>
  <c r="L21" i="24"/>
  <c r="M21" i="24"/>
  <c r="N21" i="24"/>
  <c r="O21" i="24"/>
  <c r="P21" i="24"/>
  <c r="Q21" i="24"/>
  <c r="R21" i="24"/>
  <c r="S21" i="24"/>
  <c r="T21" i="24"/>
  <c r="U21" i="24"/>
  <c r="V21" i="24"/>
  <c r="W21" i="24"/>
  <c r="X21" i="24"/>
  <c r="Y21" i="24"/>
  <c r="Z21" i="24"/>
  <c r="AA21" i="24"/>
  <c r="AB21" i="24"/>
  <c r="AC21" i="24"/>
  <c r="AD21" i="24"/>
  <c r="AE21" i="24"/>
  <c r="AF21" i="24"/>
  <c r="AG21" i="24"/>
  <c r="AH21" i="24"/>
  <c r="E78" i="24"/>
  <c r="F78" i="24"/>
  <c r="G78" i="24"/>
  <c r="H78" i="24"/>
  <c r="I78" i="24"/>
  <c r="J78" i="24"/>
  <c r="K78" i="24"/>
  <c r="L78" i="24"/>
  <c r="M78" i="24"/>
  <c r="N78" i="24"/>
  <c r="O78" i="24"/>
  <c r="P78" i="24"/>
  <c r="Q78" i="24"/>
  <c r="R78" i="24"/>
  <c r="S78" i="24"/>
  <c r="T78" i="24"/>
  <c r="U78" i="24"/>
  <c r="V78" i="24"/>
  <c r="W78" i="24"/>
  <c r="X78" i="24"/>
  <c r="E93" i="24"/>
  <c r="F93" i="24"/>
  <c r="G93" i="24"/>
  <c r="H93" i="24"/>
  <c r="I93" i="24"/>
  <c r="J93" i="24"/>
  <c r="K93" i="24"/>
  <c r="L93" i="24"/>
  <c r="M93" i="24"/>
  <c r="N93" i="24"/>
  <c r="O93" i="24"/>
  <c r="P93" i="24"/>
  <c r="Q93" i="24"/>
  <c r="R93" i="24"/>
  <c r="S93" i="24"/>
  <c r="T93" i="24"/>
  <c r="U93" i="24"/>
  <c r="V93" i="24"/>
  <c r="W93" i="24"/>
  <c r="X93" i="24"/>
  <c r="C2" i="23"/>
  <c r="I17" i="21" l="1"/>
  <c r="H17" i="21"/>
  <c r="G17" i="21"/>
  <c r="F17" i="21"/>
  <c r="E17" i="21"/>
  <c r="H39" i="20"/>
  <c r="G39" i="20"/>
  <c r="F39" i="20"/>
  <c r="E39" i="20"/>
  <c r="H26" i="20"/>
  <c r="G26" i="20"/>
  <c r="F26" i="20"/>
  <c r="E26" i="20"/>
  <c r="O15" i="20"/>
  <c r="N15" i="20"/>
  <c r="M15" i="20"/>
  <c r="L15" i="20"/>
  <c r="K15" i="20"/>
  <c r="J15" i="20"/>
  <c r="I15" i="20"/>
  <c r="H15" i="20"/>
  <c r="G15" i="20"/>
  <c r="F15" i="20"/>
  <c r="E15" i="20"/>
  <c r="E16" i="20" s="1"/>
  <c r="F16" i="20" s="1"/>
  <c r="O12" i="20"/>
  <c r="C2" i="19"/>
  <c r="S41" i="18"/>
  <c r="R41" i="18"/>
  <c r="Q41" i="18"/>
  <c r="P41" i="18"/>
  <c r="O41" i="18"/>
  <c r="N41" i="18"/>
  <c r="M41" i="18"/>
  <c r="L41" i="18"/>
  <c r="K41" i="18"/>
  <c r="J41" i="18"/>
  <c r="I41" i="18"/>
  <c r="H41" i="18"/>
  <c r="G41" i="18"/>
  <c r="F41" i="18"/>
  <c r="E41" i="18"/>
  <c r="G16" i="20" l="1"/>
  <c r="H16" i="20" s="1"/>
  <c r="I16" i="20" s="1"/>
  <c r="J16" i="20" s="1"/>
  <c r="K16" i="20" s="1"/>
  <c r="L16" i="20" s="1"/>
  <c r="M16" i="20" s="1"/>
  <c r="N16" i="20" s="1"/>
  <c r="O16" i="20" s="1"/>
  <c r="R49" i="17" l="1"/>
  <c r="Q49" i="17"/>
  <c r="P49" i="17"/>
  <c r="O49" i="17"/>
  <c r="N49" i="17"/>
  <c r="M49" i="17"/>
  <c r="L49" i="17"/>
  <c r="K49" i="17"/>
  <c r="J49" i="17"/>
  <c r="I49" i="17"/>
  <c r="H49" i="17"/>
  <c r="G49" i="17"/>
  <c r="R48" i="17"/>
  <c r="Q48" i="17"/>
  <c r="P48" i="17"/>
  <c r="O48" i="17"/>
  <c r="N48" i="17"/>
  <c r="M48" i="17"/>
  <c r="L48" i="17"/>
  <c r="K48" i="17"/>
  <c r="J48" i="17"/>
  <c r="I48" i="17"/>
  <c r="H48" i="17"/>
  <c r="G48" i="17"/>
  <c r="R10" i="17"/>
  <c r="Q10" i="17"/>
  <c r="P10" i="17"/>
  <c r="O10" i="17"/>
  <c r="N10" i="17"/>
  <c r="M10" i="17"/>
  <c r="L10" i="17"/>
  <c r="K10" i="17"/>
  <c r="J10" i="17"/>
  <c r="I10" i="17"/>
  <c r="H10" i="17"/>
  <c r="G10" i="17"/>
  <c r="R9" i="17"/>
  <c r="Q9" i="17"/>
  <c r="P9" i="17"/>
  <c r="O9" i="17"/>
  <c r="N9" i="17"/>
  <c r="M9" i="17"/>
  <c r="L9" i="17"/>
  <c r="K9" i="17"/>
  <c r="J9" i="17"/>
  <c r="I9" i="17"/>
  <c r="H9" i="17"/>
  <c r="G9" i="17"/>
  <c r="C2" i="17"/>
  <c r="C2" i="16"/>
  <c r="CZ132" i="14"/>
  <c r="CY132" i="14"/>
  <c r="CX132" i="14"/>
  <c r="CW132" i="14"/>
  <c r="CV132" i="14"/>
  <c r="CU132" i="14"/>
  <c r="CT132" i="14"/>
  <c r="CS132" i="14"/>
  <c r="CR132" i="14"/>
  <c r="CQ132" i="14"/>
  <c r="CP132" i="14"/>
  <c r="CO132" i="14"/>
  <c r="CN132" i="14"/>
  <c r="CM132" i="14"/>
  <c r="CL132" i="14"/>
  <c r="CK132" i="14"/>
  <c r="CJ132" i="14"/>
  <c r="CI132" i="14"/>
  <c r="CH132" i="14"/>
  <c r="CG132" i="14"/>
  <c r="B41" i="14"/>
  <c r="C2" i="14"/>
  <c r="Q28" i="13"/>
  <c r="P28" i="13"/>
  <c r="O28" i="13"/>
  <c r="N28" i="13"/>
  <c r="M28" i="13"/>
  <c r="L28" i="13"/>
  <c r="K28" i="13"/>
  <c r="J28" i="13"/>
  <c r="I28" i="13"/>
  <c r="H28" i="13"/>
  <c r="G28" i="13"/>
  <c r="F28" i="13"/>
  <c r="E28" i="13"/>
  <c r="C2" i="13"/>
  <c r="Y64" i="11"/>
  <c r="W64" i="11"/>
  <c r="U64" i="11"/>
  <c r="T64" i="11"/>
  <c r="S64" i="11"/>
  <c r="Q64" i="11"/>
  <c r="P64" i="11"/>
  <c r="N64" i="11"/>
  <c r="J64" i="11"/>
  <c r="F64" i="11"/>
  <c r="C2" i="11"/>
  <c r="O40" i="10"/>
  <c r="AX34" i="10"/>
  <c r="AT34" i="10"/>
  <c r="AP34" i="10"/>
  <c r="AL34" i="10"/>
  <c r="U8" i="10"/>
  <c r="T8" i="10"/>
  <c r="S8" i="10"/>
  <c r="Q8" i="10"/>
  <c r="P8" i="10"/>
  <c r="O8" i="10"/>
  <c r="N8" i="10"/>
  <c r="M8" i="10"/>
  <c r="L8" i="10"/>
  <c r="K8" i="10"/>
  <c r="J8" i="10"/>
  <c r="I8" i="10"/>
  <c r="H8" i="10"/>
  <c r="G8" i="10"/>
  <c r="F8" i="10"/>
  <c r="E8" i="10"/>
  <c r="C2" i="9"/>
  <c r="C2" i="10" s="1"/>
  <c r="CC47" i="8"/>
  <c r="CB47" i="8"/>
  <c r="CA47" i="8"/>
  <c r="BZ47" i="8"/>
  <c r="BY47" i="8"/>
  <c r="BX47" i="8"/>
  <c r="BW47" i="8"/>
  <c r="BV47" i="8"/>
  <c r="BU47" i="8"/>
  <c r="BT47" i="8"/>
  <c r="BS47" i="8"/>
  <c r="BR47" i="8"/>
  <c r="BQ47" i="8"/>
  <c r="BP47" i="8"/>
  <c r="BO47" i="8"/>
  <c r="BN47" i="8"/>
  <c r="BM47" i="8"/>
  <c r="BL47" i="8"/>
  <c r="BK47" i="8"/>
  <c r="BJ47" i="8"/>
  <c r="BI47" i="8"/>
  <c r="BH47" i="8"/>
  <c r="BG47" i="8"/>
  <c r="BF47" i="8"/>
  <c r="BE47" i="8"/>
  <c r="BD47" i="8"/>
  <c r="BC47" i="8"/>
  <c r="BB47" i="8"/>
  <c r="BA47" i="8"/>
  <c r="AZ47" i="8"/>
  <c r="AY47" i="8"/>
  <c r="AX47" i="8"/>
  <c r="AW47" i="8"/>
  <c r="AV47" i="8"/>
  <c r="AU47" i="8"/>
  <c r="AT47" i="8"/>
  <c r="AS47" i="8"/>
  <c r="AR47" i="8"/>
  <c r="AQ47" i="8"/>
  <c r="AP47" i="8"/>
  <c r="AO47" i="8"/>
  <c r="AN47" i="8"/>
  <c r="AM47" i="8"/>
  <c r="AL47" i="8"/>
  <c r="AK47" i="8"/>
  <c r="AJ47" i="8"/>
  <c r="AI47" i="8"/>
  <c r="AH47" i="8"/>
  <c r="AG47" i="8"/>
  <c r="AF47" i="8"/>
  <c r="AE47" i="8"/>
  <c r="AD47" i="8"/>
  <c r="AC47" i="8"/>
  <c r="AB47" i="8"/>
  <c r="AA47" i="8"/>
  <c r="Z47" i="8"/>
  <c r="Y47" i="8"/>
  <c r="X47" i="8"/>
  <c r="W47" i="8"/>
  <c r="V47" i="8"/>
  <c r="U47" i="8"/>
  <c r="T47" i="8"/>
  <c r="S47" i="8"/>
  <c r="R47" i="8"/>
  <c r="Q47" i="8"/>
  <c r="P47" i="8"/>
  <c r="O47" i="8"/>
  <c r="N47" i="8"/>
  <c r="M47" i="8"/>
  <c r="L47" i="8"/>
  <c r="K47" i="8"/>
  <c r="J47" i="8"/>
  <c r="I47" i="8"/>
  <c r="H47" i="8"/>
  <c r="G47" i="8"/>
  <c r="F47" i="8"/>
  <c r="E47" i="8"/>
  <c r="D47" i="8"/>
  <c r="BY45" i="8"/>
  <c r="BU45" i="8"/>
  <c r="BQ45" i="8"/>
  <c r="BM45" i="8"/>
  <c r="BI45" i="8"/>
  <c r="BE45" i="8"/>
  <c r="BA45" i="8"/>
  <c r="AW45" i="8"/>
  <c r="AS45" i="8"/>
  <c r="AO45" i="8"/>
  <c r="AK45" i="8"/>
  <c r="AG45" i="8"/>
  <c r="AC45" i="8"/>
  <c r="Y45" i="8"/>
  <c r="U45" i="8"/>
  <c r="Q45" i="8"/>
  <c r="M45" i="8"/>
  <c r="I45" i="8"/>
  <c r="E45" i="8"/>
  <c r="CF42" i="8"/>
  <c r="CE42" i="8"/>
  <c r="CD42" i="8"/>
  <c r="CC42" i="8"/>
  <c r="CB42" i="8"/>
  <c r="CA42" i="8"/>
  <c r="BZ42" i="8"/>
  <c r="BY42" i="8"/>
  <c r="BX42" i="8"/>
  <c r="BW42" i="8"/>
  <c r="BV42" i="8"/>
  <c r="BU42" i="8"/>
  <c r="BT42" i="8"/>
  <c r="BS42" i="8"/>
  <c r="BR42" i="8"/>
  <c r="BQ42" i="8"/>
  <c r="BP42" i="8"/>
  <c r="BO42" i="8"/>
  <c r="BN42" i="8"/>
  <c r="BM42" i="8"/>
  <c r="BL42" i="8"/>
  <c r="BK42" i="8"/>
  <c r="BJ42" i="8"/>
  <c r="BI42" i="8"/>
  <c r="BH42" i="8"/>
  <c r="BG42" i="8"/>
  <c r="BF42" i="8"/>
  <c r="BE42" i="8"/>
  <c r="BD42" i="8"/>
  <c r="BC42" i="8"/>
  <c r="BB42" i="8"/>
  <c r="BA42" i="8"/>
  <c r="AZ42" i="8"/>
  <c r="AY42" i="8"/>
  <c r="AX42" i="8"/>
  <c r="AW42" i="8"/>
  <c r="AV42" i="8"/>
  <c r="AU42" i="8"/>
  <c r="AT42" i="8"/>
  <c r="AS42" i="8"/>
  <c r="AR42" i="8"/>
  <c r="AQ42" i="8"/>
  <c r="AP42" i="8"/>
  <c r="AO42" i="8"/>
  <c r="AN42" i="8"/>
  <c r="AM42" i="8"/>
  <c r="AL42" i="8"/>
  <c r="AK42" i="8"/>
  <c r="AJ42" i="8"/>
  <c r="AI42" i="8"/>
  <c r="AH42" i="8"/>
  <c r="AG42" i="8"/>
  <c r="AF42" i="8"/>
  <c r="AE42" i="8"/>
  <c r="AD42" i="8"/>
  <c r="AC42" i="8"/>
  <c r="AB42" i="8"/>
  <c r="AA42" i="8"/>
  <c r="Z42" i="8"/>
  <c r="Y42" i="8"/>
  <c r="X42" i="8"/>
  <c r="W42" i="8"/>
  <c r="V42" i="8"/>
  <c r="U42" i="8"/>
  <c r="T42" i="8"/>
  <c r="S42" i="8"/>
  <c r="R42" i="8"/>
  <c r="Q42" i="8"/>
  <c r="P42" i="8"/>
  <c r="O42" i="8"/>
  <c r="N42" i="8"/>
  <c r="M42" i="8"/>
  <c r="L42" i="8"/>
  <c r="K42" i="8"/>
  <c r="J42" i="8"/>
  <c r="I42" i="8"/>
  <c r="H42" i="8"/>
  <c r="G42" i="8"/>
  <c r="F42" i="8"/>
  <c r="E42" i="8"/>
  <c r="D42" i="8"/>
  <c r="BM38" i="8"/>
  <c r="Y9" i="8"/>
  <c r="X9" i="8"/>
  <c r="W9" i="8"/>
  <c r="V9" i="8"/>
  <c r="U9" i="8"/>
  <c r="T9" i="8"/>
  <c r="S9" i="8"/>
  <c r="R9" i="8"/>
  <c r="Q9" i="8"/>
  <c r="P9" i="8"/>
  <c r="O9" i="8"/>
  <c r="N9" i="8"/>
  <c r="M9" i="8"/>
  <c r="L9" i="8"/>
  <c r="K9" i="8"/>
  <c r="J9" i="8"/>
  <c r="I9" i="8"/>
  <c r="H9" i="8"/>
  <c r="G9" i="8"/>
  <c r="F9" i="8"/>
  <c r="E9" i="8"/>
  <c r="C2" i="8"/>
  <c r="C2" i="7"/>
  <c r="D34" i="5"/>
  <c r="C2" i="5"/>
  <c r="AB37" i="4"/>
  <c r="AA37" i="4"/>
  <c r="Z37" i="4"/>
  <c r="Y37" i="4"/>
  <c r="X37" i="4"/>
  <c r="W37" i="4"/>
  <c r="V37" i="4"/>
  <c r="U37" i="4"/>
  <c r="T37" i="4"/>
  <c r="S37" i="4"/>
  <c r="R37" i="4"/>
  <c r="Q37" i="4"/>
  <c r="P37" i="4"/>
  <c r="O37" i="4"/>
  <c r="N37" i="4"/>
  <c r="M37" i="4"/>
  <c r="L37" i="4"/>
  <c r="K37" i="4"/>
  <c r="J37" i="4"/>
  <c r="I37" i="4"/>
  <c r="H37" i="4"/>
  <c r="G37" i="4"/>
  <c r="F37" i="4"/>
  <c r="E37" i="4"/>
  <c r="F6" i="4"/>
  <c r="C2" i="4"/>
  <c r="C2" i="3"/>
  <c r="B62" i="2"/>
  <c r="C2" i="2"/>
  <c r="J16" i="1"/>
  <c r="G13" i="1"/>
  <c r="H12" i="1"/>
  <c r="H11" i="1"/>
  <c r="G10" i="1"/>
  <c r="H16" i="1" s="1"/>
  <c r="J9" i="1"/>
  <c r="H9" i="1"/>
  <c r="J8" i="1"/>
  <c r="H8" i="1"/>
  <c r="J7" i="1"/>
  <c r="H7" i="1"/>
  <c r="J6" i="1"/>
  <c r="H6" i="1"/>
  <c r="M44" i="8" l="1"/>
  <c r="Q44" i="8"/>
  <c r="AC44" i="8"/>
  <c r="AG44" i="8"/>
  <c r="AS44" i="8"/>
  <c r="AW44" i="8"/>
  <c r="BI44" i="8"/>
  <c r="BM44" i="8"/>
  <c r="BY44" i="8"/>
  <c r="E44" i="8"/>
  <c r="I44" i="8"/>
  <c r="U44" i="8"/>
  <c r="Y44" i="8"/>
  <c r="AK44" i="8"/>
  <c r="AO44" i="8"/>
  <c r="BA44" i="8"/>
  <c r="BE44" i="8"/>
  <c r="BQ44" i="8"/>
  <c r="BU44" i="8"/>
</calcChain>
</file>

<file path=xl/sharedStrings.xml><?xml version="1.0" encoding="utf-8"?>
<sst xmlns="http://schemas.openxmlformats.org/spreadsheetml/2006/main" count="6743" uniqueCount="1894">
  <si>
    <t>South Africa</t>
  </si>
  <si>
    <t>Data</t>
  </si>
  <si>
    <t>GDP 2014</t>
  </si>
  <si>
    <t>GDP 2015</t>
  </si>
  <si>
    <t>Real GDP (millions)</t>
  </si>
  <si>
    <t>Nominal GDP (millions)</t>
  </si>
  <si>
    <t>Real GDP per capita</t>
  </si>
  <si>
    <t>Nominal GDP per capita</t>
  </si>
  <si>
    <t>Population</t>
  </si>
  <si>
    <t xml:space="preserve">Total </t>
  </si>
  <si>
    <t>Male</t>
  </si>
  <si>
    <t>Female</t>
  </si>
  <si>
    <t>0-14 years</t>
  </si>
  <si>
    <t>15-29 years</t>
  </si>
  <si>
    <t>Households</t>
  </si>
  <si>
    <t>Household size</t>
  </si>
  <si>
    <t>Land Surface area</t>
  </si>
  <si>
    <t xml:space="preserve">                                                                                                               </t>
  </si>
  <si>
    <t>Format</t>
  </si>
  <si>
    <r>
      <t>Number, Rand and km</t>
    </r>
    <r>
      <rPr>
        <vertAlign val="superscript"/>
        <sz val="10"/>
        <rFont val="Arial"/>
        <family val="2"/>
      </rPr>
      <t>2</t>
    </r>
  </si>
  <si>
    <t>Data source</t>
  </si>
  <si>
    <t>1) South African Reserve Bank (SARB). https://www.resbank.co.za/Research/Statistics/Pages/OnlineDownloadFacility.aspx, accessed 2016/11/07. 
2) Statistics South Africa's Mid Term Population estimates 2015
3) Statistics South Africa's General Household Survey (GHS) 2015
4) Own calculation
5) Statistics South Africa's Census 2011</t>
  </si>
  <si>
    <t>Data note</t>
  </si>
  <si>
    <r>
      <t xml:space="preserve">Real GDP and GDP per capita figures are annualised.  National accounts data rebased to 2010 constant prices
The exchange rate of </t>
    </r>
    <r>
      <rPr>
        <sz val="10"/>
        <color rgb="FFFF0000"/>
        <rFont val="Arial"/>
        <family val="2"/>
      </rPr>
      <t>R10.84 for 2014 and R12.75 for 2015</t>
    </r>
    <r>
      <rPr>
        <sz val="10"/>
        <color theme="1"/>
        <rFont val="Arial"/>
        <family val="2"/>
      </rPr>
      <t xml:space="preserve"> is used to compare with the US dollar. 
Average household calculated by dividing total population by total numbner of households.</t>
    </r>
  </si>
  <si>
    <r>
      <t>Indicator</t>
    </r>
    <r>
      <rPr>
        <sz val="10"/>
        <rFont val="Arial"/>
        <family val="2"/>
      </rPr>
      <t xml:space="preserve">     </t>
    </r>
  </si>
  <si>
    <t xml:space="preserve">Gross Domestic Product (GDP) growth </t>
  </si>
  <si>
    <r>
      <t>Category</t>
    </r>
    <r>
      <rPr>
        <sz val="10"/>
        <rFont val="Arial"/>
        <family val="2"/>
      </rPr>
      <t xml:space="preserve">     </t>
    </r>
  </si>
  <si>
    <t>Current growth</t>
  </si>
  <si>
    <t>Goal</t>
  </si>
  <si>
    <t>GDP growth of 5 percent per year</t>
  </si>
  <si>
    <t>Trend analysis</t>
  </si>
  <si>
    <t>Table 1</t>
  </si>
  <si>
    <t>GDP GROWTH (Year on Year) South Africa</t>
  </si>
  <si>
    <t>1994</t>
  </si>
  <si>
    <t>1995</t>
  </si>
  <si>
    <t>1996</t>
  </si>
  <si>
    <t>1997</t>
  </si>
  <si>
    <t>1998</t>
  </si>
  <si>
    <t>1999</t>
  </si>
  <si>
    <t>2000</t>
  </si>
  <si>
    <t>2001</t>
  </si>
  <si>
    <t>2002</t>
  </si>
  <si>
    <t>2003</t>
  </si>
  <si>
    <t>2004</t>
  </si>
  <si>
    <t>2005</t>
  </si>
  <si>
    <t>2006</t>
  </si>
  <si>
    <t>2007</t>
  </si>
  <si>
    <t>2008</t>
  </si>
  <si>
    <t>2009</t>
  </si>
  <si>
    <t>2010</t>
  </si>
  <si>
    <t>2011</t>
  </si>
  <si>
    <t>2012</t>
  </si>
  <si>
    <t>2013</t>
  </si>
  <si>
    <t>GDP growth</t>
  </si>
  <si>
    <t>%</t>
  </si>
  <si>
    <t>Table 2</t>
  </si>
  <si>
    <t>GDP Growth ( Year on Year) Other countries</t>
  </si>
  <si>
    <t>Country</t>
  </si>
  <si>
    <t>Argentina</t>
  </si>
  <si>
    <t>Australia</t>
  </si>
  <si>
    <t>Botswana</t>
  </si>
  <si>
    <t>Brazil</t>
  </si>
  <si>
    <t>Canada</t>
  </si>
  <si>
    <t>Chile</t>
  </si>
  <si>
    <t>Colombia</t>
  </si>
  <si>
    <t>Ghana</t>
  </si>
  <si>
    <t>Iceland</t>
  </si>
  <si>
    <t>India</t>
  </si>
  <si>
    <t>Indonsia</t>
  </si>
  <si>
    <t>Kenya</t>
  </si>
  <si>
    <t>Korea, Republic</t>
  </si>
  <si>
    <t>Malaysia</t>
  </si>
  <si>
    <t>Mexico</t>
  </si>
  <si>
    <t>Poland</t>
  </si>
  <si>
    <t>Portugal</t>
  </si>
  <si>
    <t>Slovak Rep</t>
  </si>
  <si>
    <t>Spain</t>
  </si>
  <si>
    <t>Graph</t>
  </si>
  <si>
    <t>Data format</t>
  </si>
  <si>
    <t>Percentage change in GDP</t>
  </si>
  <si>
    <t>Definition</t>
  </si>
  <si>
    <t xml:space="preserve">GDP is the market value of all final goods and services produced within a country in a given period of time. Real GDP is the nominal GDP adjusted for inflation </t>
  </si>
  <si>
    <t>1. South African Reserve Bank (SARB) Quarterly Bulletins based on Statistics South Africa's data.
2. World Bank Development Indicators, www.worldbank.org</t>
  </si>
  <si>
    <t>Data Note</t>
  </si>
  <si>
    <t>Annual percentage growth rate of GDP at market prices. Quarterly percentage growth rates based on constant 2010 rand prices. Additional quarterly data is available on Excel version on the Department of Planning, Monitoring and Evaluation (DPME) website: www.thepresidency-dpme.gov.za</t>
  </si>
  <si>
    <t>M</t>
  </si>
  <si>
    <t>J</t>
  </si>
  <si>
    <t>S</t>
  </si>
  <si>
    <t>D</t>
  </si>
  <si>
    <r>
      <t>Indicator</t>
    </r>
    <r>
      <rPr>
        <sz val="10"/>
        <color indexed="10"/>
        <rFont val="Arial"/>
        <family val="2"/>
      </rPr>
      <t xml:space="preserve">     </t>
    </r>
  </si>
  <si>
    <t>Real per capita GDP growth</t>
  </si>
  <si>
    <r>
      <t>Category</t>
    </r>
    <r>
      <rPr>
        <sz val="10"/>
        <color indexed="10"/>
        <rFont val="Arial"/>
        <family val="2"/>
      </rPr>
      <t xml:space="preserve">     </t>
    </r>
  </si>
  <si>
    <t>To grow per capita income by 3 percent or more annually.</t>
  </si>
  <si>
    <t>Table</t>
  </si>
  <si>
    <t xml:space="preserve">Real per capita GDP growth </t>
  </si>
  <si>
    <t>Per Capita GDP</t>
  </si>
  <si>
    <t>Annual GDP per capita at 2010 constant prices: percentage change</t>
  </si>
  <si>
    <t>GDP divided by population</t>
  </si>
  <si>
    <t>South African Reserve Bank (SARB) Quarterly Bulletins based on Statistics South Africa's data. Data supplied by National Treasury</t>
  </si>
  <si>
    <t>The quarterly data series is used  to update the graph, while the table uses annual data</t>
  </si>
  <si>
    <t>Net Foreign Direct Investment ( Net FDI)</t>
  </si>
  <si>
    <t>Sustainable growth</t>
  </si>
  <si>
    <t>To increase Foreign Direct Investment in South Africa</t>
  </si>
  <si>
    <t xml:space="preserve">Table </t>
  </si>
  <si>
    <t>R'bn</t>
  </si>
  <si>
    <t>2014</t>
  </si>
  <si>
    <t>2015</t>
  </si>
  <si>
    <t>FDI</t>
  </si>
  <si>
    <t>Annual data: display only year, not month</t>
  </si>
  <si>
    <t xml:space="preserve">Ashraf: we need to have the same data in dollar terms </t>
  </si>
  <si>
    <t>Annual figures in rand in billions</t>
  </si>
  <si>
    <t xml:space="preserve">Net Foreign Direct Investment is long-term direct investment by foreigners in the economy </t>
  </si>
  <si>
    <t>South African Reserve Bank (SARB) Quarterly Bulletins, data supplied by National Treasury</t>
  </si>
  <si>
    <t xml:space="preserve">Gross fixed capital formation </t>
  </si>
  <si>
    <t xml:space="preserve">The rate of investment to GDP to rise to 30% by 2030. </t>
  </si>
  <si>
    <t>Gross Fixed Capital Formation</t>
  </si>
  <si>
    <t>GFCF</t>
  </si>
  <si>
    <t>GFCF Quarterly at annualised rate as a percentage of GDP</t>
  </si>
  <si>
    <t>Gross fixed capital formation is total fixed investment by private companies and individuals, SoEs and government, including depreciation.</t>
  </si>
  <si>
    <t>South African Reserve Bank (SARB) quarterly bulletins.</t>
  </si>
  <si>
    <t>Quarterly data series (annualised rate as a percentage of GDP) is used to update the graph, while the table presents annual data. Additional quarterly data is available on Excel version on the DPME website: www.thepresidency-dpme.gov.za</t>
  </si>
  <si>
    <t>Economic governance</t>
  </si>
  <si>
    <t>Fiscal policy adjustments to reduce the budget deficit</t>
  </si>
  <si>
    <t>Budget  Surplus or Deficit before borrowing as percentage of GDP</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</si>
  <si>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</si>
  <si>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</si>
  <si>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</si>
  <si>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</si>
  <si>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</si>
  <si>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</si>
  <si>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</si>
  <si>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</si>
  <si>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</si>
  <si>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</si>
  <si>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</si>
  <si>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</si>
  <si>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</si>
  <si>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</si>
  <si>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</si>
  <si>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</si>
  <si>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</si>
  <si>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</si>
  <si>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</si>
  <si>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</si>
  <si>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</si>
  <si>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</si>
  <si>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Budget Deficit</t>
  </si>
  <si>
    <t>Budget deficit/surplus as a percentage of GDP</t>
  </si>
  <si>
    <t>Budget surplus or deficit before borrowing (the difference between total government revenue and expenditure) as percentage of GDP.</t>
  </si>
  <si>
    <t>National Treasury, Medium Term Budget Policy Statement, Budget Review and National Treasury Budget Vote debate</t>
  </si>
  <si>
    <t>Government debt</t>
  </si>
  <si>
    <t>Consolidation to stabilise and reduce government’s debt-to-GDP ratio</t>
  </si>
  <si>
    <t>Net Government debt as a percentage of GDP</t>
  </si>
  <si>
    <t>Net Government Debt</t>
  </si>
  <si>
    <t>Gross government debt as percentage of GDP</t>
  </si>
  <si>
    <t>Net loan debt is gross loan debt minus National Revenue Fund (NRF) bank balances. It is calculated with due account of the bank balances of the NRF (balances of government's accounts with the SARB and the tax and loans accounts with commercial banks). Forward estimates of foreign debt are based on National Treasury's exchange rate projections, which are based on fiscal years startingfrom 1 April every year.</t>
  </si>
  <si>
    <t>South African Reserve Bank. Data supplied by National Treasury</t>
  </si>
  <si>
    <t xml:space="preserve">Data note </t>
  </si>
  <si>
    <t>SARB data provided by National Treasury.
Additional data is available on Excel version on the DPME website: www.thepresidency-dpme.gov.za</t>
  </si>
  <si>
    <t>Interest rates: real and nominal</t>
  </si>
  <si>
    <t>Macroeconomic stability</t>
  </si>
  <si>
    <t>Lower real interest rate that promotes the sustainability of growth and employment creation</t>
  </si>
  <si>
    <t>Interest Rates</t>
  </si>
  <si>
    <t>Real Interest</t>
  </si>
  <si>
    <t>Nominal Interest</t>
  </si>
  <si>
    <t xml:space="preserve">                                                                                                                                                                                                                                     </t>
  </si>
  <si>
    <t>`</t>
  </si>
  <si>
    <t>Rate</t>
  </si>
  <si>
    <t>Nominal interest rate is prime overdraft rate; Real interest rate is prime less Consumer Price Inflation (CPI) rate.</t>
  </si>
  <si>
    <t xml:space="preserve">South African Reserve Bank (SARB). Data supplied by National Treasury </t>
  </si>
  <si>
    <t>Real interest rates calculated in the past using CPI as the deflator (See indicator 8: Inflation Measures). Additional quarterly data is available on Excel version on the DPME website: www.thepresidency-dpme.gov.za</t>
  </si>
  <si>
    <t>Real interest</t>
  </si>
  <si>
    <t>Nominal interest</t>
  </si>
  <si>
    <t>Average Interest</t>
  </si>
  <si>
    <t xml:space="preserve">Average Nominal </t>
  </si>
  <si>
    <t>Real</t>
  </si>
  <si>
    <t>Nom</t>
  </si>
  <si>
    <t>CPI</t>
  </si>
  <si>
    <t>Inflation measures: Consumer Price Index (CPI)</t>
  </si>
  <si>
    <t xml:space="preserve">Consumer price Inflation should be between 3 percent and 6 percent </t>
  </si>
  <si>
    <t>Inflation Measures</t>
  </si>
  <si>
    <t>Average</t>
  </si>
  <si>
    <t>CPI Rate</t>
  </si>
  <si>
    <t>CPI is the rise in prices of a typical basket of goods, as measured by Stats SA. The currently targeted inflation is the headline CPI for all urban areas.</t>
  </si>
  <si>
    <t>Statistics South Africa's CPI and CPIX data. Data provided by National Treasury</t>
  </si>
  <si>
    <t>Quarterly data series is used for bringing the graph up to date while the table presents annual data. CPIX was used between 2000 and 2009 as a measure of inflation. CPI was not the target measure of inflation prior to 2009. Additional quarterly data is available on Excel version on the DPME website: www.thepresidency-dpme.gov.za</t>
  </si>
  <si>
    <t xml:space="preserve">CPI </t>
  </si>
  <si>
    <t>Bond points spread</t>
  </si>
  <si>
    <t>South Africa should pay as small a premium as possible on its bonds issues</t>
  </si>
  <si>
    <t>Bond Point Spread</t>
  </si>
  <si>
    <t>Bond Points Spread</t>
  </si>
  <si>
    <t xml:space="preserve">Rate </t>
  </si>
  <si>
    <t>Bond points spread is the measurement of risk between developed and developing economy in terms of difference paid for borrowing.</t>
  </si>
  <si>
    <t>JP Morgan Emerging Market Bond Index, South African data via Bloomberg (JPBSGDSA index).</t>
  </si>
  <si>
    <t>The quarterly data series is used for the graph, while the table presents annual data. Additional quarterly data is available on Excel version on the DPME website: www.thepresidency-dpme.gov.za</t>
  </si>
  <si>
    <t>Bond point spread</t>
  </si>
  <si>
    <t>Expenditure on Research and Development (R&amp;D)</t>
  </si>
  <si>
    <t>Future competitiveness</t>
  </si>
  <si>
    <t>To achieve R&amp;D expenditure of at least 1.5% of GDP by 2019</t>
  </si>
  <si>
    <t xml:space="preserve">Expenditure on Research and Development as percentage of GDP </t>
  </si>
  <si>
    <t>R' thousands</t>
  </si>
  <si>
    <t>1991/92</t>
  </si>
  <si>
    <t>Business enterprise</t>
  </si>
  <si>
    <t>Government</t>
  </si>
  <si>
    <t>Higher education</t>
  </si>
  <si>
    <t>Not-for-profit</t>
  </si>
  <si>
    <t>Science councils</t>
  </si>
  <si>
    <t xml:space="preserve">Gross Expenditure on R&amp;D </t>
  </si>
  <si>
    <t>% of GDP</t>
  </si>
  <si>
    <t>Total researchers (headcount)</t>
  </si>
  <si>
    <r>
      <t xml:space="preserve">Total researchers (FTE) </t>
    </r>
    <r>
      <rPr>
        <vertAlign val="superscript"/>
        <sz val="10"/>
        <rFont val="Arial"/>
        <family val="2"/>
      </rPr>
      <t>b</t>
    </r>
  </si>
  <si>
    <r>
      <t>Total researchers per 1000 total employment (FTE)</t>
    </r>
    <r>
      <rPr>
        <vertAlign val="superscript"/>
        <sz val="10"/>
        <rFont val="Arial"/>
        <family val="2"/>
      </rPr>
      <t>c</t>
    </r>
  </si>
  <si>
    <t>Amount of private and public funds spent on research and experimental development. R&amp;D expenditure for the government sector for the years 1993/94 and 1997/98 includes science councils. R&amp;D comprise creative work undertaken on a systematic basis in order to increase the stock of knowledge, including knowledge in humanity, culture and society, and the use of this stock of knowledge to devise new applications.   FTE = Full Time Equivalent, this conversion is used to express the amount of time a researcher spent conducting R&amp;D. Researchers are professionals engaged in the conception or creation of new knowledge, product, processes, methods and systems, and in the management of the projects concerned. Researchers includes doctoral students and postdoctoral fellows. GERD as a percentage of GDP is an indicator of R&amp;D intensity in an economy.</t>
  </si>
  <si>
    <t>National Surveys of Research and Experimental Development  2001-2012 commissioned by the Department of Science and Technology to Human Sciences Research Council-Center for Science Technology and Innovation Indicators; 1991-1998 commissioned by former Department of Arts, Science, Culture and Technology to former Foundation for Research and Development</t>
  </si>
  <si>
    <r>
      <t xml:space="preserve">Total researchers (FTE) </t>
    </r>
    <r>
      <rPr>
        <vertAlign val="superscript"/>
        <sz val="8"/>
        <color indexed="8"/>
        <rFont val="Arial"/>
        <family val="2"/>
      </rPr>
      <t>b</t>
    </r>
  </si>
  <si>
    <r>
      <t>Total researchers per 1000 total employment (FTE)</t>
    </r>
    <r>
      <rPr>
        <vertAlign val="superscript"/>
        <sz val="8"/>
        <color indexed="8"/>
        <rFont val="Arial"/>
        <family val="2"/>
      </rPr>
      <t>c</t>
    </r>
  </si>
  <si>
    <t>Information and communication technology</t>
  </si>
  <si>
    <t>Infrastructure</t>
  </si>
  <si>
    <t>To improve ICT infrastructure of South Africa, particularly broadband penetration to 100% by 2020</t>
  </si>
  <si>
    <t>Telephone, Cellular, Internet and Broadband subscribers</t>
  </si>
  <si>
    <t>Mobile cellular subscriptions</t>
  </si>
  <si>
    <t>Mobile cellular subscriptions (per 100 people)</t>
  </si>
  <si>
    <t>Telephone lines</t>
  </si>
  <si>
    <t>Telephone lines (per 100 people)</t>
  </si>
  <si>
    <t>Fixed broadband Internet subscribers</t>
  </si>
  <si>
    <t>Fixed broadband Internet subscribers (per 100 people)</t>
  </si>
  <si>
    <t>Secure Internet servers</t>
  </si>
  <si>
    <t>Secure Internet servers (per 1 million people)</t>
  </si>
  <si>
    <t>Internet users (per 100 people)</t>
  </si>
  <si>
    <t>Network readiness index</t>
  </si>
  <si>
    <t>Rank</t>
  </si>
  <si>
    <t xml:space="preserve">Table 3
</t>
  </si>
  <si>
    <t>HOUSEHOLDS OWNING VARIOUS HOUSEHOLD  ICT GOODS</t>
  </si>
  <si>
    <t>Cellphone</t>
  </si>
  <si>
    <t>Radio</t>
  </si>
  <si>
    <t>Computer</t>
  </si>
  <si>
    <t>Television</t>
  </si>
  <si>
    <t>Landline telephone</t>
  </si>
  <si>
    <t>Table 3.1</t>
  </si>
  <si>
    <t>Number, ration, Index</t>
  </si>
  <si>
    <r>
      <t xml:space="preserve">Mobile cellular telephone subscriptions </t>
    </r>
    <r>
      <rPr>
        <sz val="10"/>
        <rFont val="Arial"/>
        <family val="2"/>
      </rPr>
      <t>are subscriptions to a public mobile telephone service using cellular technology, which provide access to the public switched telephone network. Post-paid and prepaid subscriptions are included.</t>
    </r>
    <r>
      <rPr>
        <u/>
        <sz val="10"/>
        <rFont val="Arial"/>
        <family val="2"/>
      </rPr>
      <t xml:space="preserve">
Telephone lines are </t>
    </r>
    <r>
      <rPr>
        <sz val="10"/>
        <rFont val="Arial"/>
        <family val="2"/>
      </rPr>
      <t>fixed telephone lines that connect a subscriber's terminal equipment to the public switched telephone network and that have a port on a telephone exchange. Integrated services digital network channels ands fixed wireless subscribers are included.</t>
    </r>
    <r>
      <rPr>
        <u/>
        <sz val="10"/>
        <rFont val="Arial"/>
        <family val="2"/>
      </rPr>
      <t xml:space="preserve">
Fixed broadband Internet subscribers </t>
    </r>
    <r>
      <rPr>
        <sz val="10"/>
        <rFont val="Arial"/>
        <family val="2"/>
      </rPr>
      <t>are the number of broadband subscribers with a digital subscriber line, cable modem, or other high-speed technology.</t>
    </r>
    <r>
      <rPr>
        <u/>
        <sz val="10"/>
        <rFont val="Arial"/>
        <family val="2"/>
      </rPr>
      <t xml:space="preserve">
Secure servers </t>
    </r>
    <r>
      <rPr>
        <sz val="10"/>
        <rFont val="Arial"/>
        <family val="2"/>
      </rPr>
      <t>are servers using encryption technology in Internet transactions.</t>
    </r>
    <r>
      <rPr>
        <u/>
        <sz val="10"/>
        <rFont val="Arial"/>
        <family val="2"/>
      </rPr>
      <t xml:space="preserve">
Internet users </t>
    </r>
    <r>
      <rPr>
        <sz val="10"/>
        <rFont val="Arial"/>
        <family val="2"/>
      </rPr>
      <t>are people with access to the worldwide network. The network readiness index details an economics' performance in each of the 54 indicators that are organized by pillars. These indicators are measured on a scale of one to seven (where one corresponds to the worst and seven correspond to best outcomes). In terms of country ranking, a rank of one represents strong performance in network readiness while a ranking of 144 represents weak performance.</t>
    </r>
    <r>
      <rPr>
        <u/>
        <sz val="10"/>
        <rFont val="Arial"/>
        <family val="2"/>
      </rPr>
      <t xml:space="preserve">
</t>
    </r>
  </si>
  <si>
    <t>Table 1) The  World Telecommunication/ICT Indicators Database . www.itu.int/en/ITU-D/Statistics
Table 2) World Economic Forum (www.weforum.org) [PDF] The Global Information Technology Report 2015 
http://data.worldbank.org/indicator/IT.NET.SECR.P6?locations=ZA
Table 3) Census 2011 Statistical release P0301.4 Page 62</t>
  </si>
  <si>
    <t>"The Network Readiness Index : The countries are ranked out of a total of 144 countries
Numbers for subscribers rounded off to the nearest
For 2013 the countries were ranked out of a total of 144 countries"            
Additional data on the network readiness index and households owning various ICT goods is available in Excel version on the DPME website: www.thepresidency-dpme.gov.za</t>
  </si>
  <si>
    <t xml:space="preserve">Patents </t>
  </si>
  <si>
    <t>To improve the competitiveness of South Africa's economy</t>
  </si>
  <si>
    <t xml:space="preserve">South African Patent Office Statistics </t>
  </si>
  <si>
    <t>New Applications</t>
  </si>
  <si>
    <t>Certificates</t>
  </si>
  <si>
    <t>Renewals</t>
  </si>
  <si>
    <t>Patent Cooperation Treaty</t>
  </si>
  <si>
    <t>South African Patents granted by other patent offices</t>
  </si>
  <si>
    <t>United States of America</t>
  </si>
  <si>
    <t>European Patent Office</t>
  </si>
  <si>
    <t>China</t>
  </si>
  <si>
    <t>United Kingdom</t>
  </si>
  <si>
    <t>New Zealand</t>
  </si>
  <si>
    <t>Singapore</t>
  </si>
  <si>
    <t>Russian Federation</t>
  </si>
  <si>
    <t>Republic of Korea</t>
  </si>
  <si>
    <t>Japan</t>
  </si>
  <si>
    <t>Others</t>
  </si>
  <si>
    <t>Total</t>
  </si>
  <si>
    <t>Table 3</t>
  </si>
  <si>
    <t>Patents applicants by top fields of technology  (1998 to 2014)</t>
  </si>
  <si>
    <t>1997 to 2012</t>
  </si>
  <si>
    <t>2000 to 2014</t>
  </si>
  <si>
    <t>Field of Technology</t>
  </si>
  <si>
    <t>Share</t>
  </si>
  <si>
    <t>Civil engineering</t>
  </si>
  <si>
    <t>Materials, metallurgy</t>
  </si>
  <si>
    <t xml:space="preserve">Basic materials chemistry </t>
  </si>
  <si>
    <t>Chemical engineering</t>
  </si>
  <si>
    <t>Medical technology</t>
  </si>
  <si>
    <t>Handling</t>
  </si>
  <si>
    <t>Furniture, games</t>
  </si>
  <si>
    <t>Other special machines</t>
  </si>
  <si>
    <t>Transport</t>
  </si>
  <si>
    <t>Electrical machinery, apparatus, energy</t>
  </si>
  <si>
    <t>Table 4</t>
  </si>
  <si>
    <t>National patents grants</t>
  </si>
  <si>
    <t>Resident</t>
  </si>
  <si>
    <t>1,010</t>
  </si>
  <si>
    <t>Non-Resident</t>
  </si>
  <si>
    <t>6,663</t>
  </si>
  <si>
    <t>6,179</t>
  </si>
  <si>
    <t>2,497</t>
  </si>
  <si>
    <t>1,858</t>
  </si>
  <si>
    <t>4,167</t>
  </si>
  <si>
    <t>4,835</t>
  </si>
  <si>
    <t>4,509</t>
  </si>
  <si>
    <t>4,729</t>
  </si>
  <si>
    <t>5,520</t>
  </si>
  <si>
    <t>4,282</t>
  </si>
  <si>
    <t>4,620</t>
  </si>
  <si>
    <t>Abroad</t>
  </si>
  <si>
    <t>Numbers</t>
  </si>
  <si>
    <t xml:space="preserve">A Patent is a set of exclusive rights granted by a state (national government) to an inventor or their assignee for a limited period of time in exchange for a public disclosure of an invention). The statistics are based on data collected from IP offices or extracted from the PATSTAT (Patent Statistics) database (for statistics by field of technology). Data might be missing for some years and offices or may be incomplete for some origins. A resident filing refers to an application filed in the country by its own resident; whereas a non-resident filing refers to the one filed by a foreign applicant. An abroad filing refers to an application filed by this country's resident at a foreign office. </t>
  </si>
  <si>
    <t>Companies and Intellectual Property Registration Office (CIPRO); 
Table 2, 3 and 4: WIPO (World Intellectual Property Organisation) statistics database, 2014. (http://www.wipo.int/ipstats/en/statistics/patents/index.html).</t>
  </si>
  <si>
    <t>The statistics are based on data collected from IP offices or extracted from the Worldwide Patent Statistical (PATSTAT) Database (for statistics by field of technology). Data might be missing for some years and offices or may be incomplete for some origins. Where an office provides total filings without breaking them down into resident and non-resident filings, WIPO divides the total count using the historical share of resident filings at that office. Additional data is available on Excel version on the DPME website: www.thepresidency-dpme.gov.za</t>
  </si>
  <si>
    <t>Balance of payments</t>
  </si>
  <si>
    <t>Competitiveness</t>
  </si>
  <si>
    <t>To increase the ratio of exports to GDP</t>
  </si>
  <si>
    <t>Exports, Imports, Trade balance and balance on current account</t>
  </si>
  <si>
    <t xml:space="preserve">Imports </t>
  </si>
  <si>
    <t>Exports</t>
  </si>
  <si>
    <t>Trade balance</t>
  </si>
  <si>
    <t xml:space="preserve">Balance on current account </t>
  </si>
  <si>
    <t>Percentage of GDP</t>
  </si>
  <si>
    <t>Trade balance refers to: Merchandise exports plus Net gold exports minus Merchandise imports (free on board)
Balance on current account refers to: Trade balance + net income payments + net service payments + current transfers.
Exports refers to: The quantity or value of all that is exported from a country
Imports refers to: The quantity or value of all that is imported into a country</t>
  </si>
  <si>
    <t>South African Reserve Bank (SARB) Quarterly Bulletins. Data supplied by National Treasury</t>
  </si>
  <si>
    <t>Trade balance is calculated by adding merchandise exports to net gold exports and then subtracting merchandise imports. The quarterly data is used for the graph to bring it up to date, while the table provides the annual data up to December of each year. Additional quarterly data is available on Excel version on the DPME website: www.thepresidencydpme.gov.za</t>
  </si>
  <si>
    <t>Exports (constant 2000 prices) R'billions</t>
  </si>
  <si>
    <t xml:space="preserve">Ratio of exports to GDP </t>
  </si>
  <si>
    <t>Volume of Trade (2000=base)</t>
  </si>
  <si>
    <t>Exports (excluding gold)</t>
  </si>
  <si>
    <t>Gold exports</t>
  </si>
  <si>
    <t>Exports (including gold)</t>
  </si>
  <si>
    <t>Imports</t>
  </si>
  <si>
    <t>Net services receipts</t>
  </si>
  <si>
    <t>Net income receipts</t>
  </si>
  <si>
    <t>Current account (excluding SACU payments)</t>
  </si>
  <si>
    <t>SACU payments</t>
  </si>
  <si>
    <t>Current account (including SACU payments)</t>
  </si>
  <si>
    <t>Ratio of exports to GDP (%)</t>
  </si>
  <si>
    <t>Trade balance to GDP ratio</t>
  </si>
  <si>
    <t>ZAR/US$</t>
  </si>
  <si>
    <t xml:space="preserve"> </t>
  </si>
  <si>
    <t xml:space="preserve">   </t>
  </si>
  <si>
    <t xml:space="preserve">Merchandise Imports (% of GDP) </t>
  </si>
  <si>
    <t xml:space="preserve">Merchandise Exports (% of GDP) </t>
  </si>
  <si>
    <t>Balance on current account  (% GDP)</t>
  </si>
  <si>
    <t>South Africa's Competitiveness Outlook</t>
  </si>
  <si>
    <t>To promote the international competitiveness of South Africa's economy</t>
  </si>
  <si>
    <t>Global Competitiveness - WEF</t>
  </si>
  <si>
    <t>2015/16</t>
  </si>
  <si>
    <t>Estonia</t>
  </si>
  <si>
    <t>Lithuania</t>
  </si>
  <si>
    <t>Slovakia</t>
  </si>
  <si>
    <t>Latvia</t>
  </si>
  <si>
    <t>Hungary</t>
  </si>
  <si>
    <t>Mauritius</t>
  </si>
  <si>
    <t>Romania</t>
  </si>
  <si>
    <t>No. of Countries</t>
  </si>
  <si>
    <t>Global Competitiveness - IMD</t>
  </si>
  <si>
    <t>Overall rankings</t>
  </si>
  <si>
    <t>no data</t>
  </si>
  <si>
    <t>Slovakia ( Republic)</t>
  </si>
  <si>
    <t xml:space="preserve">South Africa </t>
  </si>
  <si>
    <t>Ranking by category : South Africa only</t>
  </si>
  <si>
    <t>Economic performance</t>
  </si>
  <si>
    <t>Government efficiency</t>
  </si>
  <si>
    <t>Business efficiency</t>
  </si>
  <si>
    <t>Normalised data of the selected economic group - Upper Middle Income Economies</t>
  </si>
  <si>
    <t>In its Global Competitiveness Index WEF defines competitiveness as a set of institutions, policies, and factors that determine the level of productivity of a country. Data format is based on normalised data of the selected economic group - Upper Middle Income Economies. The World Competitiveness Yearbook ranks and analyses the ability of nations to create and maintain an environment in which enterprises can compete. The lower the rank the more competitive.</t>
  </si>
  <si>
    <t xml:space="preserve">The Global Competitiveness Reports 2006-2014; World Economic Forum (WEF).www.weforum.org/reports; International Institute for Management Development (IMD) (www.imd.ch), Switzerland; Productivity Institute South Africa. </t>
  </si>
  <si>
    <t>Global Competitiveness Index - Sub indexes and Pillars</t>
  </si>
  <si>
    <t>2007-2008 Global Rank</t>
  </si>
  <si>
    <t>2006-2007 Global Rank</t>
  </si>
  <si>
    <t>2005-2006 Global Rank</t>
  </si>
  <si>
    <t>NO</t>
  </si>
  <si>
    <t>Sub Index</t>
  </si>
  <si>
    <t>Score</t>
  </si>
  <si>
    <t>SA's Competitiveness Outlook - WEF</t>
  </si>
  <si>
    <t>First Sub Index</t>
  </si>
  <si>
    <t>1. Basic Requirements</t>
  </si>
  <si>
    <t>Pillars</t>
  </si>
  <si>
    <t>1.1. Institutions</t>
  </si>
  <si>
    <t>1.2. Infrastructure</t>
  </si>
  <si>
    <t>1.3. Macroeconomic Stability</t>
  </si>
  <si>
    <t>1.4. Health and Primary Education</t>
  </si>
  <si>
    <t>Second Sub Index</t>
  </si>
  <si>
    <t>2. Efficiency Enhancers</t>
  </si>
  <si>
    <t>2.1. Higher Education and Training</t>
  </si>
  <si>
    <t>2.2. Goods Market Efficiency</t>
  </si>
  <si>
    <t>2.3. Labour Market Efficiency</t>
  </si>
  <si>
    <t>2.4. Financial Market and Sophistication</t>
  </si>
  <si>
    <t>2.5. Technological Readiness</t>
  </si>
  <si>
    <t>2.6. Market Size</t>
  </si>
  <si>
    <t>Third Index</t>
  </si>
  <si>
    <t>3. Innovation and Sophistication Factors</t>
  </si>
  <si>
    <t>3.1. Business Sophistication</t>
  </si>
  <si>
    <t>3.2. Innovation</t>
  </si>
  <si>
    <t>2008 Global Rank</t>
  </si>
  <si>
    <t>2007 Global Rank</t>
  </si>
  <si>
    <t xml:space="preserve">SA's Competitiveness Outlook - IMD </t>
  </si>
  <si>
    <t>Knowledge Based Economy Index</t>
  </si>
  <si>
    <t>Transforming South Africa from a resource-based economy to become a knowledge-based economy</t>
  </si>
  <si>
    <t>Knowledge-based Economy Index</t>
  </si>
  <si>
    <t>Countries are ranked in order from “best” to “worst” using their actual scores on each variable. Then, their scores are normalized on a scale of 0 to 100 against all countries in the comparison group. 100 is the top score for the top performers and 0 the worst for the laggards.</t>
  </si>
  <si>
    <t>The Knowledge Economy Index (KEI) takes into account whether the environment is conducive for knowledge to be used effectively for economic development. It is an aggregate index that represents the overall level of development of a country or region towards the Knowledge Economy. The KEI is calculated based on the average of the formalised performance scores of a country or region on all 4 pillars related to the knowledge economy - economic incentives and institutional regime, education and human resource, the innovation system and ICT.</t>
  </si>
  <si>
    <t>Black and Female Managers</t>
  </si>
  <si>
    <t>Empowerment</t>
  </si>
  <si>
    <t xml:space="preserve">To broadly reflect the demographic composition of the country in the management of companies and organisations </t>
  </si>
  <si>
    <t>Percentage of top and senior managers who are black</t>
  </si>
  <si>
    <t>Top managers</t>
  </si>
  <si>
    <t>Senior Managers</t>
  </si>
  <si>
    <t>Percentage of top and senior managers who are female</t>
  </si>
  <si>
    <t>Top Managers</t>
  </si>
  <si>
    <t>Percentage</t>
  </si>
  <si>
    <t>Black managers include Africans, Coloureds and Indians, but data does not include male and female foreign nationals.</t>
  </si>
  <si>
    <t>For odd years (2001, 2003, 2005, 2007, 2009 ,2011, 2013) data is based on large companies only
For even years (2002, 2004, 2006, 2008, 2010, 2012, 2014) data is based on all companies (large and small)
Employers with 150 or more employees ( large employers) are required to submit reports annually and employers with less than 150 employees ( small employers) are expected to submit reports every two years to the Department of Labour
Data does not include male and female foreign nationals</t>
  </si>
  <si>
    <t>Department of Labour, Commission on Employment Equity (CEE) Annual Report 2015 - 2016, Appendix A Table on number of employees (including employess with disabilities)</t>
  </si>
  <si>
    <t>Top and Senior managers who are black</t>
  </si>
  <si>
    <t>Black Top managers</t>
  </si>
  <si>
    <t>Black Senior Managers</t>
  </si>
  <si>
    <t>Female Top Managers</t>
  </si>
  <si>
    <t>Female Senior Managers</t>
  </si>
  <si>
    <t>Unemployment (broad and narrow)</t>
  </si>
  <si>
    <t>Employment</t>
  </si>
  <si>
    <t>The goal is to cut unemployment by at least half to a maximum of 14 % in 2020</t>
  </si>
  <si>
    <t>narrow (official)</t>
  </si>
  <si>
    <t>broad (unofficial)</t>
  </si>
  <si>
    <t>Unemployment rate by province (Official)</t>
  </si>
  <si>
    <t>Province</t>
  </si>
  <si>
    <t>Western Cape</t>
  </si>
  <si>
    <t>Eastern Cape</t>
  </si>
  <si>
    <t>Northern Cape</t>
  </si>
  <si>
    <t>Free State</t>
  </si>
  <si>
    <t>KwaZulu-Natal</t>
  </si>
  <si>
    <t>North West</t>
  </si>
  <si>
    <t>Gauteng</t>
  </si>
  <si>
    <t>Mpumalanga</t>
  </si>
  <si>
    <t>Limpopo</t>
  </si>
  <si>
    <t>Number of discouraged workers by age</t>
  </si>
  <si>
    <t>15-24 yrs</t>
  </si>
  <si>
    <t>25-34 yrs</t>
  </si>
  <si>
    <t>35-44 yrs</t>
  </si>
  <si>
    <t>45-54 yrs</t>
  </si>
  <si>
    <t>55-64 yrs</t>
  </si>
  <si>
    <t>Long and short term unemployed</t>
  </si>
  <si>
    <t>Thousands ('000)</t>
  </si>
  <si>
    <t>Long term unemployed</t>
  </si>
  <si>
    <t>Short term unemployed</t>
  </si>
  <si>
    <t>Total unemployed</t>
  </si>
  <si>
    <t>Long term unemployed as a share of Total</t>
  </si>
  <si>
    <t>Percentage, numbers</t>
  </si>
  <si>
    <t>Narrow (official)- Number of people who were without work in the reference week, have taken steps to look for work or start a business and were available to work. Broad(unofficial) - Number of people who were without work in the reference week and were available to work. Persons in short-term unemployment have been unemployed, available for work, and looking for a job for less than one year. Persons in long-term unemployment have been unemployed, available for work, and looking for a job one year or longer. For international comparisons Stats SA uses the United Nations Definition of the youth as those aged between 15 and 24 years. According to the South African Youth Commission (SAYC) Act of 1996, youth is defined as young people between the ages of 15 to 34 years.</t>
  </si>
  <si>
    <t>Statistics South Africa's Labour Force Surveys (2001-2007) and Quaterly Labour Force Surveys (QLFS) (2008-2014).</t>
  </si>
  <si>
    <t>Annual data is derived by pooling together the four quarters of the QLFS. Individual weights are divided by four and reported numbers are the averages for the year. For LFS annual data obtained by averaging the biannual LFS (March and September). Additional data disaggregated by province and gender available on the Excel version on the DPME website: www.thepresidency-dpme.gov.za</t>
  </si>
  <si>
    <t>Unemployment rate by age group (2001 - 2010) - narrow only</t>
  </si>
  <si>
    <t>15 - 24</t>
  </si>
  <si>
    <t>25 - 34</t>
  </si>
  <si>
    <t>35 - 44</t>
  </si>
  <si>
    <t>45 - 54</t>
  </si>
  <si>
    <t>55 - 64</t>
  </si>
  <si>
    <t>Unemployment rate by gender</t>
  </si>
  <si>
    <t>Annual employment to increase by 350 000 in 2014/15 and therafter the rate of employment growth to increase with targets set annually</t>
  </si>
  <si>
    <t>Informal sector employment (excl agric)</t>
  </si>
  <si>
    <t>Formal sector employement (excl agric)</t>
  </si>
  <si>
    <t>Agriculture</t>
  </si>
  <si>
    <t>Private households</t>
  </si>
  <si>
    <t>Total Employment</t>
  </si>
  <si>
    <t>Population 15-64</t>
  </si>
  <si>
    <t>Labour absorption rate</t>
  </si>
  <si>
    <t>Labour force participation rate</t>
  </si>
  <si>
    <t>Labour absorption rate by province</t>
  </si>
  <si>
    <t>Persons aged 15-64 who did any work or who did not work but had a job or business in the seven days prior to the survey interview. Labour force participation rate is the proportion of the working-age population that is either employed or unemployed. Labour absorption rate is the proportion of the working-age population that is employed. For international comparisons Stats SA uses the United Nations Definition of the youth as those aged between 15 and 24 years. According to the National Youth Commission (SAYC) Act, 1996 (Act 19 of 1996), youth is defined as young people between the ages of 15 to 34 years.</t>
  </si>
  <si>
    <t>Statistics South Africa's Labour Force Surveys (2001-2007) and Quaterly Labour Force Surveys (QLFS) (2008-2014)</t>
  </si>
  <si>
    <t>Annual data is derived by pooling together the four quarters of the QLFS. For LFS annual data is obtained by averaging the biannual LFS (March and September). Additional data disaggregated by province and gender available on the Excel version on the DPME website: www.thepresidency-dpme.gov.za</t>
  </si>
  <si>
    <t>Labour force participation rate by province</t>
  </si>
  <si>
    <t>Labour force participation rate by gender</t>
  </si>
  <si>
    <t>Labour force absorption rate by gender</t>
  </si>
  <si>
    <t>Sep</t>
  </si>
  <si>
    <t xml:space="preserve">NET Work Opportunities created by the Expanded Public Works Programme (EPWP) </t>
  </si>
  <si>
    <t>EPWP</t>
  </si>
  <si>
    <t>To provide 6 000 000 work opportunities by 2019 through the labour-intensive delivery of public and community assets and services</t>
  </si>
  <si>
    <t xml:space="preserve"> PHASE 1-3 (2004/05 to 2014/15): Net work opportunities created</t>
  </si>
  <si>
    <t>Environment &amp; Culture</t>
  </si>
  <si>
    <t>Social</t>
  </si>
  <si>
    <t>Economic</t>
  </si>
  <si>
    <t>Non-State Sectors</t>
  </si>
  <si>
    <t>Community Works (DCoG)</t>
  </si>
  <si>
    <t>Non Profit Organisation (NPO)</t>
  </si>
  <si>
    <t>Annual total</t>
  </si>
  <si>
    <t>Cumulative total</t>
  </si>
  <si>
    <t>PHASE 3: EPWP Overall National Consolidated Report per sector for the period 1 April 2014 to 31 March 2015</t>
  </si>
  <si>
    <t>Number 
of Projects</t>
  </si>
  <si>
    <t>Person-years
of work
including training  (FTE)</t>
  </si>
  <si>
    <t xml:space="preserve">Person-Years 
of
training
</t>
  </si>
  <si>
    <t>Number 
of work
opportunities
created</t>
  </si>
  <si>
    <t xml:space="preserve">% of
 youth
</t>
  </si>
  <si>
    <t xml:space="preserve">% of women
</t>
  </si>
  <si>
    <t>% of people 
with
disabilities</t>
  </si>
  <si>
    <t xml:space="preserve">Infrastructure </t>
  </si>
  <si>
    <t>Environment and Culture</t>
  </si>
  <si>
    <t xml:space="preserve">Social </t>
  </si>
  <si>
    <t>PHASE 3: EPWP Overall National Consolidated Report per province for the period 1 April 2014 to 31 March 2015</t>
  </si>
  <si>
    <t>Person-years
of work
including training (FTE)</t>
  </si>
  <si>
    <t xml:space="preserve">% of 
women
</t>
  </si>
  <si>
    <t>Free Sate</t>
  </si>
  <si>
    <t>Number of work opportunities created</t>
  </si>
  <si>
    <t>A work opportunity is paid work created for an individual for any period of time. The same individual can be employed on different projects and each period of employment will be counted as a work opportunity. One Person-Year of work is equal to 230 paid working days including paid training days. Non State Sector includes Community works (DCoG) and Non profit organisation (NPO's)  * Work opportunities created with adjustments to account for multi-year projects.</t>
  </si>
  <si>
    <t>Department of Public Works; Expanded Public Works Programme Phase 1-3 data</t>
  </si>
  <si>
    <t>Blank fields imply that reporting bodies did not report on the requested information</t>
  </si>
  <si>
    <t>Work opportunities created by the community works Programme</t>
  </si>
  <si>
    <r>
      <t>1 000 000 (one million)</t>
    </r>
    <r>
      <rPr>
        <sz val="10"/>
        <color indexed="10"/>
        <rFont val="Arial"/>
        <family val="2"/>
      </rPr>
      <t xml:space="preserve"> </t>
    </r>
    <r>
      <rPr>
        <sz val="10"/>
        <rFont val="Arial"/>
        <family val="2"/>
      </rPr>
      <t>Work opportunities created through CWP by</t>
    </r>
    <r>
      <rPr>
        <sz val="10"/>
        <color indexed="10"/>
        <rFont val="Arial"/>
        <family val="2"/>
      </rPr>
      <t xml:space="preserve"> </t>
    </r>
    <r>
      <rPr>
        <sz val="10"/>
        <rFont val="Arial"/>
        <family val="2"/>
      </rPr>
      <t>2019</t>
    </r>
  </si>
  <si>
    <t>Number of opportunities created per province</t>
  </si>
  <si>
    <t>Demographics consolidated for Phase 2:  April 2009 - March 2015</t>
  </si>
  <si>
    <t>DPW; EPWP's five-year report 2004/05-2008/09; EPWP Phase 2 data.</t>
  </si>
  <si>
    <t xml:space="preserve">A work opprtunity is paid work created for an individual for any period of time. The same individual can be employed on different projects and each period of employment will be counted as a work opportunity. </t>
  </si>
  <si>
    <t>Figures do not add up due to double counting, for instance a participant could be a woman with special needs (disabilities). Additional up-to-date data disaggregated by province available on the Excel version on the DPME website: www.thepresidency-dpme.gov.za</t>
  </si>
  <si>
    <t xml:space="preserve">The NIDS data for wave 1 were collected in 2008, while the data for wave 2 were collected in 2010 and 2011. The wave 2 data have first been adjusted for "within-wave" inflation, before being adjusted to their real 2011 values. The welfare measure used here is real household income per capita. For the purposes of comparison, household income excludes implied rental income from owner-occupied housing. All observations are weighted using the post-stratification weights that were released along with the data in both waves. Despite NIDS being a panel, we treat both waves as cross-sections in this analysis. The wave 2 data contained some extremely large outliers in the post-stratified weight variable, and the 5 highest values were omitted from the analysis of this data due to their extremely large influence on some of the findings. 
The sampling frame for the  LCS (Living conditions survey) was obtained from StatsSA's master sampling (MS) based on the 2001 population census enumeration areas. The LCS was conducted during the period September 2008 to August 2009, thus the data collection for the survey coincided with the Global recession, this may have an impact on the survey results.  Since the survey took place over a period of 12 months, it was necessary to benchmark the reported expenditure to March 2009, which was midway into the survey year. Expenditure which took place before the end of February 2009 was inflated to March 2009 prices and Expenditure which took place after March 2009 was deflated back to March 2009 prices using Consumer Price Index (CPI) data. 
Household income collected from sampled dwelling units with one or more households. The household income was converted to per capita by dividing household income by household size. The income was converted to 2011 constant prices by applying a factor derived from CPI. Household consumption expenditure collected from sampled dwelling units with one or more households. The household consumption expenditure was converted to per capita by dividing household consumption expenditure by household size. The consumption expenditure was converted to 2011 constant prices by applying a factor derived from CPI. </t>
  </si>
  <si>
    <t>Notes on calculations</t>
  </si>
  <si>
    <t xml:space="preserve">Table 1 and 2 uses National Income Dynamic Study (NIDS) Wave1 and Wave 2 data sets. 
Table 3,4,5  uses Statsistics South Africa's (StatsSA) Living Conditions Survey  data sets(LCS) for 2008/09 and Income and Expenditure Survey (IES) for 2010/11
</t>
  </si>
  <si>
    <t>Income per capita per annum.</t>
  </si>
  <si>
    <t>Rand and Percent</t>
  </si>
  <si>
    <t>richest 20%</t>
  </si>
  <si>
    <t xml:space="preserve">richest 10% </t>
  </si>
  <si>
    <t>poorest 20%</t>
  </si>
  <si>
    <t>poorest 10%</t>
  </si>
  <si>
    <t>Rural 
formal</t>
  </si>
  <si>
    <t>Tribal 
area</t>
  </si>
  <si>
    <t>Urban
 informal</t>
  </si>
  <si>
    <t>Urban 
formal</t>
  </si>
  <si>
    <t>Settlement</t>
  </si>
  <si>
    <t>Gender</t>
  </si>
  <si>
    <t>Mean per capita 
expenditure</t>
  </si>
  <si>
    <t>Mean per capita 
 income</t>
  </si>
  <si>
    <t>StatsSA</t>
  </si>
  <si>
    <t xml:space="preserve">Average annual income and expenditure by gender and settlement </t>
  </si>
  <si>
    <t>Table 5</t>
  </si>
  <si>
    <t>RSA</t>
  </si>
  <si>
    <t>KwaZulu Natal</t>
  </si>
  <si>
    <t>Richest 20%</t>
  </si>
  <si>
    <t>Richest 10%</t>
  </si>
  <si>
    <t>Poorest 20%</t>
  </si>
  <si>
    <t>Poorest 10%</t>
  </si>
  <si>
    <t>Mean per capita  income and expenditure by province</t>
  </si>
  <si>
    <t>-</t>
  </si>
  <si>
    <t>White</t>
  </si>
  <si>
    <t>Indian/Asian</t>
  </si>
  <si>
    <t>Coloured</t>
  </si>
  <si>
    <t>Black African</t>
  </si>
  <si>
    <t>Mean per capita  income and expenditure by race</t>
  </si>
  <si>
    <t>Total: median</t>
  </si>
  <si>
    <t>Total: mean</t>
  </si>
  <si>
    <t>White: median</t>
  </si>
  <si>
    <t>White: mean</t>
  </si>
  <si>
    <t>Asian: median</t>
  </si>
  <si>
    <t>Asian: mean</t>
  </si>
  <si>
    <t>Coloured: median</t>
  </si>
  <si>
    <t>Coloured: mean</t>
  </si>
  <si>
    <t>African: median</t>
  </si>
  <si>
    <t>African: mean</t>
  </si>
  <si>
    <t>NIDS data</t>
  </si>
  <si>
    <t>Mean  per capita  income and expenditure</t>
  </si>
  <si>
    <t>Income</t>
  </si>
  <si>
    <t>Mean per capita Expenditure</t>
  </si>
  <si>
    <t>Mean per capita  income</t>
  </si>
  <si>
    <t xml:space="preserve"> per capita  income and expenditure</t>
  </si>
  <si>
    <t>To halve poverty between 2004 and 2014</t>
  </si>
  <si>
    <t>Poverty and inequality</t>
  </si>
  <si>
    <t xml:space="preserve">Per capita income </t>
  </si>
  <si>
    <t>South African Advertising Research Foundation (SAARF).</t>
  </si>
  <si>
    <t>LSM provides a segmentation of the South African market according to living standards using criteria such as degree of urbanisation and ownership of cars and major appliances.</t>
  </si>
  <si>
    <t>Number</t>
  </si>
  <si>
    <t>LSM 8-10</t>
  </si>
  <si>
    <t>LSM 10</t>
  </si>
  <si>
    <t>LSM 9</t>
  </si>
  <si>
    <t>LSM 8</t>
  </si>
  <si>
    <t>LSM 7</t>
  </si>
  <si>
    <t>LSM 6</t>
  </si>
  <si>
    <t>LSM 5</t>
  </si>
  <si>
    <t>LSM 4</t>
  </si>
  <si>
    <t>LSM 3</t>
  </si>
  <si>
    <t>LSM 2</t>
  </si>
  <si>
    <t>LSM 1</t>
  </si>
  <si>
    <t>imputed avg monthly income</t>
  </si>
  <si>
    <t>no 
(000)</t>
  </si>
  <si>
    <t>no
 (000)</t>
  </si>
  <si>
    <t>Gauteng Province</t>
  </si>
  <si>
    <t>Living Standards Measure by province (2015)</t>
  </si>
  <si>
    <t>Living Standards Measure by province (2014)</t>
  </si>
  <si>
    <t>Living Standards Measure by province (2013)</t>
  </si>
  <si>
    <t>Living Standards Measure by province (2012)</t>
  </si>
  <si>
    <t>Living Standards Measure by province (2011)</t>
  </si>
  <si>
    <t>imputed avg monthly household income</t>
  </si>
  <si>
    <t>no (000)</t>
  </si>
  <si>
    <t>Living Standards Measure</t>
  </si>
  <si>
    <t>Reducing inequalities.</t>
  </si>
  <si>
    <t>Living Standards Measure (LSM)</t>
  </si>
  <si>
    <t xml:space="preserve">Gauteng </t>
  </si>
  <si>
    <t>Expenditure</t>
  </si>
  <si>
    <t xml:space="preserve">Province </t>
  </si>
  <si>
    <t>Gini Coefficient by province</t>
  </si>
  <si>
    <t xml:space="preserve">Table 2 </t>
  </si>
  <si>
    <t>The NIDS data for wave 1 were collected in 2008, while the data for wave 2 were collected in 2010 and 2011. The wave 2 data have first been adjusted for "within-wave" inflation, before being adjusted to their real 2011 values. The welfare measure used here is real household income per capita. For the purposes of comparison, household income excludes implied rental income from owner-occupied housing. All observations are weighted using the post-stratification weights that were released along with the data in both waves. Despite NIDS being a panel, we treat both waves as cross-sections in this analysis. The wave 2 data contained some extremely large outliers in the post-stratified weight variable, and the 5 highest values were omitted from the analysis of this data due to their extremely large influence on some of the findings. The PPP Dollar poverty lines of $1.25/day and $2/day correspond to monthly poverty lines of R191 and R305 in constant 2011 rands respectively.
For the LCS and IES expenditure does not include taxes while income encompasses wages, social grants and salaries at constant 2011 prices</t>
  </si>
  <si>
    <t xml:space="preserve">Table 1 and Table 2:  Data for 2008 and 2010's calculations are based on NIDS wave 1 and wave 2 data respectively.
Table 3 and Table 4:Gini coefficient Calculations  for 2000 and 2005 and 2010 are based on IES data, 2009 calculations based on 2008/09 LCS data. </t>
  </si>
  <si>
    <t xml:space="preserve">Gini coefficient: It measures the inequality as a proportion of its theoretical maximum. The Gini coefficient can range from 0 (no inequality) to 1 (complete inequality).  NIDS - National Income Dynamics Study. LCS - Living conditions survey. IES - Income and Expenditure survey                 </t>
  </si>
  <si>
    <t>Index</t>
  </si>
  <si>
    <t>Asian</t>
  </si>
  <si>
    <t>African</t>
  </si>
  <si>
    <t xml:space="preserve"> Expenditure</t>
  </si>
  <si>
    <t xml:space="preserve"> Income</t>
  </si>
  <si>
    <t>Gini coefficient</t>
  </si>
  <si>
    <t>Inequality measures</t>
  </si>
  <si>
    <t>NIDS</t>
  </si>
  <si>
    <t>Between-Race</t>
  </si>
  <si>
    <t>Between-Share</t>
  </si>
  <si>
    <t>Within-Race</t>
  </si>
  <si>
    <t>Theil (1)</t>
  </si>
  <si>
    <t>Theil (0)</t>
  </si>
  <si>
    <t>To reduce income inequality.</t>
  </si>
  <si>
    <t xml:space="preserve">Household expenditure surveys, like the Income and Expenditure Survey (IES) And Living Conditions Survey (LCS).
</t>
  </si>
  <si>
    <t>Notes on calculation</t>
  </si>
  <si>
    <t>Poverty trends in SA. An examination of absolute poverty between 2006 and 2011, Statistics SA, 2014, based on IES 2006 and 2011 and LCS 2009 data</t>
  </si>
  <si>
    <t xml:space="preserve"> Poverty headcount index is the share of the population whose income or consumption is below the poverty line; that is, the share of the population that cannot meet its basic needs (this is also referred to as P0)
</t>
  </si>
  <si>
    <t>Percentage.</t>
  </si>
  <si>
    <t>P0: Poverty Headcount</t>
  </si>
  <si>
    <t>Meeting basic needs of all South Africans.</t>
  </si>
  <si>
    <t>Poverty headcount index</t>
  </si>
  <si>
    <t xml:space="preserve">Household expenditure surveys used, like the Income and Expenditure Survey (IES) And Living Conditions Survey (LCS). 
</t>
  </si>
  <si>
    <t>Poverty trends in SA. An examination of absolute poverty between 2006 and 2011, Statistics SA, 2014, based on IEC 2006 and 2011 and LCS 2009 data.</t>
  </si>
  <si>
    <t>Poverty gap– This provides the mean distance of the population from the poverty line (this is also referred to as P1).
Poverty severity– This takes into account not only the distance separating the population from the poverty line (the poverty gap), but also the inequality among the poor. That is, a higher weight is placed on those households/individuals who are further away from the poverty line (this is also referred to as 
P2).</t>
  </si>
  <si>
    <t xml:space="preserve">Percentage. </t>
  </si>
  <si>
    <t xml:space="preserve">P2: Severity of poverty </t>
  </si>
  <si>
    <t>P1: Poverty Gap</t>
  </si>
  <si>
    <t>To reduce the poverty gap and the severity of poverty</t>
  </si>
  <si>
    <t>Poverty gap analysis: Poverty Gap Index (P1) and Squared Poverty Gap Index (P2)</t>
  </si>
  <si>
    <t>The total figures do not include Grant-in-Aid it is an additional type of grant awarded to persons who might already be receiving other forms of grants such as Old age grants, Disability or War veteran's grants as a result of being unable to care for themselves. Grant-in-Aid may create duplicates in terms of head counts. Disability Grant Total consists of Temporary Disability Grant (which is a  disability grant that is awarded  for a period no less than 6 months and not more than 12 months) and Permanent disability grant (which is a disability grant that is awarded for a period longer than 12 months). Additional data disaggregated by province available on the Excel version on the DPME website: www.thepresidency-dpme.gov.za</t>
  </si>
  <si>
    <t xml:space="preserve">Table 1 and Table 2: South African Social Security Agency's (SASSA) Social Security Pension System (Socpen),  
Table 3: National Treasury's Budget Review 2012-2016.
</t>
  </si>
  <si>
    <t>Total number of recipients of social-assistance grants as recorded for each financial year.</t>
  </si>
  <si>
    <t>Number of recipients, Rand in million, Percentage of GDP</t>
  </si>
  <si>
    <t>Expenditure (R million)</t>
  </si>
  <si>
    <t xml:space="preserve">
2015/16</t>
  </si>
  <si>
    <t xml:space="preserve">
2014/15</t>
  </si>
  <si>
    <t xml:space="preserve">
2013/14 </t>
  </si>
  <si>
    <t>Social assistance grant expenditure</t>
  </si>
  <si>
    <t>Total 2014/15 (30 September 2014)</t>
  </si>
  <si>
    <t>Total 2014/15 (31 August 2014)</t>
  </si>
  <si>
    <t>Total 2013/14</t>
  </si>
  <si>
    <t>Total 2012/13</t>
  </si>
  <si>
    <t>Total 2011/12</t>
  </si>
  <si>
    <t>Total 2010/11</t>
  </si>
  <si>
    <t>Total 2009/10</t>
  </si>
  <si>
    <t>Total 2008/09</t>
  </si>
  <si>
    <t>Total 2007/08</t>
  </si>
  <si>
    <t>Total 2006/07</t>
  </si>
  <si>
    <t>Child Support Grant</t>
  </si>
  <si>
    <t>Child Dependency Grant</t>
  </si>
  <si>
    <t>Foster Child Grant</t>
  </si>
  <si>
    <t>Grant-in-aid</t>
  </si>
  <si>
    <t>Temporary disability</t>
  </si>
  <si>
    <t>Permanent disability</t>
  </si>
  <si>
    <t>Disability Grant</t>
  </si>
  <si>
    <t>War Veteran</t>
  </si>
  <si>
    <t>Old age</t>
  </si>
  <si>
    <t>North-West</t>
  </si>
  <si>
    <t>Mpuma-langa</t>
  </si>
  <si>
    <t>Grant type</t>
  </si>
  <si>
    <t>Social grants per province, 31 March 2016</t>
  </si>
  <si>
    <t>Social assistance grants recipients per province, 31 March 2015</t>
  </si>
  <si>
    <t>Social assistance grants recipients per province, 31 March 2014</t>
  </si>
  <si>
    <t>Social assistance grants recipients per province, 31 March 2013</t>
  </si>
  <si>
    <t>Social assistance grants recipients per province, 31 March 2012</t>
  </si>
  <si>
    <t>Growth Rate</t>
  </si>
  <si>
    <t>War Veterans Grant</t>
  </si>
  <si>
    <t>Old Age Grant</t>
  </si>
  <si>
    <t>Social assistance grants recipients</t>
  </si>
  <si>
    <t xml:space="preserve">Improve access to social secutiy including social-assistance </t>
  </si>
  <si>
    <t>Social-assistance support</t>
  </si>
  <si>
    <t>The current definition of disability is "the loss or elimination of opportunities to take part in the life of the community, equitably with others that is encountered by persons having physical, sensory, phsycological, developmental, learning, neurological or other impairments, which may be permanent, temporary or episodic in nature, thereby causing activity limitations and participation restriction with the mainstream society. These barriers may be due to economic, physical, social, attitudinal and/or cultural factors"
Census 2011 has approached the asking of question on diability in a different manner. The traditional question of " Do you have any serious disablity that prevents your full participation in life activities?" The term difficulty instead of difficulty seemed to be more acceptable among people with impairments, as a result of changes in approach the 2011 Census cannot be comparable with other Censuses. Additional data on number of people with disabilities as well as number of employees with disabilities available on the Excel version on the DPME website: www.thepresidency-dpme.gov.za</t>
  </si>
  <si>
    <r>
      <t xml:space="preserve">Table 1: Statistics South Africa, Census 1996,2001, 2011; Community Survey 2007
Table 2: South African Social Security Agency(SASSA)
Table 3: Department of Basic Education: National Senior Certificate, 2015 technical report. </t>
    </r>
    <r>
      <rPr>
        <sz val="10"/>
        <color indexed="10"/>
        <rFont val="Arial"/>
        <family val="2"/>
      </rPr>
      <t xml:space="preserve">
</t>
    </r>
    <r>
      <rPr>
        <sz val="10"/>
        <rFont val="Arial"/>
        <family val="2"/>
      </rPr>
      <t>Table 4: Department of Labour, Commission for Employment Equity(CEE) annual report verious</t>
    </r>
  </si>
  <si>
    <t>Grants include Disability grant, Old age grant, War veteran grant, Care Dep, Child support, Foster care grant and does not include Grant-in-aid. The current definition of disability is "the loss or elimination of opportunities to take part in the life of the community, equitably with others that is encountered by persons having physical, sensory, psychological, developmental, learning, neurological or other impairments, which may be permanent, temporary or episodic in nature, thereby causing activity limitations and participation restriction with the mainstream society. These barriers may be due to economic, physical, social, attitudinal and/or cultural factors".</t>
  </si>
  <si>
    <t>Number of disabled population, Percentage</t>
  </si>
  <si>
    <t>Senior Management</t>
  </si>
  <si>
    <t>Top Management</t>
  </si>
  <si>
    <t>Department of Labour data on Employees with disabilities</t>
  </si>
  <si>
    <t>Pass rate</t>
  </si>
  <si>
    <t>Total Pass</t>
  </si>
  <si>
    <t>Learners Passed with Endorsement</t>
  </si>
  <si>
    <t>Learners who received a Conditional Pass</t>
  </si>
  <si>
    <t>Number of Learners who passed without endorsement</t>
  </si>
  <si>
    <t>Number of Learners who wrote Matric in Special Schools</t>
  </si>
  <si>
    <t>In special schools</t>
  </si>
  <si>
    <t>Department of Education data on Special Schools  Matric Pass Rate</t>
  </si>
  <si>
    <t>Total social grant beneficiaries</t>
  </si>
  <si>
    <t>Disability grant beneficiaries as a % of total social grant beneficiaries</t>
  </si>
  <si>
    <t>Total Number of Disabled Beneficiaries</t>
  </si>
  <si>
    <t>Number of Disability Grant Beneficiaries</t>
  </si>
  <si>
    <t>Number of Care Dependency Grant Beneficiaries</t>
  </si>
  <si>
    <t>2007/08*</t>
  </si>
  <si>
    <t>1998/09</t>
  </si>
  <si>
    <t>1997/08</t>
  </si>
  <si>
    <t>1996/07</t>
  </si>
  <si>
    <t>SASSA data on Disability Grant Beneficiaries</t>
  </si>
  <si>
    <t>% of total population</t>
  </si>
  <si>
    <t>Census 2011</t>
  </si>
  <si>
    <t>Community Survey 2007</t>
  </si>
  <si>
    <t>Census 2001</t>
  </si>
  <si>
    <t>Census 1996</t>
  </si>
  <si>
    <t xml:space="preserve"> Statistics South Africa data on people with diabilities</t>
  </si>
  <si>
    <t>To implement inclusive education and mainstreaming disability in South Africa</t>
  </si>
  <si>
    <t>Empowerment and equity</t>
  </si>
  <si>
    <t>People with disabilities</t>
  </si>
  <si>
    <t>Data source for basic services data was changed from Department of Water Affairs to Stats SA's GHS.</t>
  </si>
  <si>
    <t>Household figures and calculations are based on Stats SA's GHS 2002-2014.</t>
  </si>
  <si>
    <t>The relevant basic service levels (RDP service levels) are defined as a minimum quantity of 25 liters of potable water per person per day within 200 meters of a household not interrupted for more than seven days in any year and a minimum flow of 10 liters per year for communal water points. This is a substantially higher standard than the basic services defined by the Millennium Development Goals (MDGs) as 20 litres of potable water per person per day within 1 000 metres of a household. MDG goal (Target 10): Halve between 1990 and 2015 the proportion of people without sustainable access to an improved water source.</t>
  </si>
  <si>
    <t>Numbers, percentage</t>
  </si>
  <si>
    <t>Northen Cape</t>
  </si>
  <si>
    <t>Westen Cape</t>
  </si>
  <si>
    <t>HH with no access to water infrastructure</t>
  </si>
  <si>
    <t>HH with access to water infrastructure &lt; RDP standards</t>
  </si>
  <si>
    <t xml:space="preserve">HH with access to infrastructure </t>
  </si>
  <si>
    <t>HH with access to water infrastructure &gt; or = to RDP standards</t>
  </si>
  <si>
    <t>Total number of Households (HH)</t>
  </si>
  <si>
    <t>HH with access to infrastructure &lt; RDP standards</t>
  </si>
  <si>
    <t xml:space="preserve"> Households with access to potable water by province</t>
  </si>
  <si>
    <t>Millennium Development Goal (MDG)</t>
  </si>
  <si>
    <t xml:space="preserve"> Households with access to potable water</t>
  </si>
  <si>
    <t xml:space="preserve">Table 1 </t>
  </si>
  <si>
    <t>90 percent of households have access to infrastructure by 2019 (MTSF 2014-2019)</t>
  </si>
  <si>
    <t>Ensure that all South Africans have access to clean running water in their homes (National Development Plan 2030)</t>
  </si>
  <si>
    <t>Basic services</t>
  </si>
  <si>
    <t>Potable water</t>
  </si>
  <si>
    <t xml:space="preserve">Data source for basic services data was changed from Department of Water Affairs to Stats SA's GHS. % of households with access to sanition = HH with access / total households - missing values. </t>
  </si>
  <si>
    <t>Household figures and calculations are based on Stats SA's GHS 2002-2015.</t>
  </si>
  <si>
    <t xml:space="preserve">A basic acceptable sanitation facility is defined as a ventilated improved pit latrin Millennium Development Goal (Target 10): Halve by 2015 the propOrtion of people without sustainable access to improved sanitation.  </t>
  </si>
  <si>
    <t>Numbers, Percentage</t>
  </si>
  <si>
    <t>HH with bucket systems</t>
  </si>
  <si>
    <t>HH with access to sanitation</t>
  </si>
  <si>
    <t>Number of households</t>
  </si>
  <si>
    <t>Households with access to sanitation by province</t>
  </si>
  <si>
    <t xml:space="preserve">Households with access to sanitation </t>
  </si>
  <si>
    <t>90 percent of households in South Africa to have access to sanitation facilities by 2019 with no households in formal areas using a bucket system (MTSF 2014-2019)</t>
  </si>
  <si>
    <t>Sanitation</t>
  </si>
  <si>
    <t>Cumulative figures calculated by adding figure for previous year to current figure. Household figures based on Department of Energy's projection using census data. Additional data disaggregated by province is available in the Excel version on the DPME website: www.thepresidency-dpme.gov.za. Data source for basic services data was changed from Department of Energy to Stats SA's GHS.</t>
  </si>
  <si>
    <t>Table 1, 2: data sourced from StatsSA's GHS (2002-2014)
Table 3: data sourced from Department fo Energy</t>
  </si>
  <si>
    <t>Number of households connected to grid electricity through Eskom and municipalities.</t>
  </si>
  <si>
    <t>Number, Percentage</t>
  </si>
  <si>
    <t>Table 1 &amp; 2: Date stamp - end of March each year, cumulative numbers</t>
  </si>
  <si>
    <t>New electrical connections(cumulative)</t>
  </si>
  <si>
    <t>New electrical connections</t>
  </si>
  <si>
    <t>Department of Energy's data on electrical connections</t>
  </si>
  <si>
    <t>HH with access to electricity</t>
  </si>
  <si>
    <t>Total number of households</t>
  </si>
  <si>
    <t xml:space="preserve"> Households with Access to Electricity by province</t>
  </si>
  <si>
    <t>HH with no access to electricity</t>
  </si>
  <si>
    <t xml:space="preserve"> Households with access to electricity</t>
  </si>
  <si>
    <t>1.25 million additional households connected to grid between 2014 and 2019 (MTSF 2014-2019)</t>
  </si>
  <si>
    <t>The proportion of people with access to the electricity grid should increase to 90 percent by 2030, with balance met through off-grid technologies (NDP 2030)</t>
  </si>
  <si>
    <t>(Proportion of households with access to electricity). Electricity</t>
  </si>
  <si>
    <t xml:space="preserve">Statistics compiled on the information reflected in the Database of Settled Restitution claims. The database is on an ongoing basis subjected to internal audit. 
The Commission started to keep official statistics on finalised claims from 2011 and therefore can only report on the claims finalised from the 2010/2011 financial year onwards.
The Restitution Discretionary Grant was set at a maximum of R3 000 per restitution claimant household where the original land is to be restored or where compensatory land is to be granted.
The Settlement Planning Grant (SPG) was set at maximum of R1 440 per restitution claimant household to be used to enlist the services of planners and other professionals. 
The Restitution Settlement Grant is set at a maximum of R6 595 per restitution claimant household and it was introducted in 2007/08 to replace the Restitution Discretionary Grant and the Settlement Planning Grant. 
</t>
  </si>
  <si>
    <t xml:space="preserve">Department of Rural Development and Land Reform's Office of the Chief Land Claims Commissioner </t>
  </si>
  <si>
    <t xml:space="preserve">Settled claims are claims that have been resolved with an approved signed section submission or land claims court order, implementation thereof is still ongoing.
Finalised / Settled claims are claims that have been brought to completion with the transfer of land/funds to the relevant beneficiaries’ i.e. all actions pertaining to a specific claim have been dealt with; Number of land restitution claims settled. 
Development grant is where claimants have opted to become part of a housing development building of clinic or an electrification project or any infrastructure development.
Financial Compensation - where claimants have opted for monetary compensation and not restoration of original or alternative land. 
</t>
  </si>
  <si>
    <t>Cumulative numbers</t>
  </si>
  <si>
    <t>34,365,849,051.02</t>
  </si>
  <si>
    <t>177,593,495.00</t>
  </si>
  <si>
    <t>241,849,582.94</t>
  </si>
  <si>
    <t>513,460,640.88</t>
  </si>
  <si>
    <t>3,269,680,278.97</t>
  </si>
  <si>
    <t>10,245,705,636.79</t>
  </si>
  <si>
    <t>19,910,925,916.44</t>
  </si>
  <si>
    <t>TOTAL</t>
  </si>
  <si>
    <t>1,692,204,956.53</t>
  </si>
  <si>
    <t>429,130.00</t>
  </si>
  <si>
    <t>4,729,692.00</t>
  </si>
  <si>
    <t>15,612,290.00</t>
  </si>
  <si>
    <t>314,804,715.92</t>
  </si>
  <si>
    <t>1,224,117,474.89</t>
  </si>
  <si>
    <t>132,470,653.72</t>
  </si>
  <si>
    <t>3,216,346,733.92</t>
  </si>
  <si>
    <t>8,899,830.00</t>
  </si>
  <si>
    <t>39,282,360.00</t>
  </si>
  <si>
    <t>82,383,000.00</t>
  </si>
  <si>
    <t>353,462,144.15</t>
  </si>
  <si>
    <t>474,257,163.71</t>
  </si>
  <si>
    <t>2,258,062,236.06</t>
  </si>
  <si>
    <t>1,840,225,107.58</t>
  </si>
  <si>
    <t>13,018,530.00</t>
  </si>
  <si>
    <t>12,830,620.94</t>
  </si>
  <si>
    <t>16,789,710.88</t>
  </si>
  <si>
    <t>163,688,754.71</t>
  </si>
  <si>
    <t>991,962,137.90</t>
  </si>
  <si>
    <t>641,935,353.15</t>
  </si>
  <si>
    <t>6,823,279,449.14</t>
  </si>
  <si>
    <t>20,708,320.00</t>
  </si>
  <si>
    <t>44,930,550.00</t>
  </si>
  <si>
    <t>93,978,000.00</t>
  </si>
  <si>
    <t>252,825,178.70</t>
  </si>
  <si>
    <t>620,086,149.97</t>
  </si>
  <si>
    <t>5,790,700,750.47</t>
  </si>
  <si>
    <t>5,795,200,228.51</t>
  </si>
  <si>
    <t>26,142,580.00</t>
  </si>
  <si>
    <t>45,732,600.00</t>
  </si>
  <si>
    <t>99,422,640.00</t>
  </si>
  <si>
    <t>707,072,898.19</t>
  </si>
  <si>
    <t>790,655,318.68</t>
  </si>
  <si>
    <t>4,126,174,191.64</t>
  </si>
  <si>
    <t>10,280,033,826.15</t>
  </si>
  <si>
    <t>53,887,450.00</t>
  </si>
  <si>
    <t>46,914,480.00</t>
  </si>
  <si>
    <t>104,331,000.00</t>
  </si>
  <si>
    <t>1,039,811,685.55</t>
  </si>
  <si>
    <t>2,270,497,571.01</t>
  </si>
  <si>
    <t>6,758,049,639.59</t>
  </si>
  <si>
    <t>938,207,119.86</t>
  </si>
  <si>
    <t>1,813,625.00</t>
  </si>
  <si>
    <t>2,062,080.00</t>
  </si>
  <si>
    <t>6,255,000.00</t>
  </si>
  <si>
    <t>67,445,021.38</t>
  </si>
  <si>
    <t>757,207,840.91</t>
  </si>
  <si>
    <t>103,423,552.57</t>
  </si>
  <si>
    <t>522,323,440.66</t>
  </si>
  <si>
    <t>1,721,295.00</t>
  </si>
  <si>
    <t>4,403,520.00</t>
  </si>
  <si>
    <t>9,180,000.00</t>
  </si>
  <si>
    <t>26,848,529.61</t>
  </si>
  <si>
    <t>424,780,693.10</t>
  </si>
  <si>
    <t>55,389,402.95</t>
  </si>
  <si>
    <t>3,258,028,188.67</t>
  </si>
  <si>
    <t>50,972,735.00</t>
  </si>
  <si>
    <t>40,963,680.00</t>
  </si>
  <si>
    <t>85,509,000.00</t>
  </si>
  <si>
    <t>343,721,350.76</t>
  </si>
  <si>
    <t>2,692,141,286.62</t>
  </si>
  <si>
    <t>44,720,136.29</t>
  </si>
  <si>
    <t>RSG</t>
  </si>
  <si>
    <t>SPG</t>
  </si>
  <si>
    <t>RDG</t>
  </si>
  <si>
    <t xml:space="preserve">Development </t>
  </si>
  <si>
    <t>Financial Compensation</t>
  </si>
  <si>
    <t>Land Costs</t>
  </si>
  <si>
    <t>Hectares (Ha)</t>
  </si>
  <si>
    <t>Beneficiaries</t>
  </si>
  <si>
    <t>Claims</t>
  </si>
  <si>
    <t xml:space="preserve">GRANTS IN RANDS </t>
  </si>
  <si>
    <t>Provincial breakdown of cumulative statistics on settled restitution claims 1995-2015/16</t>
  </si>
  <si>
    <t>Table  2</t>
  </si>
  <si>
    <t>Cumulative Finalised claims</t>
  </si>
  <si>
    <t xml:space="preserve">Cumulative Settled claims </t>
  </si>
  <si>
    <t>Land restitution cumulatives trends</t>
  </si>
  <si>
    <t>To provide equitable redress to victims of racially motivated land dispossession, in line with the provisions of the Restitution of 1994 Land Rights Act</t>
  </si>
  <si>
    <t>Assets</t>
  </si>
  <si>
    <t>Land restitution</t>
  </si>
  <si>
    <t>Department of Rural Development and Land Reform's Annual reports</t>
  </si>
  <si>
    <t>Hectares of land redistributed to previously disadvantaged individuals</t>
  </si>
  <si>
    <t xml:space="preserve">Hectares </t>
  </si>
  <si>
    <t xml:space="preserve"> -   </t>
  </si>
  <si>
    <t>2000
(Jan-Mar)</t>
  </si>
  <si>
    <t>Land redistribution-hectares delivered by province</t>
  </si>
  <si>
    <t>Cumulative</t>
  </si>
  <si>
    <t>Distributed hectares per year</t>
  </si>
  <si>
    <t>Annual Target</t>
  </si>
  <si>
    <t>Land redistribution-hectares delivered</t>
  </si>
  <si>
    <t>To promote equitable access of land for development through redistributing strategically allocated land</t>
  </si>
  <si>
    <t>Land redistribution</t>
  </si>
  <si>
    <t xml:space="preserve">AIR is calculated by diving the number of new entrants in grade 1 irrespective of age by the population of official school-entrance age and then multiplied by 100. Goal statement adopted from Sustainable Development Goal </t>
  </si>
  <si>
    <t>Department of basic education, calculations are based on Stats SA's General Household Survey (GHS).</t>
  </si>
  <si>
    <t xml:space="preserve">Early Childhood Development (ECD) programme comprises of a set of activities which are meant to provide stimulation and learning appropriate to children’s developmental needs, including children with a disability, chronic illness and other special needs. 
Apparent Intake Rate (AIR) is defined as the total number of new entrants in the first grade of primary education, regardless of age, expressed as a percentage of the population at the official primary school-entrance age (United Nations Educational, Scientific and
Cultural Organisation(UNESCO)Institute of Statistics 2010). Apparent Intake Rate indicates the general level of access to primary education. It also indicates the capacity of the education system to provide access to grade 1 for the official school-entrance age population. </t>
  </si>
  <si>
    <t>Apparent intake rate (AIR)</t>
  </si>
  <si>
    <t>ECD attendance</t>
  </si>
  <si>
    <t>3-5 year olds attending ECD facilities and Apparent intake rate for 2009 and 2010</t>
  </si>
  <si>
    <t>Apparent intake rate</t>
  </si>
  <si>
    <t xml:space="preserve">6 year olds </t>
  </si>
  <si>
    <t>5 year olds</t>
  </si>
  <si>
    <t>3-5 year olds</t>
  </si>
  <si>
    <t>0-4 year olds</t>
  </si>
  <si>
    <t>Children attending ECD facilities</t>
  </si>
  <si>
    <t>All boys and girls have access to quality early childhood development by 2030</t>
  </si>
  <si>
    <t>Education</t>
  </si>
  <si>
    <t>Early childhood development</t>
  </si>
  <si>
    <t>The data are from the survey conducted on the 10th school day. Approximately 99.7% of functional ordinary schools submitted the survey forms, and imputation was done to establish a data set of 100%. Additional data disaggregated at provincial level is available in the Excel version on the DPME website: www.thepresidency-dpme.gov.za</t>
  </si>
  <si>
    <t>1999 data from Department of Education (DoE) (undated) Education Statistics 1999 at a Glance; February 2000 data from DoE Statistics at a glance 2000; 2001 data from DoE (2003), Education Statistics at a Glance in 2001; 2002-2005 data from Education Statistics in SA at a Glance(2005), published November 2006 with data originally sources from 2001-2005 SNAP Survey; 2006 data from DoE , 2006 School Realties, October, 2007 data from DoE. 2008 data from DoE , School Realties. 2009, 2010, 2012, 2013, 2014,2015  data from DBE</t>
  </si>
  <si>
    <t>The average number of learners per teacher in a given school year based on headcounts for both learners and teachers in public ordinary schools and independent schools that are subsidised by the Department of Basic Education (DBE).  The number of teachers includes both those that are paid by DBE and SGBs.</t>
  </si>
  <si>
    <t>Ratio</t>
  </si>
  <si>
    <t>National</t>
  </si>
  <si>
    <t>Learner: Educator Ratio</t>
  </si>
  <si>
    <t>As % of National Total</t>
  </si>
  <si>
    <t>Schools</t>
  </si>
  <si>
    <t>Educators</t>
  </si>
  <si>
    <t>Learners</t>
  </si>
  <si>
    <t>Learner: Educator Ratio in Public Ordinary Schools by province (2015)</t>
  </si>
  <si>
    <t>Educator</t>
  </si>
  <si>
    <t>Learner: Educator Ratio in Public Ordinary Schools</t>
  </si>
  <si>
    <t>To reduce learner-educator ratios in line with relevant international standards</t>
  </si>
  <si>
    <t xml:space="preserve">learner - educator  ratio in public ordinary schools </t>
  </si>
  <si>
    <t>Both</t>
  </si>
  <si>
    <t>Coulored</t>
  </si>
  <si>
    <t>African/Black</t>
  </si>
  <si>
    <t>Race</t>
  </si>
  <si>
    <t>GROSS ENROLMENT RATIO  (GER) for public institutions of higher learning</t>
  </si>
  <si>
    <t>A GPI greater than 1 indicates disparity in favour of females.</t>
  </si>
  <si>
    <t>A GPI equal to 1 indicates parity between females and males. A value less than 1 indicates disparity in favour of men.</t>
  </si>
  <si>
    <t>GPI ratio measures the progress towards gender parity in education participation / learning opportunities available for women in relation to those available to men.</t>
  </si>
  <si>
    <t xml:space="preserve">The data on the GER (primary and sec) have been distorted in 2010 owing to changes in the way Stats SA has calculated its 2010 population estimates. Hence changes to the trend line. Additional data on GER and disaggregation by gender is available in the Excel version on the DPME website: www.thepresidency-dpme.gov.za. Goal statement adopted from Sustainable Development Goal </t>
  </si>
  <si>
    <t>Table 1: Education statistics in South Africa at a Glance (2006), published February 2008, with data originally sourced from 2001 -  2006 SNAP surveys (conducted on the 10th school day), School Realities publications 2005 to 2014 Department of Basic Education.
Table 2: Department of Higher Education and Training's (DHET) Higher Education Management Information System (HEMIS) database.</t>
  </si>
  <si>
    <t>Gross Enrolment Rate (GER) is the total learner per education level divided by population of corresponding official age in the education level.
GPI is the ratio of GER for female learners to the GER of male learners regardless of age,  in public and independent ordinary schools for given year. 
GPI ratio measures the progress towards gender parity in education participation / learning opportunities available for females  in relation to those available to males. A GPI equal to 1 indicates parity between females and males. A value less than 1 indicates disparity in favour of men, while a GPI greater than 1 indicates disparity in favour of females.</t>
  </si>
  <si>
    <t>Higher Education GPI</t>
  </si>
  <si>
    <t>15.9</t>
  </si>
  <si>
    <t>Total GER for male learners</t>
  </si>
  <si>
    <t>22.6</t>
  </si>
  <si>
    <t>Total GER for female learners</t>
  </si>
  <si>
    <t>Higher Education</t>
  </si>
  <si>
    <t>GER and GPI for Higher Education</t>
  </si>
  <si>
    <t>Overall GPI</t>
  </si>
  <si>
    <t>Total GER of male learners</t>
  </si>
  <si>
    <t>Total GER of female learners</t>
  </si>
  <si>
    <t>Total for basic education</t>
  </si>
  <si>
    <t>Secondary GPI</t>
  </si>
  <si>
    <t>Secondary GER of male learners</t>
  </si>
  <si>
    <t>Secondary GER of female learners</t>
  </si>
  <si>
    <t>Secondary</t>
  </si>
  <si>
    <t>Primary GPI</t>
  </si>
  <si>
    <t>Primary GER of male learners</t>
  </si>
  <si>
    <t>Primary GER of female learners</t>
  </si>
  <si>
    <t xml:space="preserve">Primary   </t>
  </si>
  <si>
    <t>GER and GPI for Basic Education</t>
  </si>
  <si>
    <t>To ensure that all girls and boys have access to quality education by 2030</t>
  </si>
  <si>
    <t>Enrolment rates: Gross Enrolment Rate (GER), Gender Parity Index (GPI)</t>
  </si>
  <si>
    <t>Goal statement adopted from the National Development Plan</t>
  </si>
  <si>
    <t>Department of Basic Education, National Senior Certificate 2015 Technical Report</t>
  </si>
  <si>
    <t>Number of learners who passed the senior certificate examination as a percentage of those that wrote the examinations</t>
  </si>
  <si>
    <t>Number of learners, Percentage</t>
  </si>
  <si>
    <t>Total Wrote</t>
  </si>
  <si>
    <t>Number Passed</t>
  </si>
  <si>
    <t>Number Wrote</t>
  </si>
  <si>
    <t>National Senior Certificate Examination pass rate 
per province</t>
  </si>
  <si>
    <t>Bachelor passes</t>
  </si>
  <si>
    <t>To improve the number of learners eligible for bachelors programme to 300 000 by 2024</t>
  </si>
  <si>
    <t>National Senior Certificate Examinations pass rate</t>
  </si>
  <si>
    <t>Department of Education, National Senior Certificate 2015 Technical Report</t>
  </si>
  <si>
    <t>Total number of matriculants who passed mathematics  on the higher grade and standard grade. Total number of matriculants who passed mathematics and mathematics literacy. Total number of matriculants who passesd physical science.</t>
  </si>
  <si>
    <t>Achieved at 50% and above</t>
  </si>
  <si>
    <t>Physical Science passes</t>
  </si>
  <si>
    <t>Mathematics passes</t>
  </si>
  <si>
    <t>To increase the number of National Senior Certificate passes with mathematics and Physical science to 450 000 by 2030</t>
  </si>
  <si>
    <t xml:space="preserve">Number of candidates for the National Senior Certficate examinations with mathematics and physical science passes.  </t>
  </si>
  <si>
    <t>Province (%)</t>
  </si>
  <si>
    <t>Numeracy Achievement</t>
  </si>
  <si>
    <t>Literacy Achievement</t>
  </si>
  <si>
    <t xml:space="preserve">Overall Grade 3 Literacy and Numeracy Achievement </t>
  </si>
  <si>
    <t>Partly Achieved</t>
  </si>
  <si>
    <t>Achieved</t>
  </si>
  <si>
    <t>Outstanding</t>
  </si>
  <si>
    <t>Not Achieved</t>
  </si>
  <si>
    <t>Mathematics Achievement</t>
  </si>
  <si>
    <t>Language Achievement</t>
  </si>
  <si>
    <t xml:space="preserve">Educational Performance ff Grade 6 students 2004 </t>
  </si>
  <si>
    <t>Table 1) SACMEQ II and III Project results (2005 to 2010): Pupil achievement levels in reading and mathematics,website - www.SACMEQ.org
Table 3) Report on annual national assessments (ANA) 2014</t>
  </si>
  <si>
    <t xml:space="preserve">SACMEQ- Southern and Eastern African Consortium for Monitoring  Educational Quality 
ANA- Annual National Assessments, FAL - First Additional Language and HL - Home Language
SE- Standard Error </t>
  </si>
  <si>
    <r>
      <t xml:space="preserve">Table 1 and 2 )SACMEQ (II ) undertaken from 1984 to 2004 and SACMEQ (III) undertaken from 2005 to 2010, targetted all pupils in Grade 6  level ( at the first week of the eighth month of the school year) who were attending registered mainstream primary school. The desired target population definition for the project was based on a grade-based description and not age based description of pupils
Table 3) Provides average percentage score per subject. Direct comparison between Home Language (HL) and First Additional Language (FAL) should be done with extreme caution as the Language tests done in 2011 in Grades 1 to 6 was pitched at the level of language of learning and teaching.
</t>
    </r>
    <r>
      <rPr>
        <sz val="10"/>
        <color rgb="FFFF0000"/>
        <rFont val="Arial"/>
        <family val="2"/>
      </rPr>
      <t>For the year 2014, used Universal data</t>
    </r>
  </si>
  <si>
    <t xml:space="preserve">Mean, Standard Error </t>
  </si>
  <si>
    <t>SE</t>
  </si>
  <si>
    <t>Mean</t>
  </si>
  <si>
    <t>Mathematics</t>
  </si>
  <si>
    <t>Reading</t>
  </si>
  <si>
    <t>SACMEQ IV</t>
  </si>
  <si>
    <t>SACMEQ III</t>
  </si>
  <si>
    <t>SACMEQ II</t>
  </si>
  <si>
    <t xml:space="preserve">Table 1      Performance of learners per province </t>
  </si>
  <si>
    <t>To improve performance of learners in basic education</t>
  </si>
  <si>
    <t>Educational Performance below high school</t>
  </si>
  <si>
    <t>Illeteracy</t>
  </si>
  <si>
    <t>Female literacy - OHS</t>
  </si>
  <si>
    <t xml:space="preserve">Female literacy </t>
  </si>
  <si>
    <t>Total literacy - OHS</t>
  </si>
  <si>
    <t xml:space="preserve">Total literacy </t>
  </si>
  <si>
    <t>Literacy</t>
  </si>
  <si>
    <t>Goal statement adopted from the sustainable Development Goals</t>
  </si>
  <si>
    <t xml:space="preserve">Statistics SA's various October Household Surveys (OHS) and General Household Surveys (GHS) 2002-2015, Census 1996, 2001 and 2011 ( P0301.4 page 36). </t>
  </si>
  <si>
    <t>The number of people in a country who can read and write as percentage of total population. In the data obtained from the General and October household surveys, a literate adult is defined as a person 20 years and older who has achieved at least seven years of education (i.e passed grade 7). Illiteracy: Percentage of persons aged 20 years and above with no formal education or highest level of education less than grade 7</t>
  </si>
  <si>
    <t>Illiteracy</t>
  </si>
  <si>
    <t>Total literacy</t>
  </si>
  <si>
    <t>Literacy rate- Census</t>
  </si>
  <si>
    <t>Female literacy - GHS</t>
  </si>
  <si>
    <t>Total literacy - GHS</t>
  </si>
  <si>
    <t>To ensure that all youth and a substantial proportion of adults achieve numeracy and literacy by 2030</t>
  </si>
  <si>
    <t>Adult literacy rate</t>
  </si>
  <si>
    <t>Trends in International Mathematics and Science Study ( TIMMS) 2011. TIMSS media release December 2012, Website www.hsrc.ac.za</t>
  </si>
  <si>
    <t xml:space="preserve">International mathematics and Science achievement and South Africa's performance in relation to the other participating countries
</t>
  </si>
  <si>
    <t>TIMMS was administered to Grade 8 in 1999, administered to Grades 8 and 9 in 2002 and 2011. For 2011 the HSRC conduceted the study in 285 schools among 11 969 learners. Additional data disaggregated by province is available in the Excel version on the DPME website: www.thepresidency-dpme.gov.za</t>
  </si>
  <si>
    <t>Numbers, average</t>
  </si>
  <si>
    <t>+</t>
  </si>
  <si>
    <t>Kwazulu Natal</t>
  </si>
  <si>
    <t>Science</t>
  </si>
  <si>
    <t>change in achievement</t>
  </si>
  <si>
    <t>Maths</t>
  </si>
  <si>
    <t>Average Science and Maths scale by province (2011 and 2015)</t>
  </si>
  <si>
    <t>358(5,6)</t>
  </si>
  <si>
    <t>332 (3,7)</t>
  </si>
  <si>
    <t>268 (5,5)</t>
  </si>
  <si>
    <t>372(4,5)</t>
  </si>
  <si>
    <t>352 (2,5)</t>
  </si>
  <si>
    <t>285 (4,2)</t>
  </si>
  <si>
    <t>244 (6,7)</t>
  </si>
  <si>
    <t>243 (7,8)</t>
  </si>
  <si>
    <t>260 (7,9)</t>
  </si>
  <si>
    <t>264 (5,5)</t>
  </si>
  <si>
    <t>275 (6,8)</t>
  </si>
  <si>
    <t>276 (6,7)</t>
  </si>
  <si>
    <t>Grade 9</t>
  </si>
  <si>
    <t>Grade 8</t>
  </si>
  <si>
    <r>
      <t xml:space="preserve">Trends in South African Mathematics and Science achievement: 1995 to </t>
    </r>
    <r>
      <rPr>
        <b/>
        <sz val="8"/>
        <color theme="1"/>
        <rFont val="Arial"/>
        <family val="2"/>
      </rPr>
      <t>2015</t>
    </r>
  </si>
  <si>
    <t>378 (5.2)</t>
  </si>
  <si>
    <t>345 (6.0)</t>
  </si>
  <si>
    <t>377 (5.8)</t>
  </si>
  <si>
    <t>345 (7.5)</t>
  </si>
  <si>
    <t>Phillippines</t>
  </si>
  <si>
    <t>427(3,2)</t>
  </si>
  <si>
    <t>416 (2.6)</t>
  </si>
  <si>
    <t>387 (3.3)</t>
  </si>
  <si>
    <t>392 (4.4)</t>
  </si>
  <si>
    <t>454(3,1)</t>
  </si>
  <si>
    <t>461 (2.5)</t>
  </si>
  <si>
    <t>404 (2.1)</t>
  </si>
  <si>
    <t>430 (3.4)</t>
  </si>
  <si>
    <t>425 (2.8)</t>
  </si>
  <si>
    <t>410 (2.2)</t>
  </si>
  <si>
    <t>448 (2.4)</t>
  </si>
  <si>
    <t>439 (2.5)</t>
  </si>
  <si>
    <t>413 (2.9)</t>
  </si>
  <si>
    <t>420 (3.7)</t>
  </si>
  <si>
    <t>Tunisia</t>
  </si>
  <si>
    <t>386 (4.3)</t>
  </si>
  <si>
    <t>411 (4.8)</t>
  </si>
  <si>
    <t>403 (4.9)</t>
  </si>
  <si>
    <t>406 (4.5)</t>
  </si>
  <si>
    <t>420 (4.1)</t>
  </si>
  <si>
    <t>435 (4.5)</t>
  </si>
  <si>
    <t>Indonesia</t>
  </si>
  <si>
    <t xml:space="preserve">Country </t>
  </si>
  <si>
    <t xml:space="preserve">International students achievements in Maths and Science Average Scale score </t>
  </si>
  <si>
    <t>To increase the percentage of potential students for SET disciplines</t>
  </si>
  <si>
    <t xml:space="preserve">Mathematics and Science achievement   </t>
  </si>
  <si>
    <t>Department of Education, Higher Education Management Information System (HEMIS)</t>
  </si>
  <si>
    <t>Percentage of university graduates with degrees in SET (Science Engineering and Technology). SET refers to the following fields of study: Agricultural Studies, Computer and Information Technology, Engineering, Health and related Sciences, Consumer Science, Life and Physical Science, Mathematics, Statistics and Military Science.</t>
  </si>
  <si>
    <t xml:space="preserve">The number of graduates have also been increasing but at a lower rate than the enrollemnt. </t>
  </si>
  <si>
    <t>SET as % of total graduates</t>
  </si>
  <si>
    <t xml:space="preserve">Annual targets </t>
  </si>
  <si>
    <t xml:space="preserve">Number of Engineering Sciences ( excuding Technology) graduates </t>
  </si>
  <si>
    <t> 126618</t>
  </si>
  <si>
    <t>Total number of SET graduates</t>
  </si>
  <si>
    <t> 760889.00</t>
  </si>
  <si>
    <t>Unreported gender</t>
  </si>
  <si>
    <t> 51 773</t>
  </si>
  <si>
    <t> 74 845</t>
  </si>
  <si>
    <t>Total number of graduates</t>
  </si>
  <si>
    <t> 6</t>
  </si>
  <si>
    <t> 338 481</t>
  </si>
  <si>
    <t> 422 402</t>
  </si>
  <si>
    <t>Total Enrolment</t>
  </si>
  <si>
    <t> 760 889</t>
  </si>
  <si>
    <t>Increase the graduation rates to more than 25 percent by 2030</t>
  </si>
  <si>
    <t>Graduating Science Engeneering and Technology (SET) students</t>
  </si>
  <si>
    <t>Table1) Department of Higher Education and Training's Management Information Support. Table 2, 3: Department of Higher education and Training's Indlela and SETA admin systems</t>
  </si>
  <si>
    <t>Headcount enrolment refers to an enrolment of a student whereby a student is counted as a unit, regardless of the course load he/she is carrying. Learnerships: A learning programme that leads to an occupational qualification or part qualification and includes an appreciates Internships: refers to the structured work experience component of an occupational qualification registered by the Quality Council for Trades and Occupations (QCTO). Worker: An individual who has entered into or works under a contract of service or a training contract with an employer (whether by way of manual labour, clerical work or otherwise, and whether the contract is expressed or implied, and whether the contract is oral or in writing).</t>
  </si>
  <si>
    <t>Internships</t>
  </si>
  <si>
    <t>Unemployed</t>
  </si>
  <si>
    <t>Workers</t>
  </si>
  <si>
    <t>Learnerships</t>
  </si>
  <si>
    <t>Completion rate</t>
  </si>
  <si>
    <t>Completed</t>
  </si>
  <si>
    <t>Entered</t>
  </si>
  <si>
    <t>Internships and learnerships</t>
  </si>
  <si>
    <t>Artisan learner completion</t>
  </si>
  <si>
    <t>Artisan learner registration</t>
  </si>
  <si>
    <t>Apprenticeships</t>
  </si>
  <si>
    <t>Business Studies N4-N6</t>
  </si>
  <si>
    <t>Engineering N1 - N6</t>
  </si>
  <si>
    <t>National Vocational Certification NC(V)</t>
  </si>
  <si>
    <t xml:space="preserve">Enrolment in Trainign and Vocational Education and Training ( TVET) Colleges </t>
  </si>
  <si>
    <t>To produce 30 000 artisans per year by 2030</t>
  </si>
  <si>
    <t>Skills and training</t>
  </si>
  <si>
    <t xml:space="preserve">World Values Survey- University of Stellenbosch, Wave 1-6. http://www.worldvaluessurvey.org/WVSOnline.jsp </t>
  </si>
  <si>
    <t>Respondents were asked to indicated whether they: (1) Do not belong; (2) are an inactive member; or (3) an active member of each voluntary organisation. The percentages shown are those that indicated they are ACTIVE MEMBERS.</t>
  </si>
  <si>
    <t xml:space="preserve">Other voluntary </t>
  </si>
  <si>
    <t>Charitable</t>
  </si>
  <si>
    <t>Professional</t>
  </si>
  <si>
    <t>Environmental</t>
  </si>
  <si>
    <t xml:space="preserve">Political party </t>
  </si>
  <si>
    <t>Labour union</t>
  </si>
  <si>
    <t>Art, music or educational</t>
  </si>
  <si>
    <t>Sport and recreation</t>
  </si>
  <si>
    <t>Church or religious</t>
  </si>
  <si>
    <t>2010-2014</t>
  </si>
  <si>
    <t>2005-2009</t>
  </si>
  <si>
    <t>1994-1998</t>
  </si>
  <si>
    <t>Korea</t>
  </si>
  <si>
    <t>Membership of voluntary organizations</t>
  </si>
  <si>
    <t>To achieve participation of citizens in civil-society organisations</t>
  </si>
  <si>
    <t>Voice and accountability</t>
  </si>
  <si>
    <t>Strength of Civil Society</t>
  </si>
  <si>
    <t>Voter Turnout percentage are slightly different from what is published on the IEC website due to the difference in calculation.
IEC uses Max Votes/ (Registered Voters + MEC7 Votes) where MEC7 votes relates to a situation where a person has applied for registration, has the receipt of proof but was not included on the voter's roll. * No registration for the specific years.</t>
  </si>
  <si>
    <t xml:space="preserve">State of the Nation, South Africa 2007. Human Sciences Research Council (HSRC) 2007/www.elections.org.za. Independent Electoral Commission (IEC).
Statistics South Africa, Census 2011 Report  No. 03-01-42 ; P0302 - Mid-year population estimates, report tables 2016. 
</t>
  </si>
  <si>
    <t>Total population of at least 18 years of age (prisoners voted in 1999 and 2004 but not in the local government elections of 2000 and 2006)
VAP refers to Voting Age Population</t>
  </si>
  <si>
    <t>Number, Percentages</t>
  </si>
  <si>
    <t>% Turnout of registered under 35 VAP</t>
  </si>
  <si>
    <t xml:space="preserve"> % Turnout of under 35 VAP</t>
  </si>
  <si>
    <t>Turnout under 35 years</t>
  </si>
  <si>
    <t>No turnout data</t>
  </si>
  <si>
    <t>VAP under 35 registered</t>
  </si>
  <si>
    <t>VAP under 35</t>
  </si>
  <si>
    <t>under 35 years</t>
  </si>
  <si>
    <t>Under 35 years</t>
  </si>
  <si>
    <t>% Turnout of registered VAP</t>
  </si>
  <si>
    <t>no registration</t>
  </si>
  <si>
    <t xml:space="preserve"> % Turnout of VAP</t>
  </si>
  <si>
    <t>% Turnout of VAP</t>
  </si>
  <si>
    <t>Turnout</t>
  </si>
  <si>
    <t xml:space="preserve">Turnout </t>
  </si>
  <si>
    <t>VAP registered</t>
  </si>
  <si>
    <t>Voting age population (VAP)</t>
  </si>
  <si>
    <t>Voter participation in local elections</t>
  </si>
  <si>
    <t>Voter participation in national and provincial elections</t>
  </si>
  <si>
    <t>To promote high levels of participation of citizens in the democratic electoral process</t>
  </si>
  <si>
    <t>Voter participation</t>
  </si>
  <si>
    <t>The data does not include changes that occur after the first results have been published and by elections. Out of Country registrations do not include other registered voters applying to vote abroad</t>
  </si>
  <si>
    <t xml:space="preserve">Report on the National &amp; Provincial Elections 1999/2004, 2006 , 2011 Independent Electoral Commission , www.election.org.za. 
Municipal election results 2016, http://www.elections.org.za/content/Elections/Municipal-elections-results/ </t>
  </si>
  <si>
    <t>Total population of at least 18 years of age (prisoners voted in 1999 and 2004 but not in the local government elections of 2000 and 2006)</t>
  </si>
  <si>
    <t>Numbers, Percentages</t>
  </si>
  <si>
    <t xml:space="preserve">Voted </t>
  </si>
  <si>
    <t>Registered</t>
  </si>
  <si>
    <t xml:space="preserve">Voters in local elections, disaggregated by province </t>
  </si>
  <si>
    <t>N/A **</t>
  </si>
  <si>
    <t>Out of Country</t>
  </si>
  <si>
    <t>Voted</t>
  </si>
  <si>
    <t xml:space="preserve">Voters in national and provincial elections, disaggregated by province </t>
  </si>
  <si>
    <t>To promote equal participation of all citizens in the democratic electoral process across all provinces</t>
  </si>
  <si>
    <t>Voters, per province</t>
  </si>
  <si>
    <t>Independent Electoral Commission (IEC)</t>
  </si>
  <si>
    <t>Member of national and provincial legislatures; member of Cabinet, Provincial Executive Councils and Local Government Councils as per each major election. 
PR= Proportional Representation</t>
  </si>
  <si>
    <t>4 277</t>
  </si>
  <si>
    <t>1 411</t>
  </si>
  <si>
    <t>4 811</t>
  </si>
  <si>
    <t>2 123</t>
  </si>
  <si>
    <t>Northern Province</t>
  </si>
  <si>
    <t>Overall</t>
  </si>
  <si>
    <t>Ward</t>
  </si>
  <si>
    <t>Proportional Representation</t>
  </si>
  <si>
    <t xml:space="preserve">Women members of Local Government Councils as per the major Local Government Elections </t>
  </si>
  <si>
    <t>Provincial Legislatures</t>
  </si>
  <si>
    <t>Parliament</t>
  </si>
  <si>
    <t>Women members of Parliament and Provincial Legislatures</t>
  </si>
  <si>
    <t>To increase the participation and representation of women in legislative bodies</t>
  </si>
  <si>
    <t>Percentage of women who are members of legislative bodies</t>
  </si>
  <si>
    <t>Ipsos (Former Markinor's)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t>
  </si>
  <si>
    <t>Government Communication and Information System (GCIS) based on Ipsos data.</t>
  </si>
  <si>
    <t>Proportion of South Africa's adult population who express confidence in a happy future for all races.</t>
  </si>
  <si>
    <t>Confident in a happy future for all races</t>
  </si>
  <si>
    <t>Nov</t>
  </si>
  <si>
    <t>May</t>
  </si>
  <si>
    <t xml:space="preserve">May </t>
  </si>
  <si>
    <t>To promote social cohesion and eliminate racism while building the nation.</t>
  </si>
  <si>
    <t>Social cohesion and social capital</t>
  </si>
  <si>
    <t xml:space="preserve">Biannual series has been used for the graph while the table provides annual data. The annual data has been obtained by averaging the two points as obtained in May and November. Ipsos (Former Markinor)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t>
  </si>
  <si>
    <t>Number of those who were of the opinion that race relations are improving expressed as a proportion of the total population.</t>
  </si>
  <si>
    <t xml:space="preserve">Race relations improving </t>
  </si>
  <si>
    <t xml:space="preserve">Nov </t>
  </si>
  <si>
    <t>To promote social cohesion and eliminate racism while building the nation. By 2019, 65 percent of the population should be of the opinion that race relations are improving</t>
  </si>
  <si>
    <t>Public opinion on race relations</t>
  </si>
  <si>
    <t>Ipsos (Fomer Markinor's)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t>
  </si>
  <si>
    <t>Government Communication and Information System (GCIS) based on Markinor data.</t>
  </si>
  <si>
    <t>Proportion of SA adult population who feel the country is going in the right direction</t>
  </si>
  <si>
    <t>2014-2019</t>
  </si>
  <si>
    <t>2009-2014</t>
  </si>
  <si>
    <t>2004-2009</t>
  </si>
  <si>
    <t>1999-2004</t>
  </si>
  <si>
    <t>1994-1999</t>
  </si>
  <si>
    <t>Q2</t>
  </si>
  <si>
    <t>Q1</t>
  </si>
  <si>
    <t>Year 5</t>
  </si>
  <si>
    <t>Year 4</t>
  </si>
  <si>
    <t>Year 3</t>
  </si>
  <si>
    <t>Year 2</t>
  </si>
  <si>
    <t>Year 1</t>
  </si>
  <si>
    <t>To promote social cohesion while building the nation</t>
  </si>
  <si>
    <t>Country going in the right direction</t>
  </si>
  <si>
    <t xml:space="preserve">Future Fact regular surveys, based on a national sample of 3,000, conducted once  a year amongst aged 15 years and older. In 2007 there were more categories included compared to 2004, but given that the figure is not very high they have been grouped under "rest of self-descriptors", including "uncertain/don't know" category. Data for 2010 and 2013 is not available since the self description questions were not part of the survey in these years. </t>
  </si>
  <si>
    <t>Government Communication and Information System (GCIS) based on FutureFact Mindset Surveys</t>
  </si>
  <si>
    <t>First self-descriptors by South Africa's adult population as a form of primary identity</t>
  </si>
  <si>
    <t>Rest of self descriptors</t>
  </si>
  <si>
    <t>By language group</t>
  </si>
  <si>
    <t>By race group</t>
  </si>
  <si>
    <t>As South African</t>
  </si>
  <si>
    <t>As an African</t>
  </si>
  <si>
    <t>How South Africans describe themselves (self-description)</t>
  </si>
  <si>
    <t xml:space="preserve">Table     </t>
  </si>
  <si>
    <t>To promote social cohesion and national identity. By 2019, 60 percent of the population prefers to associate with their South African identity</t>
  </si>
  <si>
    <t>Identity based on self-description</t>
  </si>
  <si>
    <t>The GCIS tracker survey is conducted on a weekly basis and results presented on a quaterly basis.  The survey has a cumulative sample of 3 840 until mid 2010. From mid 2010 to mid 2011, the annual sample size is 9 600 with 2 400 respondents interviewed on a quarterly basis. From Mid 2012 to mid 2014, the annual sample size is 14 000 with 3 500 respondents interviewed on a quarterly basis. Quarterly data for the years 2011/12, 2012/13 and 2013/14 were averaged to obtain an annual data point. Sample for 2014 included younger youth (15+), after weighting there was no statistical difference.</t>
  </si>
  <si>
    <t>Government Communications' (GCIS) National Tracker Survey 2003-2009 and 2011</t>
  </si>
  <si>
    <t xml:space="preserve">Percentage of those surveyed who take pride to be South African </t>
  </si>
  <si>
    <t>Qrt 4</t>
  </si>
  <si>
    <t>Qrt 3</t>
  </si>
  <si>
    <t>Qrt 2</t>
  </si>
  <si>
    <t>Qrt 1</t>
  </si>
  <si>
    <t>To promote social cohesion and national identity. By 2019, 75% of South Africans should reflect pride in being South African</t>
  </si>
  <si>
    <t>Pride in being South African</t>
  </si>
  <si>
    <t>Personal Income Tax (PIT) and Corporate Income Tax (CIT)  are taxes on income and profits and are a sum of Pay-As-You-Earn (PAYE), provisional payments, assessment payments, interest on overdue taxes less refunds. VAT is an indirect tax on economic activities.
Income tax register included suspense cases from 1996/97 to 2001/02 and excluded suspense cases from 2002/03 until present. Bar graph reflects disaggregated revenue collection according to
different tax types.</t>
  </si>
  <si>
    <t>South African Revenue Service (SARS).</t>
  </si>
  <si>
    <t>The income tax register is the sum of individual, companies and trusts registered with South African Revenue Service (SARS) for Income Tax. Revenue is the sum of taxes collected in terms of tax laws. Total revenue collection is a sum of Personal Income Tax (PIT), Corporate Income Tax (CIT), Value Added Tax (VAT) and other taxes. Suspense cases are inactive tax cases awaiting deregistration from the tax register.</t>
  </si>
  <si>
    <t>Number of tax payers and value of revenue in nominal rands</t>
  </si>
  <si>
    <t>Other tax types</t>
  </si>
  <si>
    <t>Value Added Tax (VAT)</t>
  </si>
  <si>
    <t>Corporate Income Tax (CIT)</t>
  </si>
  <si>
    <t>Personal Income Tax (PIT)</t>
  </si>
  <si>
    <t>Revenue collection</t>
  </si>
  <si>
    <t>Trusts</t>
  </si>
  <si>
    <t>Corporate Income Tax</t>
  </si>
  <si>
    <t>Personal Income Tax</t>
  </si>
  <si>
    <t>no</t>
  </si>
  <si>
    <t>Income Tax register</t>
  </si>
  <si>
    <t>Annual tax relief</t>
  </si>
  <si>
    <t>Tax Register and Revenue Collection ( Nominal Rand)</t>
  </si>
  <si>
    <t>To strengthen the revenue-collection capacity of government</t>
  </si>
  <si>
    <t>Government effectiveness</t>
  </si>
  <si>
    <t>General Reports of the Auditor-General for the finacial year 2014/15.</t>
  </si>
  <si>
    <t xml:space="preserve">Qualified audit as defined by Auditor General (AG) (Includes qualified, adverse and disclaimer opinions), where qualified audit opinion refers to financial statements that contain material misstatements in specific amounts or there is insufficient evidence for the auditor to conclude that specific identified amounts included in the financial statements are not materially over or understated.
Adverse audit opinion refers to financial statements that contain misstatements that are not confined to specific amounts or the misstatements that represent a substantial portion of the financial statements.
Disclaimer of audit opinion occurs when a department or public entity has provided insufficient evidence on which to form an audit opinion. The lack of sufficient evidence is not confined to specific amounts or represents a substantial portion of the information contained in the financial statement.
Misstatements refer to incorrect or omitted information in the financial statements transactions or incorrect values placed on assets, liabilities or financial obligations and commitments.
</t>
  </si>
  <si>
    <t>Number and percentage</t>
  </si>
  <si>
    <t>% of qualified audits</t>
  </si>
  <si>
    <t>No of qualified audits</t>
  </si>
  <si>
    <t>No of public entities reported on</t>
  </si>
  <si>
    <t>Public entities</t>
  </si>
  <si>
    <t>No of municipalities reported on</t>
  </si>
  <si>
    <t>Municipalities</t>
  </si>
  <si>
    <t>No of provincial depts. reported on</t>
  </si>
  <si>
    <t>Provincial depts.</t>
  </si>
  <si>
    <t>No of nat depts. reported on</t>
  </si>
  <si>
    <t>National depts.</t>
  </si>
  <si>
    <t>Audits</t>
  </si>
  <si>
    <t>To promote prudent and responsible use of public resources. The MTSF target for municipalities is at least 75 percent of municipalities with unqualified audit opinions by 2019</t>
  </si>
  <si>
    <t xml:space="preserve"> Audits</t>
  </si>
  <si>
    <t>Transparency International (www.transparency.org)</t>
  </si>
  <si>
    <t>The corruption perception Index (CPI) ranks countries according to perception of corruption in the public sector. The CPI is an aggregate indicator that combines different sources of information about corruption, making it possible to compare countries.</t>
  </si>
  <si>
    <t xml:space="preserve">Transparency International  (TI) defines corruption as the abuse on entrusted power for private gain. This definition encompasses corrupt practices in both the public and private sectors.
 </t>
  </si>
  <si>
    <t>Ranking in Transparency International Corruption Perception Index (CPI)</t>
  </si>
  <si>
    <t>Corruption perception scores</t>
  </si>
  <si>
    <t>Ranking position</t>
  </si>
  <si>
    <t>Transparency International Corruption Perception index</t>
  </si>
  <si>
    <t>Ensure transparency and effective oversight. Improve South Africa's overall ranking position to below 50 by 2019</t>
  </si>
  <si>
    <t>Anti-corruption</t>
  </si>
  <si>
    <t>Corruption perceptions</t>
  </si>
  <si>
    <t>www.openbudgetindex.org</t>
  </si>
  <si>
    <t xml:space="preserve">The International Budget Partnership’s (IBP) Open Budget Survey assesses the availability in each country of eight key budget documents, as well as the apprehensiveness of the data contained in these documents. The Survey also examines the extent of effective oversight provided by legislatures and supreme audit institutions (SAI), as well as the opportunities available to the public to participate in national budget decision-making processes. The International Budget Partnership’s
(IBP's) Open Budget Survey assesses the availability in each country of eight key budget documents, as well as the comprehensiveness of the data contained in these
documents. 
The rating is based on a questionnaire with 92 questions relating to categories of availability of budget documentation, the executive's budget proposal and the budget process </t>
  </si>
  <si>
    <t>Rating</t>
  </si>
  <si>
    <t>Sudan</t>
  </si>
  <si>
    <t>Kyrgyz Republic</t>
  </si>
  <si>
    <t>Sao Tome e Principe</t>
  </si>
  <si>
    <t>Houduras</t>
  </si>
  <si>
    <t>Cameroon</t>
  </si>
  <si>
    <t>Senegal</t>
  </si>
  <si>
    <t>Iraq</t>
  </si>
  <si>
    <t>Chad</t>
  </si>
  <si>
    <t>Rwanda</t>
  </si>
  <si>
    <t>Fiji</t>
  </si>
  <si>
    <t>Cambodia</t>
  </si>
  <si>
    <t>Qatar</t>
  </si>
  <si>
    <t>Myanmar</t>
  </si>
  <si>
    <t>Saudi Arabia</t>
  </si>
  <si>
    <t>Honduras</t>
  </si>
  <si>
    <t>Yemen</t>
  </si>
  <si>
    <t xml:space="preserve">Nigeria </t>
  </si>
  <si>
    <t>Equitorial Guinea</t>
  </si>
  <si>
    <t>Burkina Faso</t>
  </si>
  <si>
    <t>Equatorial 
Guinea</t>
  </si>
  <si>
    <t>Benin</t>
  </si>
  <si>
    <t>Niger</t>
  </si>
  <si>
    <t>Vietnam</t>
  </si>
  <si>
    <t xml:space="preserve">Nicaragua </t>
  </si>
  <si>
    <t>Dominican Republic</t>
  </si>
  <si>
    <t>Bolivia</t>
  </si>
  <si>
    <t>Lebanon</t>
  </si>
  <si>
    <t>Zambia</t>
  </si>
  <si>
    <t>Equatorial Guinea</t>
  </si>
  <si>
    <t xml:space="preserve">Mongolia </t>
  </si>
  <si>
    <t>Democratic Republic of Congo</t>
  </si>
  <si>
    <t>Angola</t>
  </si>
  <si>
    <t>Venezuela</t>
  </si>
  <si>
    <t>Algeria</t>
  </si>
  <si>
    <t>Egypt</t>
  </si>
  <si>
    <t>Nigeria</t>
  </si>
  <si>
    <t>Liberia</t>
  </si>
  <si>
    <t>Tajikistan</t>
  </si>
  <si>
    <t>Zimbabwe</t>
  </si>
  <si>
    <t xml:space="preserve">Vietnam </t>
  </si>
  <si>
    <t>Afghanistan</t>
  </si>
  <si>
    <t xml:space="preserve">Bolivia </t>
  </si>
  <si>
    <t>Provides scant or no information to citizens ( OBI Scores 0 - 20)</t>
  </si>
  <si>
    <t>Trinidad and Tobago</t>
  </si>
  <si>
    <t>Mozambique</t>
  </si>
  <si>
    <t>Ecuador</t>
  </si>
  <si>
    <t>Pakistan</t>
  </si>
  <si>
    <t xml:space="preserve">El Salvador </t>
  </si>
  <si>
    <t xml:space="preserve">Uganda </t>
  </si>
  <si>
    <t>Azerbaijan</t>
  </si>
  <si>
    <t>Nepal</t>
  </si>
  <si>
    <t>Timor-Leste</t>
  </si>
  <si>
    <t>Morocco</t>
  </si>
  <si>
    <t>Malawi</t>
  </si>
  <si>
    <t>Trinidada and Tobago</t>
  </si>
  <si>
    <t>Macedonia</t>
  </si>
  <si>
    <t>Tomor-Leste</t>
  </si>
  <si>
    <t>Thailand</t>
  </si>
  <si>
    <t>Mali</t>
  </si>
  <si>
    <t>Kazakhstan</t>
  </si>
  <si>
    <t>Albania</t>
  </si>
  <si>
    <t>Morroco</t>
  </si>
  <si>
    <t xml:space="preserve">Honduras </t>
  </si>
  <si>
    <t xml:space="preserve">Cameroon </t>
  </si>
  <si>
    <t xml:space="preserve">Algeria </t>
  </si>
  <si>
    <t>Sri Lanka</t>
  </si>
  <si>
    <t>Serbia</t>
  </si>
  <si>
    <t>Sierra Leone</t>
  </si>
  <si>
    <t>Nicaragua</t>
  </si>
  <si>
    <t>El Salvador</t>
  </si>
  <si>
    <t>Tanzania</t>
  </si>
  <si>
    <t>Mongolia</t>
  </si>
  <si>
    <t>Khazakstan</t>
  </si>
  <si>
    <t>Georgia</t>
  </si>
  <si>
    <t>Bangladesh</t>
  </si>
  <si>
    <t>Provides minimal information to citizens  (OBI Scores 21 - 40)</t>
  </si>
  <si>
    <t>Namibia</t>
  </si>
  <si>
    <t>Italy</t>
  </si>
  <si>
    <t>Costa Rica</t>
  </si>
  <si>
    <t>Philippines</t>
  </si>
  <si>
    <t xml:space="preserve">Jordan </t>
  </si>
  <si>
    <t>Croatia</t>
  </si>
  <si>
    <t>Bosnia and
 Herzegovina</t>
  </si>
  <si>
    <t>Turkey</t>
  </si>
  <si>
    <t>Ukraine</t>
  </si>
  <si>
    <t>Russia</t>
  </si>
  <si>
    <t>Bulgaria</t>
  </si>
  <si>
    <t>Papua New Guinea</t>
  </si>
  <si>
    <t>Guatemala</t>
  </si>
  <si>
    <t>Phillipines</t>
  </si>
  <si>
    <t>Uganda</t>
  </si>
  <si>
    <t>Bosnia</t>
  </si>
  <si>
    <t>Mangolia</t>
  </si>
  <si>
    <t>Bosnia and Herzegovina</t>
  </si>
  <si>
    <t>Jordan</t>
  </si>
  <si>
    <t>Peru</t>
  </si>
  <si>
    <t xml:space="preserve">Indonesia </t>
  </si>
  <si>
    <t>Provides some information to citizens ( OBI Scores 41 - 60)</t>
  </si>
  <si>
    <t>South Korea</t>
  </si>
  <si>
    <t>Slovenia</t>
  </si>
  <si>
    <t>Sweden</t>
  </si>
  <si>
    <t>Czech Republic</t>
  </si>
  <si>
    <t xml:space="preserve">Poland </t>
  </si>
  <si>
    <t xml:space="preserve">Czech Republic </t>
  </si>
  <si>
    <t>Germany</t>
  </si>
  <si>
    <t>Norway</t>
  </si>
  <si>
    <t>France</t>
  </si>
  <si>
    <t>United States</t>
  </si>
  <si>
    <t xml:space="preserve">Botswana </t>
  </si>
  <si>
    <t>Provides significant information to citizens ( OBI Scores 61 - 80)</t>
  </si>
  <si>
    <t xml:space="preserve">New Zealand </t>
  </si>
  <si>
    <t>Provides extensive information to citizens  (OBI Scores 81 - 100)</t>
  </si>
  <si>
    <t xml:space="preserve">Table                        </t>
  </si>
  <si>
    <t xml:space="preserve">Ensure transparency and effective oversight </t>
  </si>
  <si>
    <t>Good governance</t>
  </si>
  <si>
    <t>Budget Transparency</t>
  </si>
  <si>
    <t>Performing well</t>
  </si>
  <si>
    <t>Major service protests</t>
  </si>
  <si>
    <t>Table 1) Government Communication and Information System (GCIS) based on Ipsos data.
Table 2) Municipal IQ press release accessed 13 November 2012. www.MunicipalIQ.co.za</t>
  </si>
  <si>
    <t xml:space="preserve">Data is based on Ipsos' regular surveys, based on a national sample of 3,500,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Graph uses annual average while the table uses Bi annual data. 
Municipal IQ records data on service delivery protests staged against municipalities, as recocorded by the media (or other public domain sources such as SAPS press releases). Please note that protests that are primarily against councillor candidates (a political issue), demarcation (a national decision, like that of Vuwani) and industrial relations are not included on the Municipal Hotspots Monitor.
</t>
  </si>
  <si>
    <t>Percent</t>
  </si>
  <si>
    <t>Service delivery protests</t>
  </si>
  <si>
    <t>2014 sep</t>
  </si>
  <si>
    <t>Major Service delivery protests</t>
  </si>
  <si>
    <t xml:space="preserve">Public trust and confidence in local government </t>
  </si>
  <si>
    <t>Public opinion: Delivery of basic services</t>
  </si>
  <si>
    <t xml:space="preserve">http://www.doingbusiness.org - Doing Business Database </t>
  </si>
  <si>
    <r>
      <t xml:space="preserve">The ease of doing business index ranks economies from </t>
    </r>
    <r>
      <rPr>
        <sz val="10"/>
        <color indexed="12"/>
        <rFont val="Arial"/>
        <family val="2"/>
      </rPr>
      <t>1 to 189</t>
    </r>
    <r>
      <rPr>
        <sz val="10"/>
        <rFont val="Arial"/>
        <family val="2"/>
      </rPr>
      <t xml:space="preserve">. The index is calculated as the ranking on the simple average of country percentile rankings on each of the 10 topics covered in Doing Business. To make the data comparable across 189 economies, Doing Business uses a standardized business that is 100% domestically owned, has start-up capital equivalent to 10 times income per capita, engages in general industrial or commercial activities and employs between 10 and 50 people within the first month of operations. </t>
    </r>
  </si>
  <si>
    <t>Doing Business data measure the number of procedures, time, cost and paid-in minimum capital required for small and medium-size limited liability companies to formally operate. Ease of doing business index (1=easiest to 189=most difficult)</t>
  </si>
  <si>
    <t>Trading across borders</t>
  </si>
  <si>
    <t>Registering Property</t>
  </si>
  <si>
    <t>Enforcing contracts</t>
  </si>
  <si>
    <t>Getting electricity</t>
  </si>
  <si>
    <t>Starting a business</t>
  </si>
  <si>
    <t>Ease of Doing Business</t>
  </si>
  <si>
    <t>Paying Taxes</t>
  </si>
  <si>
    <t>Protecting Investors</t>
  </si>
  <si>
    <t>Getting Credit</t>
  </si>
  <si>
    <t>Change in Global Rank</t>
  </si>
  <si>
    <t>Key Indicators</t>
  </si>
  <si>
    <t xml:space="preserve">Doing business in SA </t>
  </si>
  <si>
    <t>Total number of countries</t>
  </si>
  <si>
    <t>Oman</t>
  </si>
  <si>
    <t>no change</t>
  </si>
  <si>
    <t>Slovak Republic</t>
  </si>
  <si>
    <t>Change in global  rank</t>
  </si>
  <si>
    <t>Ease of doing business-Rank</t>
  </si>
  <si>
    <t>To improve government's efficiency and effectiveness in attracting investment by creating an environment conducive to business operation</t>
  </si>
  <si>
    <t>The National Climate Change Response Policy (White Paper on the National Climate Change Response, Government Gazette No. 34695 of 19 October 2011); the GHG National Inventory Report, South Africa, 2000-2010, November 2104; and the Department of Environmental Affairs' Explanatory Note entitled Defining South Africa’s Peak, Plateau and Decline Greenhouse Gas Emission Trajectory, June 2011.</t>
  </si>
  <si>
    <t>The National Greenhouse Gas (GHG) Emissions Indicator measures South Africa’s actual greenhouse gas emissions against the National GHG Emissions Trajectory Range that is used as the benchmark against which the efficacy of GHG mitigation action is currently measured in terms of the National Climate Change Response Policy (2011).</t>
  </si>
  <si>
    <t xml:space="preserve">Millions of tons of greenhouse gases expressed as carbon dioxide equivalents emitted in a specific year </t>
  </si>
  <si>
    <t>Actual emissions</t>
  </si>
  <si>
    <t xml:space="preserve">Benchmark Trajectory Lower Range </t>
  </si>
  <si>
    <t xml:space="preserve">Benchmark Trajectory Upper Range </t>
  </si>
  <si>
    <t xml:space="preserve">National GHG Emissions in Mt CO2-eq </t>
  </si>
  <si>
    <t>National Greenhouse Gas (ghg) emissions trajectory range</t>
  </si>
  <si>
    <t>For South Africa’s greenhouse gas emissions to conform to the “peak, plateau and decline trajectory” described in the National Climate Change Response Policy (2011) where emissions: peak at 583 Megatons (109 kg) (Mt) CO2-eq and 614 Mt CO2-eq for 2020 and 2025 respectively; plateau for ten years (2026-2035) between 398 and 614 Mt CO2-eq; and decline in absolute terms from 2036 to a range between 212 and 428 Mt CO2-eq by 2050.</t>
  </si>
  <si>
    <t>Climate Change Mitigation</t>
  </si>
  <si>
    <t>Greenhouse gas emissions</t>
  </si>
  <si>
    <t>To derive the PAAQI, the annual averages of PM10 and sulphur dioxide SO2 (the two most prevalent air pollutants in the country) are averaged over the priority area stations data in order to derive the priority area annual average. These averages are then normalised by the annual average National Ambient Air Quality Standard (NAAQS). Based on the normalised ratios of the average concentrations, PAAQI is defined as the maximum between the normalised ratios of the national annual averages of PM10 and SO2 for each year. It should also be noted that the down-scaling of Eskom's ambient air quality monitoring network and related activities may mean that this data may not be available for comparison in the future.</t>
  </si>
  <si>
    <t>The Priority Area Air Quality Index (PAAQI) provides a measure of ambient air quality in relation to current air quality standards in recognised national air pollution hot spots. Scientifically, the PAAQI is defined as the maximum value of the normalized ratios of the annual averages of PM10 and SO2 measured by the air quality monitoring station network in priority areas for each year. PAAQI values of 1 and above means that air quality does not meet ambient air quality standards. PAAQI values below 1 means that air quality complies with current ambient air quality standards.</t>
  </si>
  <si>
    <t>Normalised ratios</t>
  </si>
  <si>
    <t>Acceptability threshold</t>
  </si>
  <si>
    <t>PAAQIs for Eskom's air quality monitoring network</t>
  </si>
  <si>
    <t>PAAQIs for the Highveld Priority Area</t>
  </si>
  <si>
    <t>PAAQIs for the Vaal Triangle Airshed Priority Area</t>
  </si>
  <si>
    <t>Focus</t>
  </si>
  <si>
    <t>Regional Air Quality Indices</t>
  </si>
  <si>
    <t>Ambient air quality in the national priority areas conforms to national ambient air quality standards by 2020</t>
  </si>
  <si>
    <t>Ambient Air Quality</t>
  </si>
  <si>
    <t>Priority area air quality index</t>
  </si>
  <si>
    <t xml:space="preserve">Protected area spatial information is from the South African Protected Areas Database (SAPAD) which is maintained by the Enterprise Spatial Information Management Directorate of the Department of Environmental Affairs. Ecosystem type data is from the Vegetation Map of South Africa, Lesotho and Swaziland, curated and updated by the South African National Biodiversity Institute (SANBI). Protected area targets are from the Outcome 10 Ministerial performance agreement. The Convention on Biological Diversity's Aichi Targets are available from https://www.cbd.int/sp/targets/default.shtml </t>
  </si>
  <si>
    <t>The Terrestrial Biodiversity Protection Index is a biodiversity related indicator that measures how extensive South Africa’s protected areas are, and how well they represent our ecosystem types.</t>
  </si>
  <si>
    <t>Aichi Target (adjusted to strict definition of PA)</t>
  </si>
  <si>
    <t>Terrestrial Biodiversity Protection Index</t>
  </si>
  <si>
    <t>NDP Target for land mass under protection</t>
  </si>
  <si>
    <t>Per cent land mass under protection</t>
  </si>
  <si>
    <t>Measure/Index</t>
  </si>
  <si>
    <t>Terrestrial Protected Areas Representivity</t>
  </si>
  <si>
    <t>To achieve the national target contained in the Outcome 10 delivery agreement which requires the expansion of the conservation estate from 6 to 9% by 2018 and the international Aichi Biodiversity Targets that requires that at least 17% of specified terrestrial and inland-water areas are conserved and properly managed by 2020.</t>
  </si>
  <si>
    <t xml:space="preserve">Biodiversity </t>
  </si>
  <si>
    <t>NDP Target for marine conservation</t>
  </si>
  <si>
    <t>Partial Protection</t>
  </si>
  <si>
    <t>Full Protection</t>
  </si>
  <si>
    <t>Total MPA</t>
  </si>
  <si>
    <t>Significant Year</t>
  </si>
  <si>
    <t>The South African Protected Areas Database (SAPAD) operated and maintained by the Department of Environmental Affairs (see http://egis.environment.gov.za/sapad.aspx?m=64) and the Marine Conservation Institute's MPAtlas (see http://www.mpatlas.org/region/nation/ZAF/)</t>
  </si>
  <si>
    <t>The Prince Edward Island MPA and EEZ is not included. The international Aichi Biodiversity Target has not been reflected in the graphs as an assessment of South Africa's actual performance against this target requires an analysis of the ecological representivity of our Marine Protected Areas.</t>
  </si>
  <si>
    <t>Marine Protected Area is expressed as a percentage of South Africa's continental mainland exclusive economic zone (EEZ) being 1,068,659 km2.  However, South Africa’s EEZ also includes that around the Prince Edward Islands being 466,879 km2, totalling 1,535,538 km2.</t>
  </si>
  <si>
    <t>Accumulative Marine Protected Area expansion as a percentage of South Africa's Exclusive Economic Zone (EEZ)</t>
  </si>
  <si>
    <t>To achieve the NDP-related national target contained in the Outcome 10 delivery agreement which requires the expansion of the continental mainland marine conservation estate from 4 287.532 km2 (0.4% of EEZ) to 32 156.49 km2 (3% of EEZ) by 2019 and the international Aichi Biodiversity Targets that requires that at least 10% of specified coastal and marine areas are conserved and properly managed by 2020.</t>
  </si>
  <si>
    <t>Marine Protected Areas (MPA)</t>
  </si>
  <si>
    <r>
      <t>Indicator</t>
    </r>
    <r>
      <rPr>
        <sz val="10"/>
        <rFont val="Arial"/>
        <family val="2"/>
      </rPr>
      <t xml:space="preserve">     </t>
    </r>
  </si>
  <si>
    <t>Meeting housing needs</t>
  </si>
  <si>
    <r>
      <t>Category</t>
    </r>
    <r>
      <rPr>
        <sz val="10"/>
        <rFont val="Arial"/>
        <family val="2"/>
      </rPr>
      <t xml:space="preserve">     </t>
    </r>
  </si>
  <si>
    <t>Meeting housing needs- contribution by government</t>
  </si>
  <si>
    <t>Meeting housing needs of the poor by creating sustainable human settlements and improving the quality of life for all residents</t>
  </si>
  <si>
    <t>Number of households - Statistics South Africa</t>
  </si>
  <si>
    <t>Number of households (HH)</t>
  </si>
  <si>
    <t>HH in formal dwelling</t>
  </si>
  <si>
    <t>HH in formal dwelling as a % of total HH</t>
  </si>
  <si>
    <t>Tenure status for households living in formal dwellings</t>
  </si>
  <si>
    <t>Fully Owned</t>
  </si>
  <si>
    <t>Partially Owned</t>
  </si>
  <si>
    <t>Renting</t>
  </si>
  <si>
    <t>Other</t>
  </si>
  <si>
    <t>HH not in formal dwelling</t>
  </si>
  <si>
    <t xml:space="preserve">HH in traditional structures </t>
  </si>
  <si>
    <t>Housing units - Department of Human Settlements</t>
  </si>
  <si>
    <t xml:space="preserve">2003/04  </t>
  </si>
  <si>
    <t>Subsidised Housing units completed / in progress (cumulative)</t>
  </si>
  <si>
    <t>Serviced sites completed</t>
  </si>
  <si>
    <t>Houses completed</t>
  </si>
  <si>
    <t>Housing units by province - Department of Human Settlements</t>
  </si>
  <si>
    <t>Subsidised units</t>
  </si>
  <si>
    <r>
      <t xml:space="preserve">Formal dwelling refers to a structure built according to approved plans, i.e. house on a separate stand, flat or apartment, townhouse, room in backyard, rooms or flatlet elsewhere. Contrasted with informal dwelling and
traditional dwelling. Informal dwelling is a makeshift structure not erected according to approved architectural plans, for example shacks or shanties in informal settlements or in backyards.
Beneficiaries refers to the number of beneficiaries in respect of whom subsidies have been approved for the relevent period. The information on number of beneficiaries could change as provinces move beneficiaries from one year to another until the house is delivered for the said beneficiary.
</t>
    </r>
    <r>
      <rPr>
        <u/>
        <sz val="10"/>
        <rFont val="Arial"/>
        <family val="2"/>
      </rPr>
      <t>Subsidies housing units completed and housing units in progress</t>
    </r>
    <r>
      <rPr>
        <sz val="10"/>
        <rFont val="Arial"/>
        <family val="2"/>
      </rPr>
      <t xml:space="preserve"> include all top structures completed in the reporting period and sites serviced, number of houses at foundation level or wall plate level constructed on already serviced sites. It also includes construction in greefields developments and in rural areas with services                                                                                                                                                                                                                                                                                                                    
</t>
    </r>
    <r>
      <rPr>
        <u/>
        <sz val="10"/>
        <rFont val="Arial"/>
        <family val="2"/>
      </rPr>
      <t>Serviced sites completed:</t>
    </r>
    <r>
      <rPr>
        <sz val="10"/>
        <rFont val="Arial"/>
        <family val="2"/>
      </rPr>
      <t xml:space="preserve"> Refers to sites (erven) in a formal township (with a township register) where occupants will have secure tenure and possibly ownership of the erf (stand).serviced sites are delivered on a project level in conjunction with township proclamation processes, where applicable. For the stand to be deemed a serviced site, the minimum level of engineering service are a metered water connection to each stand, road access for each stand, a VIP toilet or higher sanitation service for each stand and storm-water management systems for the development area.                                                                                                                                                                                                                                                                                                                                                    </t>
    </r>
    <r>
      <rPr>
        <u/>
        <sz val="10"/>
        <rFont val="Arial"/>
        <family val="2"/>
      </rPr>
      <t>Houses/Units completed:</t>
    </r>
    <r>
      <rPr>
        <sz val="10"/>
        <rFont val="Arial"/>
        <family val="2"/>
      </rPr>
      <t xml:space="preserve"> Refers to separate houses and residential units (top structures) developed across any of the housing programmes whether built as separate houses or as units in multi-floor structures, including affordable rental and Community Residential Units (CRU). This excludes units re-built in the Rectification Programme. 
                                                                                    </t>
    </r>
  </si>
  <si>
    <t>Table 1: Household figures are based on Statistics South Africa's data (OHS 1997-1999, Census 1996 and 2001, GHS 2002-2015.
Table 2, 3: Housing Subsidy System (HSS), National Department of Human Settlements.</t>
  </si>
  <si>
    <t xml:space="preserve">It takes between one and three years for a beneficiary who has been approved to receive housing, to actually receive such housing. It would be inaccurate to draw a direct correspondence between planned units and housing units completed (and in progress) in the same year. Housing delivery in the first five years of democracy varied greatly from year to year and from province to province as different systems of reporting and monitoring had to be unified.The difference in household figures is due to the different methodologies used by the departments where data is sourced vis a vis the various surveys conducted by Statistics SA.  
Data reported for beneficiaries  is a cumulative figure from 1994/95                                                                                                                                                                                                                                                              </t>
  </si>
  <si>
    <t>Life Expectancy (LE)</t>
  </si>
  <si>
    <t>Health</t>
  </si>
  <si>
    <t>MTSF 2014 -2019: Average male and female life expectancy increased to 63 years by March 2019</t>
  </si>
  <si>
    <t>Life Expectancy</t>
  </si>
  <si>
    <t>LE male  StatsSA</t>
  </si>
  <si>
    <t>LE female  StatsSA</t>
  </si>
  <si>
    <t>LE combined  StatsSA</t>
  </si>
  <si>
    <t>LE male RMS</t>
  </si>
  <si>
    <t>LE female RMS</t>
  </si>
  <si>
    <t>LE combined  RMS</t>
  </si>
  <si>
    <t>Average LE for 2001-2005, 2006-2010, 2011-2015 periods by province</t>
  </si>
  <si>
    <t>2001-2006</t>
  </si>
  <si>
    <t>2006-2011</t>
  </si>
  <si>
    <t>2011-2016</t>
  </si>
  <si>
    <t>Life expectancy: The number of years a new-born infant would live if prevailing patterns of age-specific mortality rates at the time of birth were to stay the same throughout the child's life</t>
  </si>
  <si>
    <t>1,2,3, 10) Life Expectancy Statistics South Africa - Mid Year Population Estimates 2016</t>
  </si>
  <si>
    <t>Infant and child mortality rate</t>
  </si>
  <si>
    <t>MTSF 2014-2019: Reduce infant mortality rate from 27 to 18 per 1 000 live births</t>
  </si>
  <si>
    <t>To reduce infant (under one year) and child (under five years) morbidity and mortality.</t>
  </si>
  <si>
    <t>Infant (under one year) and under 5 deaths per 1000 live births - Stats SA estimates</t>
  </si>
  <si>
    <t>Infant mortality rate (IMR)</t>
  </si>
  <si>
    <t>Under 5 mortality</t>
  </si>
  <si>
    <t>Infant and child deaths per 1000 live births - Estimates by other sources</t>
  </si>
  <si>
    <t xml:space="preserve">Health Systems Trust </t>
  </si>
  <si>
    <t>Infant mortality (under one year)</t>
  </si>
  <si>
    <t>Child mortality (under five years)</t>
  </si>
  <si>
    <t>Medical Research Council</t>
  </si>
  <si>
    <t>Dept of Health</t>
  </si>
  <si>
    <t xml:space="preserve">RMS </t>
  </si>
  <si>
    <t>3) MRC calculations</t>
  </si>
  <si>
    <t>4) South African demographics and health survey 2003
5) Rapid Mortality Surveillance (RMS) Report 2011, 2014, 2015</t>
  </si>
  <si>
    <t>Note that Statistics South Africa calculations and ASSA model include the impact of anti-retroviral (ARV) treatment. Additional data on estimates by other data sources available in the Excel version on the DPME website: www.thepresidency-dpme.gov.za</t>
  </si>
  <si>
    <t>To reduce infant and under-five child morbidity and mortality</t>
  </si>
  <si>
    <t>number</t>
  </si>
  <si>
    <t xml:space="preserve">Stunting (%) </t>
  </si>
  <si>
    <t xml:space="preserve"> age 6-71 months</t>
  </si>
  <si>
    <t>age 1-9 years</t>
  </si>
  <si>
    <t xml:space="preserve"> age 12-71 months</t>
  </si>
  <si>
    <t xml:space="preserve"> under 5 years</t>
  </si>
  <si>
    <t xml:space="preserve"> age 1-9 years</t>
  </si>
  <si>
    <t xml:space="preserve"> NYRBS</t>
  </si>
  <si>
    <t>NYRBS Grade 11</t>
  </si>
  <si>
    <t xml:space="preserve"> NYRBS Grade 8</t>
  </si>
  <si>
    <t xml:space="preserve"> NYRBS female</t>
  </si>
  <si>
    <t xml:space="preserve"> NYRBS male</t>
  </si>
  <si>
    <t xml:space="preserve"> under 15 years</t>
  </si>
  <si>
    <t xml:space="preserve">Malnutrition under five years old </t>
  </si>
  <si>
    <t>HAZ&lt;= -3</t>
  </si>
  <si>
    <t>HAZ&lt;=-2</t>
  </si>
  <si>
    <t>HAZ&lt;=-1</t>
  </si>
  <si>
    <t>WAZ&lt;=-3</t>
  </si>
  <si>
    <t>WAZ&lt;=-2</t>
  </si>
  <si>
    <t>WAZ&lt;=-1</t>
  </si>
  <si>
    <t>WHZ&lt;=-3</t>
  </si>
  <si>
    <t>WHZ&lt;=-2</t>
  </si>
  <si>
    <t>WHZ&lt;=-1</t>
  </si>
  <si>
    <t>na</t>
  </si>
  <si>
    <t>The underweight for age rate is all children that are underweight for age per 1000 children in the target population. A child is underweight for age if below the third centile but equal to or over 60% of Estimated Weight for Age (EWA) on the Road-to-Health chart (below 60% is severe malnutrition). Note that 'Not gaining weight under 5 years' is a more sensitive indicator of nutrition problems. On the Road-to-health card the most important issue to track is whether the child is increasing in weight. Children occupy the full spectrum of weights and if a child on the fiftieth percentile is not gaining weight this is as important for that child as for a child on the fifth percentile that also loses weight. The child on the fiftieth percentile has to go a lot further to reach the third percentile but all along the way the child is at increased risk of disease and infection.  Thus ‘Not gaining weight under 5 years’ allows early detection and intervention before the child become underweight or severely malnourished.</t>
  </si>
  <si>
    <t>Immunisation coverage</t>
  </si>
  <si>
    <t>MTSF 2014 -2019: Immunisation coverage under 1 year (annualised) increased to 95 percent by 2019</t>
  </si>
  <si>
    <t>To protect South African children against vaccine preventable disease, improve child health and contribute towards reducing infant and under-five mortality and morbidity</t>
  </si>
  <si>
    <t xml:space="preserve">Immunisation coverage </t>
  </si>
  <si>
    <t>Immunisation Coverage</t>
  </si>
  <si>
    <t>Immunisation coverage per province</t>
  </si>
  <si>
    <t>Percentage of children under one year who received all their primary vaccines for tuberculosis (TB), diphtheria, whooping cough, tetanus, polio, measles, hepatitis B and haemophilus influenzae</t>
  </si>
  <si>
    <t>Some of the totals exceed 100% due to the size of the denominator vs the numerator. Provincially disaggregated data is available in the Excel version on the DPME website: www.thepresidency-dpme.gov.za</t>
  </si>
  <si>
    <t>Maternal Mortality Ratio (MMR)</t>
  </si>
  <si>
    <t>MTSF 2014 - 2019:  Maternal Mortality Ratio reduced to less than 100 per 100 000 live births by March 2019</t>
  </si>
  <si>
    <t>To improve women's health and reduce maternal and neonatal mortality and morbidity.</t>
  </si>
  <si>
    <t>Maternal Deaths / 100 000 live births</t>
  </si>
  <si>
    <t>Africa</t>
  </si>
  <si>
    <t xml:space="preserve">Deaths of women while pregnant or within 42 days of termination of pregnancy from any cause related to or aggravated by the pregnancy or its management, but not from accidental or incidental causes </t>
  </si>
  <si>
    <t>Following a maternal death in a public hospital, it is standard requirement that a confidential inquiry is held. The DoH MMR calculation uses the reports that are completed in this process. The change of RMS report from the previous report is due to a change in estimates of the number of births based on more recent data.</t>
  </si>
  <si>
    <t>HIV prevalence</t>
  </si>
  <si>
    <t>To reduce the prevalence of HIV and expand the PMTCT coverage to pregnant women</t>
  </si>
  <si>
    <t>Youth 15-24</t>
  </si>
  <si>
    <t>Adult women 15-49</t>
  </si>
  <si>
    <t>Adult women 20-64</t>
  </si>
  <si>
    <t>Adult men 20-64</t>
  </si>
  <si>
    <t>All adults 15-49</t>
  </si>
  <si>
    <t>All adults 20-64</t>
  </si>
  <si>
    <t>Total Female Population</t>
  </si>
  <si>
    <t xml:space="preserve">Total Male Population </t>
  </si>
  <si>
    <t xml:space="preserve">Total Population </t>
  </si>
  <si>
    <t>Women attending antenatal care</t>
  </si>
  <si>
    <t>HIV Prevelance among women attending antenatal care by province</t>
  </si>
  <si>
    <t>Mother to child transmissions</t>
  </si>
  <si>
    <t>Infant HIV - exposure prevelence</t>
  </si>
  <si>
    <t>National perinatal transmission rate (MTCT)</t>
  </si>
  <si>
    <t>6) Number of sampled pregnant women attending antenatal clinics whose HIV test results are positive divided by a number of pregnant women attending antenatal clinics who tested for HIV</t>
  </si>
  <si>
    <t>1-9) Statistics SA's calculations</t>
  </si>
  <si>
    <t>The evaluation of the effectiveneess of the national PMTCT programme to reduce perinatal transmission of HIV from mother to infants measured at 4 to 8 weeks after infant birth. Additional data disaggregated by province and by age is available in the Excel version on the DPME website: www.thepresidency-dpme.gov.za</t>
  </si>
  <si>
    <r>
      <t>Indicator</t>
    </r>
    <r>
      <rPr>
        <sz val="8"/>
        <rFont val="Arial"/>
        <family val="2"/>
      </rPr>
      <t xml:space="preserve">     </t>
    </r>
  </si>
  <si>
    <t>Antiretroviral Treatment (ART)</t>
  </si>
  <si>
    <r>
      <t>Category</t>
    </r>
    <r>
      <rPr>
        <sz val="8"/>
        <rFont val="Arial"/>
        <family val="2"/>
      </rPr>
      <t xml:space="preserve">     </t>
    </r>
  </si>
  <si>
    <t>Providing quality and an appropriate package treatment, care and support to 80% of HIV positive people and their families</t>
  </si>
  <si>
    <t>ART</t>
  </si>
  <si>
    <t>ART enrolment (Adult)</t>
  </si>
  <si>
    <t>ART enrolment (Child)</t>
  </si>
  <si>
    <t>Total remaining on ART (Adult) * (December)</t>
  </si>
  <si>
    <t>Total remaining on ART (Child) (December)</t>
  </si>
  <si>
    <t>Number, rate,</t>
  </si>
  <si>
    <t xml:space="preserve">Total remaining on ART is defined all patients started ART, all patients transferred in, minus patients died, lost to follow up and transferred out ** Reporting year refers to the year in which patient reach a duration on treatment.  Patients reaching 1 year on treatment in a given reporting year will have started in the previous year, whereas those who could have reached 5 years on ART will have started 5 years previously. </t>
  </si>
  <si>
    <t xml:space="preserve">Table 1: Department of Health's District Health Information System (DHIS) (Total remaining on ART data for 2005 - 2009 drawn from South African National AIDS Council (SANAC) report)
</t>
  </si>
  <si>
    <t>* Adults and children combined in Total remaining on ART data. The national statistics on Total Remaining on ART for children and adults in the period 2005 to 2010 were cumulative. During this period , the various data collection systems in provinces varied widely and inconsistently accounted for transfer out, deaths and lost to follow-ups.</t>
  </si>
  <si>
    <t>Tuberculosis (TB)</t>
  </si>
  <si>
    <t>MTSF 2014-2019: Sub-outcome: HIV &amp; AIDS and Tuberculosis prevented and successfully managed</t>
  </si>
  <si>
    <t>TB prevalence</t>
  </si>
  <si>
    <r>
      <t>2013</t>
    </r>
    <r>
      <rPr>
        <sz val="8"/>
        <color theme="1"/>
        <rFont val="Calibri"/>
        <family val="2"/>
      </rPr>
      <t> </t>
    </r>
  </si>
  <si>
    <r>
      <t>2014</t>
    </r>
    <r>
      <rPr>
        <sz val="8"/>
        <color theme="1"/>
        <rFont val="Calibri"/>
        <family val="2"/>
      </rPr>
      <t> </t>
    </r>
  </si>
  <si>
    <t>TB case notification</t>
  </si>
  <si>
    <t>Successful treatment rate</t>
  </si>
  <si>
    <t>Cure rate</t>
  </si>
  <si>
    <t>Defaulter rate</t>
  </si>
  <si>
    <t>World Heath Organisation's TB indicators</t>
  </si>
  <si>
    <t>DOTS coverage (%)</t>
  </si>
  <si>
    <t>Notification rate (new and relapse cases/ 1 000 000 pop)</t>
  </si>
  <si>
    <t>% notified new and relapse cases reported under DOTS</t>
  </si>
  <si>
    <t>Notification rate (new ss+ cases/ 100 000 pop)</t>
  </si>
  <si>
    <t>% notified new ss+ cases reported under DOTS</t>
  </si>
  <si>
    <t>Case detection rate ( all new cases, %)</t>
  </si>
  <si>
    <t>Case detection rate ( new ss+ cases, %)</t>
  </si>
  <si>
    <t>Treatment success ( new ss+ patients, %)</t>
  </si>
  <si>
    <t>Re-treatment cases success (ss+ patients,%)</t>
  </si>
  <si>
    <t xml:space="preserve">1) TB Case Notification- Number of TB cases all types reported to the Department of Health.
2) Successful Treatment Rate- Successful completion of treatment rate.
3) Cure rate- Percentage of patients who have shown to have been cured at the end of treatment. 
4) Defaulter rate-  The percentage of patients who fail to complete the full course of treatment.  
DOTS - Directly Observed Treatment Short-course( the basic package that underpins the stop TB strategy)
ss+ TB means smear positive tuberculosis
MDR-TB is multiple drug resistant tuberculosis ( resistance to, at least isoniazid and rifampicin)
GLC- Green light committee
</t>
  </si>
  <si>
    <t>1) World Heath Organisation,  drawing upon the National TB Control Programme (NTCP), Department of Health, 2,3,4) NCTP Department of Health and South African Health Review</t>
  </si>
  <si>
    <t>Multidrug-resistant TB (MDR-TB)</t>
  </si>
  <si>
    <t>Estimated incidents of ss+ MDR cases</t>
  </si>
  <si>
    <t>Diagnosed and notified</t>
  </si>
  <si>
    <t>Registered for treatment</t>
  </si>
  <si>
    <t>(-%)</t>
  </si>
  <si>
    <t>-(-%)</t>
  </si>
  <si>
    <t>4552(56%)</t>
  </si>
  <si>
    <t>4933(54%)</t>
  </si>
  <si>
    <t>5402(73%)</t>
  </si>
  <si>
    <t>GLC</t>
  </si>
  <si>
    <t>non-GLC</t>
  </si>
  <si>
    <t>Malaria</t>
  </si>
  <si>
    <t xml:space="preserve">To reduce malaria morbidity and mortality by 10 percent each year: </t>
  </si>
  <si>
    <t xml:space="preserve">Malaria </t>
  </si>
  <si>
    <t>Cases</t>
  </si>
  <si>
    <t>Deaths</t>
  </si>
  <si>
    <t>Fatality Rate</t>
  </si>
  <si>
    <t>Numbers, Rate</t>
  </si>
  <si>
    <t>Fatality rate: The number of reported deaths due to malaria divided by number of malaria reported cases multiplied by 100</t>
  </si>
  <si>
    <t>Department of Health's Malaria Notification System</t>
  </si>
  <si>
    <t>MALARIA CASES IN SOUTH AFRICA DURING 2008</t>
  </si>
  <si>
    <t>MONTH</t>
  </si>
  <si>
    <t>Jan</t>
  </si>
  <si>
    <t>Feb</t>
  </si>
  <si>
    <t>Mar</t>
  </si>
  <si>
    <t>Apr</t>
  </si>
  <si>
    <t>Jun</t>
  </si>
  <si>
    <t>Jul</t>
  </si>
  <si>
    <t>Aug</t>
  </si>
  <si>
    <t>Oct</t>
  </si>
  <si>
    <t>Dec</t>
  </si>
  <si>
    <t>CF***</t>
  </si>
  <si>
    <t>PROVINCE</t>
  </si>
  <si>
    <t>C</t>
  </si>
  <si>
    <t>Cases*</t>
  </si>
  <si>
    <t>Deaths**</t>
  </si>
  <si>
    <t>.</t>
  </si>
  <si>
    <t>MALARIA CASES IN SOUTH AFRICA DURING 2009</t>
  </si>
  <si>
    <t>MALARIA CASES IN SOUTH AFRICA DURING 2010</t>
  </si>
  <si>
    <t>MALARIA CASES IN SOUTH AFRICA DURING 2011</t>
  </si>
  <si>
    <t>Contact crime</t>
  </si>
  <si>
    <t>Public safety</t>
  </si>
  <si>
    <t>To reduce contact crime by 10 percent between 2014 and 2019</t>
  </si>
  <si>
    <t>Contact Crimes rate - per 100 000 of population</t>
  </si>
  <si>
    <t>Social Contact crimes</t>
  </si>
  <si>
    <t>Murder</t>
  </si>
  <si>
    <t>Attempted Murder</t>
  </si>
  <si>
    <t>Common Assault</t>
  </si>
  <si>
    <t>Assault Grievous Body Harm</t>
  </si>
  <si>
    <t>Sexual Offences</t>
  </si>
  <si>
    <t>Aggravated Robbery</t>
  </si>
  <si>
    <t>Common Robbery</t>
  </si>
  <si>
    <t>Ratio of contact crimes per 100 000 of the population</t>
  </si>
  <si>
    <t>the category of contact crime is made up of murder, attempted murder aggravated robbery , common robbery, assault causing grievous bodily harm (gbh), common and sexual offences</t>
  </si>
  <si>
    <t>SAPS annual reports and Crime Statistics</t>
  </si>
  <si>
    <t>See indicator 68 for further analysis of aggravated robbery. Data on sexual offences from 2000/01 to 2002/03 is not published in the crime statistics. Additional data that is disaggregated at provincial level is available in the Excel version on the DPME website: www.thepresidency-dpme.gov.za</t>
  </si>
  <si>
    <t>Aggravated robberies</t>
  </si>
  <si>
    <t>To reduce level of aggravated robberies</t>
  </si>
  <si>
    <t>Selected aggravated robberies - reported cases</t>
  </si>
  <si>
    <t>2005/6</t>
  </si>
  <si>
    <t>2007/8</t>
  </si>
  <si>
    <t>% increase
/decrease 2013/14 vs 2014/15</t>
  </si>
  <si>
    <t>Carjacking</t>
  </si>
  <si>
    <t>Truckjacking</t>
  </si>
  <si>
    <t>Robbery of cash in transit</t>
  </si>
  <si>
    <t>Street and public robberies</t>
  </si>
  <si>
    <t>Bank robbery</t>
  </si>
  <si>
    <t>Robbery at residential premises</t>
  </si>
  <si>
    <t>Robbery at business premises</t>
  </si>
  <si>
    <t xml:space="preserve">Data format </t>
  </si>
  <si>
    <t>Number of organised crimes</t>
  </si>
  <si>
    <t xml:space="preserve">aggravated robbries refers to cases of armed robbery, and the trio crimes </t>
  </si>
  <si>
    <t>SAPS annual reports and Crime Statistics 2013/14</t>
  </si>
  <si>
    <t>The graph is based on change-over-time series using 2004/05 as base year for calculating change over time, while the table uses number of reported cases for selected crimes.</t>
  </si>
  <si>
    <t>Street and public roberies</t>
  </si>
  <si>
    <t xml:space="preserve">Drug-Related Crime </t>
  </si>
  <si>
    <t>To increase the reported crimes for unlawful possession of and dealing in drugs by 13 percent over the period 2014 to 2019</t>
  </si>
  <si>
    <t>Reported Cases</t>
  </si>
  <si>
    <t xml:space="preserve">Free State </t>
  </si>
  <si>
    <t xml:space="preserve">KwaZulu-Natal </t>
  </si>
  <si>
    <t xml:space="preserve">Mpumalanga </t>
  </si>
  <si>
    <t xml:space="preserve">Northern Cape </t>
  </si>
  <si>
    <t>Reported cases</t>
  </si>
  <si>
    <t>Crime Ratio per 100 000 of the population</t>
  </si>
  <si>
    <t>Crime ratio</t>
  </si>
  <si>
    <t>Percentage difference on reported cases</t>
  </si>
  <si>
    <t>2003/04-2004/05</t>
  </si>
  <si>
    <t>2004/05-2005/06</t>
  </si>
  <si>
    <t>2005/06-2006/07</t>
  </si>
  <si>
    <t>2006/2007-2007/08</t>
  </si>
  <si>
    <t>2007/08-2008/09</t>
  </si>
  <si>
    <t>2008/09-2009/10</t>
  </si>
  <si>
    <t>2009/10-2010/11</t>
  </si>
  <si>
    <t>2010/11-2011/12</t>
  </si>
  <si>
    <t>2011/12-2012/13</t>
  </si>
  <si>
    <t>2012/13-2013/14</t>
  </si>
  <si>
    <t>2013/14-2014/15</t>
  </si>
  <si>
    <t>2004/05-2014/15</t>
  </si>
  <si>
    <t>Ratio of Drug-related crime per 100 000 of the population</t>
  </si>
  <si>
    <t>Drug-related crimes include possession, usage, handling, dealing, smuggling and manufacturing.</t>
  </si>
  <si>
    <t>This indicator does not reflect confiscated and destroyed drugs as they are captured on a different system. Additional data that is disaggregated at provincial level is available in the Excel version on the DPME website: www.thepresidency-dpme.gov.za</t>
  </si>
  <si>
    <t xml:space="preserve">Sexual Offences </t>
  </si>
  <si>
    <t>To reduce sexual offences</t>
  </si>
  <si>
    <t>2003/4-2004/5</t>
  </si>
  <si>
    <t>2004/5- 2005/6</t>
  </si>
  <si>
    <t>2005/6-2006/7</t>
  </si>
  <si>
    <t>2006/7- 2007/8</t>
  </si>
  <si>
    <t>2007/8- 2008/9</t>
  </si>
  <si>
    <t>2008/9- 2009/10</t>
  </si>
  <si>
    <t>Ratio of Sexual offenses  per 100 000 of the population</t>
  </si>
  <si>
    <t>Sexual offences are defined by Criminal Law (Sexual Offences and Related Matters) Amendment Act, 2007 (Act 32 of 2007).. Sexual offences is a category of crime which includes rape , sexual assault, contact sexual assault  and sexual offences due to police action</t>
  </si>
  <si>
    <t>Additional data that is disaggregated at provincial level is available in the Excel version on the DPME website: www.thepresidency-dpme.gov.za</t>
  </si>
  <si>
    <t>SAPS annual reports and Crime Statistics 2014/15</t>
  </si>
  <si>
    <t>Conviction rate</t>
  </si>
  <si>
    <t>Court system efficiency and effectiveness</t>
  </si>
  <si>
    <t>To reduce the number of criminal backlog cases in all courts by 21 percent between 2014 and 2019</t>
  </si>
  <si>
    <t>Table  1</t>
  </si>
  <si>
    <t>National Prosecutions Authority (NPA) data on steps in court system</t>
  </si>
  <si>
    <t>year on year growth 2013/14 vs 2014/15</t>
  </si>
  <si>
    <t>New cases in court</t>
  </si>
  <si>
    <t>Finalised cases including</t>
  </si>
  <si>
    <t>Finalised cases</t>
  </si>
  <si>
    <t>2.2.1</t>
  </si>
  <si>
    <t>Verdict cases</t>
  </si>
  <si>
    <t>2.2.1.1</t>
  </si>
  <si>
    <t>Convictions</t>
  </si>
  <si>
    <t>LC</t>
  </si>
  <si>
    <t>HC</t>
  </si>
  <si>
    <t>2.2.2</t>
  </si>
  <si>
    <t>ADRM</t>
  </si>
  <si>
    <t>diversions</t>
  </si>
  <si>
    <t>CJA</t>
  </si>
  <si>
    <t>mediations</t>
  </si>
  <si>
    <t>105 789</t>
  </si>
  <si>
    <t>Cases remaining in the system</t>
  </si>
  <si>
    <t xml:space="preserve">Table 2          </t>
  </si>
  <si>
    <t>Various ratios</t>
  </si>
  <si>
    <t xml:space="preserve">The indicators show the steps in the criminal justice system. Conviction rate is conviction as a percentage of all verdict cases. Clearance rate is the disposed cases as a percentage of new cases. Success rate is the finalised cases as a percentage of cases disposed. ADRM is Alternative Dispute Resolution Methods. Cases disposed includes cases removed from the roll and finalised cases. Cases finalised includes verdict cases and ADRM. </t>
  </si>
  <si>
    <t>Table 1 and Table 2: National Prosecuting Authority.</t>
  </si>
  <si>
    <t xml:space="preserve">2.2.1 (Verdict cases) + 2.2.2 (ADRM) = 2.2 (Finalised cases) 
2.2.1.1 (Convictions) + Acquitals(Not presented here) = 2.2.1 (Verdict cases)
The ADRM includes  Diversions, Informal Mediations and  Child Justice Act diversions. Cases Disposed Includes Cases Removed from the roll and Finalised Cases. Cases finalised includes verdict cases and ADRM and includes Child Justice Court matters. </t>
  </si>
  <si>
    <t xml:space="preserve">Total number of inmates </t>
  </si>
  <si>
    <t>Access to justice</t>
  </si>
  <si>
    <t>To provide effective rehabilitation of offenders</t>
  </si>
  <si>
    <t>Number of inmates in correctional facilities</t>
  </si>
  <si>
    <t>Sentenced offenders</t>
  </si>
  <si>
    <t>Remand detainess</t>
  </si>
  <si>
    <t xml:space="preserve">Sentenced offenders per crime category- average per year </t>
  </si>
  <si>
    <t>Economical</t>
  </si>
  <si>
    <t>Aggressive</t>
  </si>
  <si>
    <t>Sexual</t>
  </si>
  <si>
    <t>Narcotics</t>
  </si>
  <si>
    <t>Sentence categories - average per year</t>
  </si>
  <si>
    <t xml:space="preserve">Between  5 and 7 Years </t>
  </si>
  <si>
    <t xml:space="preserve">Between  7 and 10 Years </t>
  </si>
  <si>
    <t xml:space="preserve">Between  10 and 15 Years </t>
  </si>
  <si>
    <t xml:space="preserve">Between  15 and 20 Years </t>
  </si>
  <si>
    <t xml:space="preserve">More than  20 Years </t>
  </si>
  <si>
    <t>Life Sentence</t>
  </si>
  <si>
    <t xml:space="preserve">Number of inmates in correctional facilities.
The term "Remand Detainess" is inclusive of all categories of un-sentenced persons in DCS facilities, awaiting further action by a court, i.e. persons awaiting trial, awaiting sentencing, awaiting extradiction. The definition by its nature excludes sentenced offenders (even when returned from parole break) as well as state patients (where a decision by a court has already been made) and persons awaiting deportation. The term remand detainee is inclusive of the following categories. Remand detainees detained pending observation at the Mental Health Establishment; remand detainees detained in line with section 7 of the Extradition Act; and remand detainees who have been convicted and waiting for sentencing. </t>
  </si>
  <si>
    <t>Department of Correctional Services, Annual Report 2014/15</t>
  </si>
  <si>
    <t>Rehabilitation of offenders</t>
  </si>
  <si>
    <t>Transform offenders into law abiding citizens by providing correctional and development programs</t>
  </si>
  <si>
    <t>Number of offenders that benefitted from rehabilitation</t>
  </si>
  <si>
    <t>Correctional Programmes</t>
  </si>
  <si>
    <t>Development Programmes</t>
  </si>
  <si>
    <t>Skills</t>
  </si>
  <si>
    <t>Production workshops</t>
  </si>
  <si>
    <t>Psychological Services</t>
  </si>
  <si>
    <t>Social work</t>
  </si>
  <si>
    <t>Spiritual care</t>
  </si>
  <si>
    <t>Caseload per year</t>
  </si>
  <si>
    <t>Parolees</t>
  </si>
  <si>
    <t>Probationers</t>
  </si>
  <si>
    <t>Rehabilitation programmes as provided by Deparrtment of correctional services. Rehabilitaion in the Department of Correctional services context is a holistic process where offenders are encouraged to discard negative values and change their offending behaviours, to take responsibility for the harm they caused to victims in particular society in general, in an enabling environment. 
Correctional programmes provides needs based correctional programmes in line with the correctional sentence plans, which entail targeting all elements associated with offending behavious and focusing on the offences for which persons are incarcerated.
Development programmes provides programmes and services aimed at developing competencies by providing opportunitiues for skills and social development.
Psychological services, Social work, Spiritual care services need based programmes and services are aimed at maintaining the personal wellbeing of the incarcetated persons be facilitaing social functioning, spiritual, moral and psychological wellbeing.</t>
  </si>
  <si>
    <t>Parole and Probation</t>
  </si>
  <si>
    <t>97 percent of parolees and 97 percent of probationers without violation by 2019</t>
  </si>
  <si>
    <t>Parolee Caseload</t>
  </si>
  <si>
    <t>Parolee without Violations</t>
  </si>
  <si>
    <t>Percentage of Parolees without violations</t>
  </si>
  <si>
    <t>Probation</t>
  </si>
  <si>
    <t xml:space="preserve">Probationer Caseload </t>
  </si>
  <si>
    <t>Probationer without Violations</t>
  </si>
  <si>
    <t>Percentage of Probationers without violations</t>
  </si>
  <si>
    <t>Parolee refers to a person who has been placed out of correctional centre before the expiry of the sentence to serve the remainder of his/her sentence of imprisonment in the community under the supervision and control of Community Corrections.
Probationer refers to a person who is serving a sentence of correctional supervision and was sentenced by a court of law to correctional supervision or has been placed on correctional supervision by the CSPB/National Commissioner or his/her delegate.</t>
  </si>
  <si>
    <t>Department of Correctional services, personal communication</t>
  </si>
  <si>
    <t>Road accidents</t>
  </si>
  <si>
    <t>To reduce the number of road accidents and fatalities by 5% on a year-to-year basis</t>
  </si>
  <si>
    <t>Road accidents and fatalities</t>
  </si>
  <si>
    <t>Motorised vehicles registered</t>
  </si>
  <si>
    <t>Fatal road accidents (per 10 000 motorised vehicles)</t>
  </si>
  <si>
    <t>Fatalities (per 10 000 motorised vehicles)</t>
  </si>
  <si>
    <t>Road accidents as a % of motorised vehicle registered</t>
  </si>
  <si>
    <t>Fatal road accidents</t>
  </si>
  <si>
    <t>Road fatalities</t>
  </si>
  <si>
    <t>Number, Rate, Percent and Index</t>
  </si>
  <si>
    <t>Definitions</t>
  </si>
  <si>
    <t>Fatalities refer to road accidents which resulted in death; fatal road accidents refer to motor vehicle crashes in which at least one person was killed.</t>
  </si>
  <si>
    <t>Road traffic offence index refer to a combination of critical offences (speed, alchol and some driver and vehicle fitness aspects) expressed in terms of preset standards for the various offences.</t>
  </si>
  <si>
    <t>Road Traffic Management Corporation (RTMC). Additional data on available in the Excel version on the DPME website: www.thepresidency-dpme.gov.za</t>
  </si>
  <si>
    <t>Development cooperation</t>
  </si>
  <si>
    <t xml:space="preserve">Sustainable development </t>
  </si>
  <si>
    <t>Contribute to sustainable development and an economically intergrated Africa by supporting regional and continental processes so as to significantly increase intra-Africa trade and to champion sustainable development and opportunities in Africa</t>
  </si>
  <si>
    <t>Countries assisted through development cooperations</t>
  </si>
  <si>
    <t>Number of initiatives</t>
  </si>
  <si>
    <t>Amount (R'million)</t>
  </si>
  <si>
    <t>4*</t>
  </si>
  <si>
    <t>Number, Amount in millions of rands</t>
  </si>
  <si>
    <t>Initiatives refer to countries who are assisted through African Renaissance Fund (ARF)</t>
  </si>
  <si>
    <t xml:space="preserve">Department of International Relations and Cooperation (DIRCO). </t>
  </si>
  <si>
    <t>*Expenditure is only recognised once concurrence is granted by the Minister of Finance. For financial year 2010/11 other projects that were funded were not recognised as expenditure against the fund. Where applicable, exchange rate of R11.58 for 2014 is used to compare with the US dollar</t>
  </si>
  <si>
    <t>Sustainable tourism</t>
  </si>
  <si>
    <t>Bilateral political and economic relations</t>
  </si>
  <si>
    <t>To increase foreign tourism to South Africa and create conditions for sustainable tourism growth</t>
  </si>
  <si>
    <t>Tourism in South Africa</t>
  </si>
  <si>
    <t>Foreign travelers</t>
  </si>
  <si>
    <t>Arrivals</t>
  </si>
  <si>
    <t>Foreign tourists(Excluding Transit)</t>
  </si>
  <si>
    <t>Total Africa</t>
  </si>
  <si>
    <t>Total Overseas</t>
  </si>
  <si>
    <t>Unspecified</t>
  </si>
  <si>
    <t>Direct Tourism employment as a % of total SA Employment</t>
  </si>
  <si>
    <t>Travel and tourism direct industry employment</t>
  </si>
  <si>
    <t>Total (Direct and Indirect) contribution of Travel and tourism economy employment</t>
  </si>
  <si>
    <t>Total contribution (Direct and Indirect) of travel and tourism as % total SA employment</t>
  </si>
  <si>
    <t>Economic contribution</t>
  </si>
  <si>
    <t>Tourism direct gross domestic product (TDGDP)</t>
  </si>
  <si>
    <t>Total Direct contribution of travel and tourism as % of SA GDP</t>
  </si>
  <si>
    <t>Total (Direct and Indirect)contribution of travel and Tourism to GDP R'bn</t>
  </si>
  <si>
    <t>Total (Direct and Indirect) contribution of travel and tourism as % of total SA GDP</t>
  </si>
  <si>
    <t>Numbers, Rands in billion</t>
  </si>
  <si>
    <t xml:space="preserve">1. Statistics South Africa,  Foreign arrivals exclusing workers and contract workers
2. South African Tourism Annual Tourism report  2013
3, 5. Statistics South Africa's National accounts, Tourism Satellite Accounts for South Africa (Final 2012, Provisional 2013 and 2014)
4, 6. World Travel and Tourism council (WTTC): September 2014 Travel and Tourism Economic Data  
</t>
  </si>
  <si>
    <t xml:space="preserve">The tourism industries supply goods and services to both tourists and non tourists
</t>
  </si>
  <si>
    <t>UNWTO (United Nations World Tourism Organisation) defines a traveller as  someone who moves between different geographical locations for any purpose or duration. A foreign traveller refers to a traveller who is not a South African citizen or permanent resident. Total employment in the tourism industry refers to employees who supply goods and services to both tourists and non tourists while Tourism direct employment refers to employees who are directly engaged producing goods and services consumed by tourists only.
Foreign tourist is any visitor travelling to a place other than that of his /her usual environment for more than one night but less that twelve months, and whose main purpose of the trip is other than the exercise of an activity remunerated from within the place visited</t>
  </si>
  <si>
    <t>Mission operations and diplomats trained</t>
  </si>
  <si>
    <t>To conduct and co-ordinate South Africa’s international relations and promote its foreign-policy objectives and to promote and protect South Africa's national interests and values through bilateral and multilateral interactions</t>
  </si>
  <si>
    <t xml:space="preserve">Mission operations </t>
  </si>
  <si>
    <t>Latin America</t>
  </si>
  <si>
    <t>Asia/ Australasia</t>
  </si>
  <si>
    <t>North America</t>
  </si>
  <si>
    <t>Europe</t>
  </si>
  <si>
    <t>All Missions</t>
  </si>
  <si>
    <t>Diplomats trained</t>
  </si>
  <si>
    <t>Foreign Service/Diplomatic training: Foreign Affairs</t>
  </si>
  <si>
    <t>Heads of Mission training</t>
  </si>
  <si>
    <t>Foreign Language training</t>
  </si>
  <si>
    <t>Foreign representation in South Africa</t>
  </si>
  <si>
    <t>Diplomatic missions</t>
  </si>
  <si>
    <t>Non-Resident representatives</t>
  </si>
  <si>
    <t>16</t>
  </si>
  <si>
    <t>Consular Posts</t>
  </si>
  <si>
    <t>Honorary consular posts</t>
  </si>
  <si>
    <t>International organisations</t>
  </si>
  <si>
    <t>Other (Taipei Liaison office)</t>
  </si>
  <si>
    <t>Total foreign representation</t>
  </si>
  <si>
    <t xml:space="preserve">Number 
</t>
  </si>
  <si>
    <t xml:space="preserve">A mission is defined as an important assignment carried out for political, religious or commercial purposes, typically involving travel. Training that is offered to officials in preparation for Foreign Services and Heads of Mission (Ambassadors , High Commissioners and Consul-Generals) who have been appointed to represent government in enhancing and promoting relations with other governments. It also includes officials who are sent to represent South Africa at the various multilateral fora including the UN, AU, SADC and other international fora. International traiinng programmes include Foreign Service training, language and other international programmes. </t>
  </si>
  <si>
    <t>No new missions were opened from the 2009/10 financial year onwards. Foreign language training undertaken on a finacial year basis. Additional data on diplomats trained available in the Excel version on the DPME website: www.dpme.gov.za</t>
  </si>
  <si>
    <t xml:space="preserve"> Department of International Relations and Cooperation
</t>
  </si>
  <si>
    <t>All missions</t>
  </si>
  <si>
    <t>International Agreements</t>
  </si>
  <si>
    <t>To conduct and co-ordinate South Africa's international relations and promote its foreign policy objectives</t>
  </si>
  <si>
    <t>South Africa's International Agreements</t>
  </si>
  <si>
    <t>Number per year</t>
  </si>
  <si>
    <t>Multilateral</t>
  </si>
  <si>
    <t>Bilateral</t>
  </si>
  <si>
    <t>Treaties, Conventions, protocols, MOU's.</t>
  </si>
  <si>
    <t>International agreements concluded by South Africa with one or more states/ organisations, these include treaties, conventions, protocols, memoranda of understanding and covenants.</t>
  </si>
  <si>
    <t>Number of agreements ( Bilateral or Multilateral) refer to annual aggregated total agreements per year and are cumulative. For example in 2010 there were 80 agreements in existance and in 2011, 4 new agreementse were added, aggregating the figure to 84. Where there are fewer agreements, it means that some have lapsed compared to the pervious year.</t>
  </si>
  <si>
    <t xml:space="preserve">Official South African Treaty Register of the Republic of South Africa, data supplied by Department of International Relations and Cooperation. </t>
  </si>
  <si>
    <t>Budget surplus or deficit before borrowing (Main budget surplus or deficit before borrowing)</t>
  </si>
  <si>
    <r>
      <t>Indicator</t>
    </r>
    <r>
      <rPr>
        <sz val="11"/>
        <color theme="1"/>
        <rFont val="Calibri"/>
        <family val="2"/>
        <scheme val="minor"/>
      </rPr>
      <t xml:space="preserve">     </t>
    </r>
  </si>
  <si>
    <t>Victims of crime</t>
  </si>
  <si>
    <r>
      <t>Category</t>
    </r>
    <r>
      <rPr>
        <sz val="11"/>
        <color theme="1"/>
        <rFont val="Calibri"/>
        <family val="2"/>
        <scheme val="minor"/>
      </rPr>
      <t xml:space="preserve">     </t>
    </r>
  </si>
  <si>
    <t>Perception of crime among the population managed and improved</t>
  </si>
  <si>
    <t>Percentage of households who feel safe walking alone in their area during the day and when it is dark</t>
  </si>
  <si>
    <t>Safe during the day</t>
  </si>
  <si>
    <t>Safe at night</t>
  </si>
  <si>
    <t xml:space="preserve">Perception of changes in violent crimes levels </t>
  </si>
  <si>
    <t>2008-2010</t>
  </si>
  <si>
    <t>2009-2011</t>
  </si>
  <si>
    <t>2010-2013</t>
  </si>
  <si>
    <t>2011-2014</t>
  </si>
  <si>
    <t>Increased</t>
  </si>
  <si>
    <t>Decreased</t>
  </si>
  <si>
    <t>Stayed 
the same</t>
  </si>
  <si>
    <t>Percentage of households who were satisfied with police in their area</t>
  </si>
  <si>
    <t>Kwazulu-Natal</t>
  </si>
  <si>
    <t>Perception of households’ satisfaction with the way courts generally deal with perpetrators of crime</t>
  </si>
  <si>
    <t>Percentages</t>
  </si>
  <si>
    <t>Victims of Crime Survey (VOCS) is a countrywide households-based survey that examines perceptions of crimes and also reports on perceptions of activities of the criminal justice sector from the view of the victims and households.</t>
  </si>
  <si>
    <t>Statistics South Africa Victims of Crime Survey (VOCS), 2011,2012, 2013/14 and 2014/15.</t>
  </si>
  <si>
    <t xml:space="preserve">VOCS 2013/14 covers estimates of crimes as from April 2012 to February 2014 thus covering more years that previous surveys. Data collection for VOCS 2011 and 2012 were conducted from January to March of that year and referred to incidents of crime experienced during the previous year ( January to December). Since 2013, StatsSA has changed the data collection methodology to continuous data collection. Data collection for 2013/14 started in April 2012 and concluded in March 2014 with reference to the crimes that were experienced during the past twelve months (April 2012 to February 2014). The period is referred to as the moving reference period, this is different from 2011 and 2012 collection which were done from January to March and had a fixed reference period from January to December of the previous year. Sample has been distributed evenly over the collection period in the form of quarterly allocations. VOCS 2013/14 is comparable to the previous years VOCS in that several questions have remained unchanged over time. </t>
  </si>
  <si>
    <t xml:space="preserve">Data from StatsSA as presented is based on a calculation for LE at birth with HIV. 
RMS 2014, Estimates for 2013 are based on RMS data rather than VR data because of apparent significant under-recording of the VR (cause of death) </t>
  </si>
  <si>
    <t>Rate, percentage</t>
  </si>
  <si>
    <t>4,5,6) Rapid Mortality Surveillance (RMS) Report 2015;  2016. Page 11, Table 3</t>
  </si>
  <si>
    <t>NDP 2030 goal: Reduce maternal, infant and child mortality. Reduce under-five mortality from 56 to below 30 per 1 000 live births</t>
  </si>
  <si>
    <t>1) Stats SA Mid Year Population Estimates 2016, Page 5 - Table 5</t>
  </si>
  <si>
    <t>2) Rapid Mortality Surveillance (RMS) Report 2015, 2016</t>
  </si>
  <si>
    <t>IMR refers to the number of children less than one year old who die in a year per 1 000 live births during that year. U5MR refers to the number of children under five years who die per 1 000 live births during that year. PCR refers to Polymerase Chain Reaction tests that are used to diagnose HIV and other viruses. This indicator measures percentage of early infants PCR tests that have positive results and is used as a proxy for early vertical transmission for those infants who receive early PCR tests.</t>
  </si>
  <si>
    <t>NDP 2030 goal: Reduce maternal, infant and child mortality</t>
  </si>
  <si>
    <t xml:space="preserve">NDP 2030 goal: Average male and female life expectancy at birth increased to 70 years </t>
  </si>
  <si>
    <r>
      <t xml:space="preserve">District Health Information System (DHIS)
</t>
    </r>
    <r>
      <rPr>
        <sz val="10"/>
        <color theme="0"/>
        <rFont val="Arial"/>
        <family val="2"/>
      </rPr>
      <t>2)  Labadarios D, editor. The National Food Consumption Survey (NFCS): Children aged 1-9 years, South Africa, 1999. Pretoria: National Department of Health; 2010.
3)Labadarios D, Swart R, Maunder EMW, Kruger HS, Gericke GJ, Kuzwayo PMN, Ntsie PR, Steyn NP, Schloss I, Dhansay MA, Jooste PL, Dannhauser A , Nel JH, Molefe D, Kotze TJvW. The National Food Consumption Survey- Fortifi cation Baseline (NFCS-FB-I): South Africa, 2005. Directorate: Nutrition, Department of Health. Pretoria. 2007 
4) Labadarios D. (editor), Steyn NP, Mauner E, MacIntyre U, Swart R, Gericke G, Huskisson J, Dannhauser A, Vorster HH, Nesamvuni AE.  The National Food Consumption Survey (NFCS): children aged 1-9 years, South Africa, 1999. Pretoria: Department of Health, 2000. www.sahealthinfo.org/nutrition/nfcs/chapter4. Accessed December 7, 2005
5) Labadarios, D., Van Middelkoop, A. (Eds.). 1995. The South African Vitamin A Consultative Group (SAVACG). Children aged 6 to 71 months in South Africa, 1994: Their anthropometric, vitamin A, iron and immunisation coverage status. Isando: SAVACG
6)  Labadarios D, editor. The National Food Consumption Survey (NFCS): Children aged 1-9 years, South Africa, 1999. Pretoria: National Department of Health; 2010.</t>
    </r>
    <r>
      <rPr>
        <sz val="10"/>
        <rFont val="Arial"/>
        <family val="2"/>
      </rPr>
      <t xml:space="preserve">
</t>
    </r>
  </si>
  <si>
    <t>Department of Health's District Health Information System (DHIS) as at the end of december 2016.
Annual reports of the National Department of Health for 2012/13 and 2013/14.</t>
  </si>
  <si>
    <t>Saving Mothers Repot</t>
  </si>
  <si>
    <t>RMS</t>
  </si>
  <si>
    <t>1) Statistics SA's calculations based on civil registration and vital statistics system (CRVS), data presented in the 2013 MDG report, page 74
2) Saving Mothers 2014 Report, Department of Health 2014
3) Rapid Mortality Surveillance (RMS) Report 2014, 2015.</t>
  </si>
  <si>
    <t>NDP 2030 gaol: Average male and female life expectancy at birth increases to 70 years</t>
  </si>
  <si>
    <r>
      <t xml:space="preserve">10) The 2012 National Antenatal Sentinel HIV and Syphilis Prevalance Survey in South Africa, Page 15, table 5
</t>
    </r>
    <r>
      <rPr>
        <sz val="10"/>
        <color theme="0"/>
        <rFont val="Arial"/>
        <family val="2"/>
      </rPr>
      <t>11, 12) Evaluation of the effectiveness of the national prevention of mother-to-child transmission (PMTCT), Medical Research Council(MRC)</t>
    </r>
  </si>
  <si>
    <t>NDP 2030 goal: Average male and female life expectancy at birth increases to 70 years</t>
  </si>
  <si>
    <t>*Remaing on ART (All)</t>
  </si>
  <si>
    <t xml:space="preserve">NDP 2030: Progressively improve TB prevention and cure </t>
  </si>
  <si>
    <t>Severe acute malnutrition under five years</t>
  </si>
  <si>
    <t>Severe acute Malnutrition under Five years - new ambulatory</t>
  </si>
  <si>
    <r>
      <t xml:space="preserve">Severe acute malnutrition is a new born found to weigh less than 60% of estimated weight for age, or to suffer from marasmus, kwashiokor, or similar illnesses, excluding new born babies. Severe acute malnutrition might also be denoted as clinically malnourished. </t>
    </r>
    <r>
      <rPr>
        <sz val="10"/>
        <color theme="0"/>
        <rFont val="Arial"/>
        <family val="2"/>
      </rPr>
      <t>New ambulatory
Z score Height-for-age (HAZ): HAZ&lt;= -3 = severely stunted; HAZ&lt;=-2 = stunted
Z score Weight-for-age (WAZ): WAZ&lt;=-3 = severely underweight; WAZ&lt;=-2 = underweight
Z score Weight-for Height (WHZ): WHZ&lt;=-3 = severely wasted; WHZ&lt;=-2 = wasted                                                                                                                                                                                         Stunting: Proportion of children with height for age under 2 standard deviations from the norm (reference population median).</t>
    </r>
    <r>
      <rPr>
        <sz val="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</si>
</sst>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6">
    <numFmt numFmtId="43" formatCode="_ * #,##0.00_ ;_ * \-#,##0.00_ ;_ * &quot;-&quot;??_ ;_ @_ "/>
    <numFmt numFmtId="164" formatCode="_(* #,##0.00_);_(* \(#,##0.00\);_(* &quot;-&quot;??_);_(@_)"/>
    <numFmt numFmtId="165" formatCode="0.0"/>
    <numFmt numFmtId="166" formatCode="#,##0.0_);\(#,##0.0\)"/>
    <numFmt numFmtId="167" formatCode="&quot;R&quot;#,##0"/>
    <numFmt numFmtId="168" formatCode="[$$-409]#,##0"/>
    <numFmt numFmtId="169" formatCode="###,###,###"/>
    <numFmt numFmtId="170" formatCode="#,###,###"/>
    <numFmt numFmtId="171" formatCode="#,##0.0"/>
    <numFmt numFmtId="172" formatCode="_ * #,##0.0_ ;_ * \-#,##0.0_ ;_ * &quot;-&quot;??_ ;_ @_ "/>
    <numFmt numFmtId="173" formatCode="0.0%"/>
    <numFmt numFmtId="174" formatCode="yyyy"/>
    <numFmt numFmtId="175" formatCode="#,##0.000"/>
    <numFmt numFmtId="176" formatCode="_ * #,##0_ ;_ * \-#,##0_ ;_ * &quot;-&quot;??_ ;_ @_ "/>
    <numFmt numFmtId="177" formatCode="0.000"/>
    <numFmt numFmtId="178" formatCode="dd\-mmm\-yyyy"/>
    <numFmt numFmtId="179" formatCode="###\ ###\ ###\ ###\ ###"/>
    <numFmt numFmtId="180" formatCode="#.0"/>
    <numFmt numFmtId="181" formatCode="###,###,###,###"/>
    <numFmt numFmtId="182" formatCode="0.0#%"/>
    <numFmt numFmtId="183" formatCode="##,###,###"/>
    <numFmt numFmtId="184" formatCode="###,###,###,###.0"/>
    <numFmt numFmtId="185" formatCode="#\ ###"/>
    <numFmt numFmtId="186" formatCode="#\ ###\ ##0"/>
    <numFmt numFmtId="187" formatCode="#,##0_ ;\-#,##0\ "/>
    <numFmt numFmtId="188" formatCode="###\ ##0"/>
    <numFmt numFmtId="189" formatCode="#,###,###.00"/>
    <numFmt numFmtId="190" formatCode="&quot;R&quot;\ #,##0"/>
    <numFmt numFmtId="191" formatCode="#,###,##0.00"/>
    <numFmt numFmtId="192" formatCode="#,###,##0.000"/>
    <numFmt numFmtId="193" formatCode="#,###,##0"/>
    <numFmt numFmtId="194" formatCode="#,###,##0.0"/>
    <numFmt numFmtId="195" formatCode="###\ ###\ ###\ ###"/>
    <numFmt numFmtId="196" formatCode="_(* #,##0_);_(* \(#,##0\);_(* &quot;-&quot;??_);_(@_)"/>
    <numFmt numFmtId="197" formatCode="#,###,###,###"/>
    <numFmt numFmtId="198" formatCode="#,##0_ ;[Red]\-#,##0\ "/>
    <numFmt numFmtId="199" formatCode="_-* #,##0.00_-;_-* #,##0.00\-;_-* &quot;-&quot;??_-;_-@_-"/>
    <numFmt numFmtId="200" formatCode="[$R-1C09]\ #,##0"/>
    <numFmt numFmtId="201" formatCode="#.#\ ##0"/>
    <numFmt numFmtId="202" formatCode="mmm\ yyyy"/>
    <numFmt numFmtId="203" formatCode="###\ ###\ ###"/>
    <numFmt numFmtId="204" formatCode="0.000%"/>
    <numFmt numFmtId="205" formatCode=".\ ###\ ##00;"/>
    <numFmt numFmtId="206" formatCode="\-"/>
    <numFmt numFmtId="207" formatCode="#\ ##0"/>
    <numFmt numFmtId="208" formatCode="#,###,###.0"/>
  </numFmts>
  <fonts count="13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b/>
      <sz val="10"/>
      <color indexed="10"/>
      <name val="Arial"/>
      <family val="2"/>
    </font>
    <font>
      <sz val="11"/>
      <name val="Arial"/>
      <family val="2"/>
    </font>
    <font>
      <b/>
      <sz val="8"/>
      <name val="Arial"/>
      <family val="2"/>
    </font>
    <font>
      <sz val="8"/>
      <name val="Arial"/>
      <family val="2"/>
    </font>
    <font>
      <sz val="10"/>
      <name val="Courier"/>
      <family val="3"/>
    </font>
    <font>
      <b/>
      <sz val="8"/>
      <color indexed="8"/>
      <name val="Arial"/>
      <family val="2"/>
    </font>
    <font>
      <b/>
      <sz val="8"/>
      <color theme="1"/>
      <name val="Arial"/>
      <family val="2"/>
    </font>
    <font>
      <b/>
      <sz val="8"/>
      <color rgb="FFFF0000"/>
      <name val="Arial"/>
      <family val="2"/>
    </font>
    <font>
      <sz val="8"/>
      <color rgb="FFFF0000"/>
      <name val="Arial"/>
      <family val="2"/>
    </font>
    <font>
      <sz val="8"/>
      <color theme="1"/>
      <name val="Arial"/>
      <family val="2"/>
    </font>
    <font>
      <sz val="9"/>
      <name val="Arial"/>
      <family val="2"/>
    </font>
    <font>
      <sz val="8"/>
      <color rgb="FFFF0000"/>
      <name val="Arial Narrow"/>
      <family val="2"/>
    </font>
    <font>
      <b/>
      <sz val="8"/>
      <color indexed="10"/>
      <name val="Arial"/>
      <family val="2"/>
    </font>
    <font>
      <sz val="8"/>
      <name val="Arial Narrow"/>
      <family val="2"/>
    </font>
    <font>
      <vertAlign val="superscript"/>
      <sz val="10"/>
      <name val="Arial"/>
      <family val="2"/>
    </font>
    <font>
      <sz val="10"/>
      <color theme="1"/>
      <name val="Arial"/>
      <family val="2"/>
    </font>
    <font>
      <sz val="10"/>
      <color rgb="FFFF0000"/>
      <name val="Arial"/>
      <family val="2"/>
    </font>
    <font>
      <sz val="10"/>
      <name val="Arial Narrow"/>
      <family val="2"/>
    </font>
    <font>
      <b/>
      <sz val="10"/>
      <name val="Arial"/>
      <family val="2"/>
    </font>
    <font>
      <b/>
      <sz val="11"/>
      <color indexed="10"/>
      <name val="Arial"/>
      <family val="2"/>
    </font>
    <font>
      <sz val="10"/>
      <color indexed="10"/>
      <name val="Arial"/>
      <family val="2"/>
    </font>
    <font>
      <sz val="8"/>
      <color theme="1"/>
      <name val="Arial Narrow"/>
      <family val="2"/>
    </font>
    <font>
      <sz val="11"/>
      <name val="Calibri"/>
      <family val="2"/>
      <scheme val="minor"/>
    </font>
    <font>
      <sz val="8"/>
      <color indexed="8"/>
      <name val="Arial Narrow"/>
      <family val="2"/>
    </font>
    <font>
      <sz val="10"/>
      <color indexed="8"/>
      <name val="Arial"/>
      <family val="2"/>
    </font>
    <font>
      <sz val="8"/>
      <color indexed="10"/>
      <name val="Arial"/>
      <family val="2"/>
    </font>
    <font>
      <b/>
      <sz val="9"/>
      <name val="Arial"/>
      <family val="2"/>
    </font>
    <font>
      <b/>
      <sz val="9"/>
      <color indexed="10"/>
      <name val="Arial"/>
      <family val="2"/>
    </font>
    <font>
      <sz val="9"/>
      <color theme="1"/>
      <name val="Calibri"/>
      <family val="2"/>
      <scheme val="minor"/>
    </font>
    <font>
      <sz val="9"/>
      <name val="Calibri"/>
      <family val="2"/>
      <scheme val="minor"/>
    </font>
    <font>
      <vertAlign val="superscript"/>
      <sz val="8"/>
      <name val="Arial"/>
      <family val="2"/>
    </font>
    <font>
      <b/>
      <sz val="10"/>
      <color theme="0" tint="-0.34998626667073579"/>
      <name val="Arial"/>
      <family val="2"/>
    </font>
    <font>
      <sz val="11"/>
      <color theme="0" tint="-0.34998626667073579"/>
      <name val="Calibri"/>
      <family val="2"/>
      <scheme val="minor"/>
    </font>
    <font>
      <sz val="8"/>
      <color theme="1"/>
      <name val="Calibri"/>
      <family val="2"/>
      <scheme val="minor"/>
    </font>
    <font>
      <vertAlign val="superscript"/>
      <sz val="8"/>
      <color indexed="8"/>
      <name val="Arial"/>
      <family val="2"/>
    </font>
    <font>
      <b/>
      <sz val="8"/>
      <name val="Arial Narrow"/>
      <family val="2"/>
    </font>
    <font>
      <i/>
      <sz val="10"/>
      <color indexed="10"/>
      <name val="Arial"/>
      <family val="2"/>
    </font>
    <font>
      <i/>
      <sz val="10"/>
      <name val="Arial"/>
      <family val="2"/>
    </font>
    <font>
      <sz val="8"/>
      <color rgb="FF000000"/>
      <name val="Arial"/>
      <family val="2"/>
    </font>
    <font>
      <i/>
      <sz val="8"/>
      <color theme="1"/>
      <name val="Arial"/>
      <family val="2"/>
    </font>
    <font>
      <u/>
      <sz val="10"/>
      <name val="Arial"/>
      <family val="2"/>
    </font>
    <font>
      <b/>
      <sz val="8"/>
      <color rgb="FF000000"/>
      <name val="Arial"/>
      <family val="2"/>
    </font>
    <font>
      <b/>
      <sz val="12"/>
      <color rgb="FF3B3B3B"/>
      <name val="Arial"/>
      <family val="2"/>
    </font>
    <font>
      <b/>
      <i/>
      <sz val="8"/>
      <color indexed="10"/>
      <name val="Arial"/>
      <family val="2"/>
    </font>
    <font>
      <i/>
      <sz val="8"/>
      <name val="Arial"/>
      <family val="2"/>
    </font>
    <font>
      <i/>
      <sz val="8"/>
      <color rgb="FF000000"/>
      <name val="Arial"/>
      <family val="2"/>
    </font>
    <font>
      <b/>
      <i/>
      <sz val="9"/>
      <color rgb="FF000000"/>
      <name val="Arial"/>
      <family val="2"/>
    </font>
    <font>
      <sz val="9"/>
      <color rgb="FF000000"/>
      <name val="Arial"/>
      <family val="2"/>
    </font>
    <font>
      <i/>
      <sz val="9"/>
      <color rgb="FF000000"/>
      <name val="Arial"/>
      <family val="2"/>
    </font>
    <font>
      <b/>
      <sz val="8"/>
      <color indexed="17"/>
      <name val="Arial"/>
      <family val="2"/>
    </font>
    <font>
      <b/>
      <sz val="8"/>
      <color rgb="FF00B050"/>
      <name val="Arial"/>
      <family val="2"/>
    </font>
    <font>
      <sz val="8"/>
      <color indexed="8"/>
      <name val="Arial"/>
      <family val="2"/>
    </font>
    <font>
      <b/>
      <sz val="8"/>
      <color indexed="63"/>
      <name val="Verdana"/>
      <family val="2"/>
    </font>
    <font>
      <b/>
      <sz val="8"/>
      <color indexed="18"/>
      <name val="Verdana"/>
      <family val="2"/>
    </font>
    <font>
      <sz val="9"/>
      <color indexed="10"/>
      <name val="Arial"/>
      <family val="2"/>
    </font>
    <font>
      <b/>
      <sz val="10"/>
      <color rgb="FFFF0000"/>
      <name val="Arial"/>
      <family val="2"/>
    </font>
    <font>
      <sz val="8"/>
      <name val="Calibri"/>
      <family val="2"/>
      <scheme val="minor"/>
    </font>
    <font>
      <b/>
      <sz val="8"/>
      <name val="Calibri"/>
      <family val="2"/>
      <scheme val="minor"/>
    </font>
    <font>
      <sz val="10"/>
      <color theme="0" tint="-0.34998626667073579"/>
      <name val="Arial"/>
      <family val="2"/>
    </font>
    <font>
      <sz val="8"/>
      <color theme="0" tint="-0.34998626667073579"/>
      <name val="Arial"/>
      <family val="2"/>
    </font>
    <font>
      <b/>
      <sz val="8"/>
      <color theme="0" tint="-0.34998626667073579"/>
      <name val="Arial"/>
      <family val="2"/>
    </font>
    <font>
      <sz val="11"/>
      <color theme="1"/>
      <name val="Arial"/>
      <family val="2"/>
    </font>
    <font>
      <b/>
      <sz val="8"/>
      <color theme="1"/>
      <name val="Arial Narrow"/>
      <family val="2"/>
    </font>
    <font>
      <b/>
      <sz val="8"/>
      <color theme="1"/>
      <name val="Calibri"/>
      <family val="2"/>
      <scheme val="minor"/>
    </font>
    <font>
      <sz val="12"/>
      <name val="Times New Roman"/>
      <family val="1"/>
    </font>
    <font>
      <u/>
      <sz val="8"/>
      <name val="Arial"/>
      <family val="2"/>
    </font>
    <font>
      <sz val="10"/>
      <name val="Helv"/>
    </font>
    <font>
      <sz val="8"/>
      <color indexed="48"/>
      <name val="Arial"/>
      <family val="2"/>
    </font>
    <font>
      <sz val="9"/>
      <color theme="0"/>
      <name val="Arial"/>
      <family val="2"/>
    </font>
    <font>
      <sz val="11"/>
      <color indexed="10"/>
      <name val="Arial"/>
      <family val="2"/>
    </font>
    <font>
      <b/>
      <sz val="11"/>
      <name val="Arial"/>
      <family val="2"/>
    </font>
    <font>
      <b/>
      <sz val="8"/>
      <color indexed="19"/>
      <name val="Arial"/>
      <family val="2"/>
    </font>
    <font>
      <b/>
      <sz val="8"/>
      <color indexed="62"/>
      <name val="Verdana"/>
      <family val="2"/>
    </font>
    <font>
      <b/>
      <sz val="9"/>
      <color indexed="19"/>
      <name val="Arial"/>
      <family val="2"/>
    </font>
    <font>
      <strike/>
      <sz val="8"/>
      <color theme="1"/>
      <name val="Arial"/>
      <family val="2"/>
    </font>
    <font>
      <strike/>
      <sz val="10"/>
      <name val="Arial"/>
      <family val="2"/>
    </font>
    <font>
      <strike/>
      <sz val="8"/>
      <name val="Arial"/>
      <family val="2"/>
    </font>
    <font>
      <i/>
      <sz val="11"/>
      <color theme="1"/>
      <name val="Calibri"/>
      <family val="2"/>
      <scheme val="minor"/>
    </font>
    <font>
      <i/>
      <sz val="11"/>
      <name val="Calibri"/>
      <family val="2"/>
      <scheme val="minor"/>
    </font>
    <font>
      <b/>
      <i/>
      <sz val="8"/>
      <color indexed="19"/>
      <name val="Arial"/>
      <family val="2"/>
    </font>
    <font>
      <b/>
      <i/>
      <sz val="10"/>
      <color indexed="10"/>
      <name val="Arial"/>
      <family val="2"/>
    </font>
    <font>
      <b/>
      <sz val="18"/>
      <color indexed="12"/>
      <name val="Arial"/>
      <family val="2"/>
    </font>
    <font>
      <sz val="10"/>
      <color indexed="14"/>
      <name val="Arial"/>
      <family val="2"/>
    </font>
    <font>
      <sz val="8"/>
      <color indexed="14"/>
      <name val="Arial"/>
      <family val="2"/>
    </font>
    <font>
      <sz val="10"/>
      <name val="Times New Roman"/>
      <family val="1"/>
    </font>
    <font>
      <b/>
      <sz val="11"/>
      <color rgb="FF000000"/>
      <name val="Calibri"/>
      <family val="2"/>
    </font>
    <font>
      <b/>
      <sz val="8"/>
      <color indexed="57"/>
      <name val="Arial"/>
      <family val="2"/>
    </font>
    <font>
      <b/>
      <i/>
      <sz val="8"/>
      <name val="Arial"/>
      <family val="2"/>
    </font>
    <font>
      <sz val="8"/>
      <name val="Tahoma"/>
      <family val="2"/>
    </font>
    <font>
      <b/>
      <sz val="8"/>
      <name val="Tahoma"/>
      <family val="2"/>
    </font>
    <font>
      <b/>
      <sz val="11"/>
      <color theme="1"/>
      <name val="Arial"/>
      <family val="2"/>
    </font>
    <font>
      <b/>
      <sz val="11"/>
      <color rgb="FFFF0000"/>
      <name val="Arial"/>
      <family val="2"/>
    </font>
    <font>
      <i/>
      <sz val="9"/>
      <name val="Arial"/>
      <family val="2"/>
    </font>
    <font>
      <b/>
      <i/>
      <sz val="9"/>
      <name val="Arial"/>
      <family val="2"/>
    </font>
    <font>
      <b/>
      <i/>
      <sz val="10"/>
      <name val="Arial"/>
      <family val="2"/>
    </font>
    <font>
      <sz val="12"/>
      <name val="Arial"/>
      <family val="2"/>
    </font>
    <font>
      <b/>
      <sz val="12"/>
      <name val="Arial"/>
      <family val="2"/>
    </font>
    <font>
      <b/>
      <sz val="10"/>
      <color indexed="8"/>
      <name val="Arial"/>
      <family val="2"/>
    </font>
    <font>
      <u/>
      <sz val="10"/>
      <color indexed="12"/>
      <name val="Arial"/>
      <family val="2"/>
    </font>
    <font>
      <sz val="11"/>
      <color rgb="FF424548"/>
      <name val="Times New Roman"/>
      <family val="1"/>
    </font>
    <font>
      <b/>
      <sz val="8"/>
      <color indexed="12"/>
      <name val="Arial"/>
      <family val="2"/>
    </font>
    <font>
      <sz val="10"/>
      <color indexed="12"/>
      <name val="Arial"/>
      <family val="2"/>
    </font>
    <font>
      <sz val="8"/>
      <color theme="0"/>
      <name val="Arial"/>
      <family val="2"/>
    </font>
    <font>
      <sz val="9"/>
      <color theme="0" tint="-0.14999847407452621"/>
      <name val="Arial"/>
      <family val="2"/>
    </font>
    <font>
      <sz val="9"/>
      <color theme="0" tint="-0.34998626667073579"/>
      <name val="Arial"/>
      <family val="2"/>
    </font>
    <font>
      <sz val="8"/>
      <color indexed="19"/>
      <name val="Arial"/>
      <family val="2"/>
    </font>
    <font>
      <i/>
      <sz val="8"/>
      <name val="Arial Narrow"/>
      <family val="2"/>
    </font>
    <font>
      <strike/>
      <sz val="11"/>
      <name val="Arial"/>
      <family val="2"/>
    </font>
    <font>
      <b/>
      <sz val="10"/>
      <color theme="1"/>
      <name val="Arial"/>
      <family val="2"/>
    </font>
    <font>
      <b/>
      <u/>
      <sz val="8"/>
      <name val="Arial"/>
      <family val="2"/>
    </font>
    <font>
      <i/>
      <sz val="11"/>
      <name val="Arial"/>
      <family val="2"/>
    </font>
    <font>
      <u/>
      <sz val="11"/>
      <color indexed="12"/>
      <name val="Arial"/>
      <family val="2"/>
    </font>
    <font>
      <sz val="8"/>
      <color theme="1"/>
      <name val="Calibri"/>
      <family val="2"/>
    </font>
    <font>
      <b/>
      <i/>
      <sz val="8"/>
      <color indexed="57"/>
      <name val="Arial"/>
      <family val="2"/>
    </font>
    <font>
      <b/>
      <sz val="10"/>
      <color indexed="57"/>
      <name val="Arial"/>
      <family val="2"/>
    </font>
    <font>
      <sz val="10"/>
      <color indexed="57"/>
      <name val="Arial"/>
      <family val="2"/>
    </font>
    <font>
      <sz val="8"/>
      <color indexed="57"/>
      <name val="Arial"/>
      <family val="2"/>
    </font>
    <font>
      <sz val="11"/>
      <color theme="1"/>
      <name val="Arial Narrow"/>
      <family val="2"/>
    </font>
    <font>
      <sz val="8"/>
      <color theme="0" tint="-0.499984740745262"/>
      <name val="Arial"/>
      <family val="2"/>
    </font>
    <font>
      <sz val="8"/>
      <color indexed="55"/>
      <name val="Arial"/>
      <family val="2"/>
    </font>
    <font>
      <b/>
      <sz val="10"/>
      <color indexed="48"/>
      <name val="Arial"/>
      <family val="2"/>
    </font>
    <font>
      <sz val="10"/>
      <color theme="1"/>
      <name val="Arial Narrow"/>
      <family val="2"/>
    </font>
    <font>
      <sz val="10"/>
      <color theme="0"/>
      <name val="Arial"/>
      <family val="2"/>
    </font>
    <font>
      <b/>
      <sz val="8"/>
      <color theme="0"/>
      <name val="Arial"/>
      <family val="2"/>
    </font>
  </fonts>
  <fills count="5">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rgb="FFFFFF00"/>
        <bgColor indexed="64"/>
      </patternFill>
    </fill>
  </fills>
  <borders count="111">
    <border>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right style="hair">
        <color indexed="64"/>
      </right>
      <top/>
      <bottom/>
      <diagonal/>
    </border>
    <border>
      <left style="hair">
        <color indexed="64"/>
      </left>
      <right/>
      <top/>
      <bottom/>
      <diagonal/>
    </border>
    <border>
      <left/>
      <right/>
      <top/>
      <bottom style="hair">
        <color indexed="64"/>
      </bottom>
      <diagonal/>
    </border>
    <border>
      <left style="hair">
        <color indexed="64"/>
      </left>
      <right/>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style="hair">
        <color indexed="64"/>
      </right>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8"/>
      </top>
      <bottom/>
      <diagonal/>
    </border>
    <border>
      <left/>
      <right/>
      <top/>
      <bottom style="hair">
        <color indexed="8"/>
      </bottom>
      <diagonal/>
    </border>
    <border>
      <left/>
      <right/>
      <top style="thin">
        <color indexed="64"/>
      </top>
      <bottom style="hair">
        <color indexed="64"/>
      </bottom>
      <diagonal/>
    </border>
    <border>
      <left/>
      <right/>
      <top style="thin">
        <color indexed="8"/>
      </top>
      <bottom style="hair">
        <color indexed="8"/>
      </bottom>
      <diagonal/>
    </border>
    <border>
      <left/>
      <right/>
      <top style="hair">
        <color indexed="8"/>
      </top>
      <bottom style="hair">
        <color indexed="8"/>
      </bottom>
      <diagonal/>
    </border>
    <border>
      <left/>
      <right/>
      <top style="hair">
        <color indexed="8"/>
      </top>
      <bottom style="thin">
        <color indexed="8"/>
      </bottom>
      <diagonal/>
    </border>
    <border>
      <left style="thin">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bottom style="thin">
        <color indexed="64"/>
      </bottom>
      <diagonal/>
    </border>
    <border>
      <left/>
      <right style="thin">
        <color indexed="64"/>
      </right>
      <top style="hair">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right style="thin">
        <color indexed="64"/>
      </right>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right style="dotted">
        <color indexed="64"/>
      </right>
      <top/>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bottom style="hair">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rgb="FFFFFFFF"/>
      </left>
      <right style="medium">
        <color rgb="FFFFFFFF"/>
      </right>
      <top/>
      <bottom style="medium">
        <color rgb="FFFFFFFF"/>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8"/>
      </top>
      <bottom/>
      <diagonal/>
    </border>
    <border>
      <left/>
      <right style="thin">
        <color indexed="64"/>
      </right>
      <top/>
      <bottom style="hair">
        <color indexed="8"/>
      </bottom>
      <diagonal/>
    </border>
    <border>
      <left/>
      <right style="thin">
        <color indexed="64"/>
      </right>
      <top style="thin">
        <color indexed="8"/>
      </top>
      <bottom style="hair">
        <color indexed="8"/>
      </bottom>
      <diagonal/>
    </border>
    <border>
      <left/>
      <right style="thin">
        <color indexed="64"/>
      </right>
      <top style="hair">
        <color indexed="8"/>
      </top>
      <bottom style="hair">
        <color indexed="8"/>
      </bottom>
      <diagonal/>
    </border>
    <border>
      <left/>
      <right style="thin">
        <color indexed="64"/>
      </right>
      <top style="hair">
        <color indexed="8"/>
      </top>
      <bottom style="thin">
        <color indexed="8"/>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diagonal/>
    </border>
  </borders>
  <cellStyleXfs count="43">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10" fillId="0" borderId="0"/>
    <xf numFmtId="0" fontId="16" fillId="0" borderId="0"/>
    <xf numFmtId="0" fontId="5" fillId="0" borderId="0"/>
    <xf numFmtId="0" fontId="5" fillId="0" borderId="0"/>
    <xf numFmtId="166" fontId="10" fillId="0" borderId="0"/>
    <xf numFmtId="0" fontId="5" fillId="0" borderId="0"/>
    <xf numFmtId="0" fontId="5" fillId="0" borderId="0"/>
    <xf numFmtId="0" fontId="5" fillId="0" borderId="0"/>
    <xf numFmtId="0" fontId="16" fillId="0" borderId="0"/>
    <xf numFmtId="0" fontId="5" fillId="2" borderId="0">
      <protection locked="0"/>
    </xf>
    <xf numFmtId="0" fontId="5" fillId="2" borderId="0">
      <protection locked="0"/>
    </xf>
    <xf numFmtId="0" fontId="5" fillId="0" borderId="0"/>
    <xf numFmtId="164" fontId="5" fillId="0" borderId="0" applyFont="0" applyFill="0" applyBorder="0" applyAlignment="0" applyProtection="0"/>
    <xf numFmtId="0" fontId="5" fillId="0" borderId="0"/>
    <xf numFmtId="0" fontId="10" fillId="0" borderId="0"/>
    <xf numFmtId="9" fontId="5" fillId="0" borderId="0" applyFont="0" applyFill="0" applyBorder="0" applyAlignment="0" applyProtection="0"/>
    <xf numFmtId="164" fontId="1" fillId="0" borderId="0" applyFont="0" applyFill="0" applyBorder="0" applyAlignment="0" applyProtection="0"/>
    <xf numFmtId="0" fontId="5" fillId="0" borderId="0"/>
    <xf numFmtId="9"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72" fillId="0" borderId="37" applyFill="0" applyAlignment="0"/>
    <xf numFmtId="0" fontId="5" fillId="0" borderId="0"/>
    <xf numFmtId="9" fontId="5" fillId="0" borderId="0" applyFont="0" applyFill="0" applyBorder="0" applyAlignment="0" applyProtection="0"/>
    <xf numFmtId="199" fontId="1" fillId="0" borderId="0" applyFont="0" applyFill="0" applyBorder="0" applyAlignment="0" applyProtection="0"/>
    <xf numFmtId="200" fontId="5" fillId="0" borderId="0"/>
    <xf numFmtId="0" fontId="1" fillId="0" borderId="0"/>
    <xf numFmtId="0" fontId="5" fillId="0" borderId="0"/>
    <xf numFmtId="164" fontId="5" fillId="0" borderId="0" applyFont="0" applyFill="0" applyBorder="0" applyAlignment="0" applyProtection="0"/>
    <xf numFmtId="0" fontId="5" fillId="0" borderId="0" applyFont="0" applyFill="0" applyBorder="0" applyAlignment="0" applyProtection="0"/>
    <xf numFmtId="202" fontId="5" fillId="0" borderId="0" applyFont="0" applyFill="0" applyBorder="0" applyAlignment="0" applyProtection="0"/>
    <xf numFmtId="0" fontId="104" fillId="0" borderId="0" applyNumberFormat="0" applyFill="0" applyBorder="0" applyAlignment="0" applyProtection="0">
      <alignment vertical="top"/>
      <protection locked="0"/>
    </xf>
    <xf numFmtId="0" fontId="5" fillId="0" borderId="0"/>
    <xf numFmtId="9" fontId="5" fillId="0" borderId="0" applyFont="0" applyFill="0" applyBorder="0" applyAlignment="0" applyProtection="0"/>
    <xf numFmtId="164" fontId="5" fillId="0" borderId="0" applyFont="0" applyFill="0" applyBorder="0" applyAlignment="0" applyProtection="0"/>
    <xf numFmtId="0" fontId="1" fillId="0" borderId="0"/>
    <xf numFmtId="0" fontId="5" fillId="0" borderId="0"/>
    <xf numFmtId="3" fontId="5" fillId="0" borderId="0"/>
    <xf numFmtId="0" fontId="5" fillId="0" borderId="0"/>
  </cellStyleXfs>
  <cellXfs count="3979">
    <xf numFmtId="0" fontId="0" fillId="0" borderId="0" xfId="0"/>
    <xf numFmtId="165" fontId="6" fillId="0" borderId="0" xfId="3" applyNumberFormat="1" applyFont="1" applyFill="1" applyAlignment="1" applyProtection="1">
      <alignment horizontal="right" vertical="top"/>
    </xf>
    <xf numFmtId="0" fontId="1" fillId="0" borderId="0" xfId="3" applyFont="1" applyFill="1" applyAlignment="1" applyProtection="1">
      <alignment horizontal="left" vertical="top"/>
    </xf>
    <xf numFmtId="0" fontId="1" fillId="0" borderId="0" xfId="3" applyFont="1" applyFill="1" applyAlignment="1" applyProtection="1">
      <alignment horizontal="right" vertical="top"/>
    </xf>
    <xf numFmtId="0" fontId="1" fillId="0" borderId="0" xfId="3" applyFont="1" applyFill="1" applyProtection="1"/>
    <xf numFmtId="0" fontId="1" fillId="0" borderId="0" xfId="3" applyFont="1" applyFill="1" applyProtection="1">
      <protection locked="0"/>
    </xf>
    <xf numFmtId="0" fontId="6" fillId="0" borderId="0" xfId="3" applyFont="1" applyFill="1" applyAlignment="1" applyProtection="1">
      <alignment horizontal="right" vertical="top"/>
    </xf>
    <xf numFmtId="0" fontId="6" fillId="0" borderId="0" xfId="3" applyFont="1" applyFill="1" applyAlignment="1" applyProtection="1">
      <alignment horizontal="left" vertical="top"/>
    </xf>
    <xf numFmtId="0" fontId="5" fillId="0" borderId="0" xfId="3" applyFont="1" applyFill="1" applyBorder="1" applyAlignment="1" applyProtection="1">
      <alignment horizontal="left" vertical="top" wrapText="1"/>
    </xf>
    <xf numFmtId="0" fontId="5" fillId="0" borderId="0" xfId="3" applyFont="1" applyFill="1" applyBorder="1" applyAlignment="1" applyProtection="1">
      <alignment vertical="top" wrapText="1"/>
    </xf>
    <xf numFmtId="0" fontId="7" fillId="0" borderId="0" xfId="3" applyFont="1" applyFill="1" applyBorder="1" applyAlignment="1" applyProtection="1">
      <alignment horizontal="left" vertical="top"/>
    </xf>
    <xf numFmtId="0" fontId="7" fillId="0" borderId="0" xfId="3" applyFont="1" applyFill="1" applyBorder="1" applyAlignment="1" applyProtection="1">
      <alignment horizontal="left" vertical="top"/>
      <protection locked="0"/>
    </xf>
    <xf numFmtId="0" fontId="6" fillId="0" borderId="0" xfId="3" applyFont="1" applyFill="1" applyBorder="1" applyAlignment="1" applyProtection="1">
      <alignment horizontal="left" vertical="top"/>
    </xf>
    <xf numFmtId="0" fontId="8" fillId="0" borderId="0" xfId="3" applyFont="1" applyFill="1" applyBorder="1" applyAlignment="1" applyProtection="1"/>
    <xf numFmtId="0" fontId="9" fillId="0" borderId="0" xfId="3" applyFont="1" applyFill="1" applyBorder="1" applyProtection="1"/>
    <xf numFmtId="0" fontId="1" fillId="0" borderId="0" xfId="3" applyFont="1" applyFill="1" applyBorder="1" applyProtection="1"/>
    <xf numFmtId="0" fontId="1" fillId="0" borderId="0" xfId="3" applyFont="1" applyFill="1" applyBorder="1" applyProtection="1">
      <protection locked="0"/>
    </xf>
    <xf numFmtId="0" fontId="9" fillId="0" borderId="4" xfId="3" applyFont="1" applyFill="1" applyBorder="1" applyAlignment="1" applyProtection="1">
      <alignment horizontal="left"/>
    </xf>
    <xf numFmtId="166" fontId="11" fillId="0" borderId="4" xfId="4" quotePrefix="1" applyNumberFormat="1" applyFont="1" applyFill="1" applyBorder="1" applyAlignment="1" applyProtection="1">
      <alignment horizontal="right"/>
    </xf>
    <xf numFmtId="166" fontId="12" fillId="0" borderId="4" xfId="4" applyNumberFormat="1" applyFont="1" applyFill="1" applyBorder="1" applyAlignment="1" applyProtection="1">
      <alignment horizontal="right"/>
    </xf>
    <xf numFmtId="166" fontId="13" fillId="0" borderId="4" xfId="4" quotePrefix="1" applyNumberFormat="1" applyFont="1" applyFill="1" applyBorder="1" applyAlignment="1" applyProtection="1">
      <alignment horizontal="right"/>
    </xf>
    <xf numFmtId="166" fontId="11" fillId="0" borderId="0" xfId="4" quotePrefix="1" applyNumberFormat="1" applyFont="1" applyFill="1" applyBorder="1" applyAlignment="1" applyProtection="1">
      <alignment horizontal="right"/>
    </xf>
    <xf numFmtId="0" fontId="9" fillId="0" borderId="0" xfId="3" applyFont="1" applyFill="1" applyBorder="1" applyAlignment="1" applyProtection="1">
      <alignment horizontal="left"/>
    </xf>
    <xf numFmtId="165" fontId="9" fillId="0" borderId="0" xfId="3" applyNumberFormat="1" applyFont="1" applyFill="1" applyBorder="1" applyProtection="1"/>
    <xf numFmtId="165" fontId="9" fillId="0" borderId="0" xfId="5" applyNumberFormat="1" applyFont="1" applyFill="1" applyAlignment="1" applyProtection="1">
      <alignment horizontal="center"/>
      <protection locked="0"/>
    </xf>
    <xf numFmtId="0" fontId="4" fillId="0" borderId="0" xfId="3" applyFont="1" applyFill="1" applyBorder="1" applyProtection="1"/>
    <xf numFmtId="167" fontId="17" fillId="0" borderId="7" xfId="3" applyNumberFormat="1" applyFont="1" applyFill="1" applyBorder="1" applyAlignment="1" applyProtection="1">
      <alignment horizontal="right"/>
    </xf>
    <xf numFmtId="0" fontId="9" fillId="0" borderId="8" xfId="3" applyFont="1" applyFill="1" applyBorder="1" applyProtection="1"/>
    <xf numFmtId="167" fontId="17" fillId="0" borderId="9" xfId="3" applyNumberFormat="1" applyFont="1" applyFill="1" applyBorder="1" applyAlignment="1" applyProtection="1">
      <alignment horizontal="right"/>
    </xf>
    <xf numFmtId="0" fontId="9" fillId="0" borderId="0" xfId="3" applyFont="1" applyFill="1" applyProtection="1"/>
    <xf numFmtId="0" fontId="9" fillId="0" borderId="0" xfId="3" applyFont="1" applyFill="1" applyAlignment="1" applyProtection="1">
      <alignment horizontal="left"/>
    </xf>
    <xf numFmtId="0" fontId="9" fillId="0" borderId="10" xfId="3" applyFont="1" applyFill="1" applyBorder="1" applyProtection="1"/>
    <xf numFmtId="0" fontId="17" fillId="0" borderId="12" xfId="3" applyFont="1" applyFill="1" applyBorder="1" applyProtection="1"/>
    <xf numFmtId="170" fontId="17" fillId="0" borderId="11" xfId="3" applyNumberFormat="1" applyFont="1" applyFill="1" applyBorder="1" applyAlignment="1" applyProtection="1">
      <alignment horizontal="right"/>
    </xf>
    <xf numFmtId="0" fontId="18" fillId="0" borderId="0" xfId="3" applyFont="1" applyFill="1" applyProtection="1"/>
    <xf numFmtId="0" fontId="17" fillId="0" borderId="9" xfId="3" applyFont="1" applyFill="1" applyBorder="1" applyProtection="1"/>
    <xf numFmtId="165" fontId="17" fillId="0" borderId="13" xfId="3" applyNumberFormat="1" applyFont="1" applyFill="1" applyBorder="1" applyAlignment="1" applyProtection="1">
      <alignment horizontal="right"/>
    </xf>
    <xf numFmtId="0" fontId="9" fillId="0" borderId="4" xfId="3" applyFont="1" applyFill="1" applyBorder="1" applyProtection="1"/>
    <xf numFmtId="0" fontId="9" fillId="0" borderId="14" xfId="3" applyFont="1" applyFill="1" applyBorder="1" applyProtection="1"/>
    <xf numFmtId="0" fontId="19" fillId="0" borderId="14" xfId="3" applyFont="1" applyFill="1" applyBorder="1" applyProtection="1"/>
    <xf numFmtId="0" fontId="6" fillId="0" borderId="0" xfId="3" applyFont="1" applyFill="1" applyAlignment="1" applyProtection="1">
      <alignment horizontal="right" vertical="top" wrapText="1"/>
    </xf>
    <xf numFmtId="0" fontId="6" fillId="0" borderId="0" xfId="3" applyFont="1" applyFill="1" applyAlignment="1" applyProtection="1">
      <alignment horizontal="left" vertical="top" wrapText="1"/>
    </xf>
    <xf numFmtId="0" fontId="5" fillId="0" borderId="0" xfId="3" applyNumberFormat="1" applyFont="1" applyFill="1" applyBorder="1" applyAlignment="1" applyProtection="1">
      <alignment horizontal="left" vertical="top" wrapText="1"/>
      <protection locked="0"/>
    </xf>
    <xf numFmtId="0" fontId="5" fillId="0" borderId="0" xfId="3" applyFont="1" applyFill="1" applyBorder="1" applyProtection="1">
      <protection locked="0"/>
    </xf>
    <xf numFmtId="0" fontId="5" fillId="0" borderId="0" xfId="3" applyFont="1" applyFill="1" applyBorder="1" applyAlignment="1" applyProtection="1">
      <alignment horizontal="left" vertical="top" wrapText="1"/>
      <protection locked="0"/>
    </xf>
    <xf numFmtId="0" fontId="6" fillId="0" borderId="0" xfId="3" applyFont="1" applyFill="1" applyAlignment="1" applyProtection="1">
      <alignment horizontal="right" vertical="top"/>
      <protection locked="0"/>
    </xf>
    <xf numFmtId="0" fontId="1" fillId="0" borderId="0" xfId="3" applyFont="1" applyFill="1" applyAlignment="1" applyProtection="1">
      <alignment horizontal="left" vertical="top"/>
      <protection locked="0"/>
    </xf>
    <xf numFmtId="0" fontId="1" fillId="0" borderId="0" xfId="3" applyFont="1" applyFill="1" applyAlignment="1" applyProtection="1">
      <alignment horizontal="right" vertical="top"/>
      <protection locked="0"/>
    </xf>
    <xf numFmtId="165" fontId="6" fillId="0" borderId="0" xfId="6" applyNumberFormat="1" applyFont="1" applyFill="1" applyAlignment="1" applyProtection="1">
      <alignment horizontal="right" vertical="top"/>
      <protection locked="0"/>
    </xf>
    <xf numFmtId="0" fontId="1" fillId="0" borderId="0" xfId="6" applyFont="1" applyFill="1" applyAlignment="1" applyProtection="1">
      <alignment horizontal="left" vertical="top"/>
      <protection locked="0"/>
    </xf>
    <xf numFmtId="0" fontId="1" fillId="0" borderId="0" xfId="6" applyFont="1" applyFill="1" applyAlignment="1" applyProtection="1">
      <alignment horizontal="right" vertical="top"/>
      <protection locked="0"/>
    </xf>
    <xf numFmtId="0" fontId="1" fillId="0" borderId="0" xfId="6" applyFont="1" applyFill="1" applyProtection="1">
      <protection locked="0"/>
    </xf>
    <xf numFmtId="0" fontId="6" fillId="0" borderId="0" xfId="6" applyFont="1" applyFill="1" applyAlignment="1" applyProtection="1">
      <alignment horizontal="right" vertical="top"/>
      <protection locked="0"/>
    </xf>
    <xf numFmtId="0" fontId="6" fillId="0" borderId="0" xfId="6" applyFont="1" applyFill="1" applyAlignment="1" applyProtection="1">
      <alignment horizontal="left" vertical="top"/>
      <protection locked="0"/>
    </xf>
    <xf numFmtId="0" fontId="7" fillId="0" borderId="0" xfId="6" applyFont="1" applyFill="1" applyBorder="1" applyAlignment="1" applyProtection="1">
      <alignment horizontal="left" vertical="top"/>
      <protection locked="0"/>
    </xf>
    <xf numFmtId="0" fontId="5" fillId="0" borderId="0" xfId="6" applyFont="1" applyFill="1" applyBorder="1" applyAlignment="1" applyProtection="1">
      <alignment vertical="top" wrapText="1"/>
      <protection locked="0"/>
    </xf>
    <xf numFmtId="0" fontId="6" fillId="0" borderId="0" xfId="6" applyFont="1" applyFill="1" applyBorder="1" applyAlignment="1" applyProtection="1">
      <alignment horizontal="left" vertical="top"/>
      <protection locked="0"/>
    </xf>
    <xf numFmtId="0" fontId="8" fillId="0" borderId="0" xfId="6" applyFont="1" applyFill="1" applyBorder="1" applyAlignment="1" applyProtection="1">
      <protection locked="0"/>
    </xf>
    <xf numFmtId="0" fontId="9" fillId="0" borderId="0" xfId="6" applyFont="1" applyFill="1" applyBorder="1" applyProtection="1">
      <protection locked="0"/>
    </xf>
    <xf numFmtId="0" fontId="1" fillId="0" borderId="0" xfId="6" applyFont="1" applyFill="1" applyBorder="1" applyProtection="1">
      <protection locked="0"/>
    </xf>
    <xf numFmtId="0" fontId="9" fillId="0" borderId="5" xfId="6" applyFont="1" applyFill="1" applyBorder="1" applyAlignment="1" applyProtection="1">
      <alignment horizontal="left"/>
      <protection locked="0"/>
    </xf>
    <xf numFmtId="166" fontId="11" fillId="0" borderId="5" xfId="8" quotePrefix="1" applyFont="1" applyFill="1" applyBorder="1" applyAlignment="1" applyProtection="1">
      <alignment horizontal="right"/>
      <protection locked="0"/>
    </xf>
    <xf numFmtId="0" fontId="11" fillId="0" borderId="5" xfId="8" quotePrefix="1" applyNumberFormat="1" applyFont="1" applyFill="1" applyBorder="1" applyAlignment="1" applyProtection="1">
      <alignment horizontal="right"/>
      <protection locked="0"/>
    </xf>
    <xf numFmtId="0" fontId="9" fillId="0" borderId="0" xfId="6" applyFont="1" applyFill="1" applyBorder="1" applyAlignment="1" applyProtection="1">
      <alignment horizontal="left"/>
      <protection locked="0"/>
    </xf>
    <xf numFmtId="166" fontId="11" fillId="0" borderId="0" xfId="8" quotePrefix="1" applyFont="1" applyFill="1" applyBorder="1" applyAlignment="1" applyProtection="1">
      <alignment horizontal="right"/>
      <protection locked="0"/>
    </xf>
    <xf numFmtId="0" fontId="9" fillId="0" borderId="4" xfId="6" applyFont="1" applyFill="1" applyBorder="1" applyAlignment="1" applyProtection="1">
      <alignment horizontal="left"/>
      <protection locked="0"/>
    </xf>
    <xf numFmtId="165" fontId="19" fillId="0" borderId="4" xfId="6" applyNumberFormat="1" applyFont="1" applyFill="1" applyBorder="1" applyAlignment="1" applyProtection="1">
      <alignment horizontal="right"/>
      <protection locked="0"/>
    </xf>
    <xf numFmtId="165" fontId="23" fillId="0" borderId="4" xfId="6" applyNumberFormat="1" applyFont="1" applyFill="1" applyBorder="1" applyAlignment="1" applyProtection="1">
      <alignment horizontal="right"/>
      <protection locked="0"/>
    </xf>
    <xf numFmtId="165" fontId="9" fillId="0" borderId="0" xfId="6" applyNumberFormat="1" applyFont="1" applyFill="1" applyBorder="1" applyProtection="1">
      <protection locked="0"/>
    </xf>
    <xf numFmtId="165" fontId="9" fillId="0" borderId="0" xfId="6" applyNumberFormat="1" applyFont="1" applyFill="1" applyBorder="1" applyAlignment="1" applyProtection="1">
      <protection locked="0"/>
    </xf>
    <xf numFmtId="165" fontId="1" fillId="0" borderId="0" xfId="6" applyNumberFormat="1" applyFont="1" applyFill="1" applyBorder="1" applyProtection="1">
      <protection locked="0"/>
    </xf>
    <xf numFmtId="0" fontId="18" fillId="0" borderId="0" xfId="6" applyFont="1" applyFill="1" applyAlignment="1" applyProtection="1">
      <alignment horizontal="right" vertical="top"/>
      <protection locked="0"/>
    </xf>
    <xf numFmtId="0" fontId="9" fillId="0" borderId="0" xfId="6" applyFont="1" applyFill="1" applyAlignment="1" applyProtection="1">
      <alignment horizontal="left" vertical="top"/>
      <protection locked="0"/>
    </xf>
    <xf numFmtId="0" fontId="9" fillId="0" borderId="0" xfId="6" applyFont="1" applyFill="1" applyAlignment="1" applyProtection="1">
      <alignment horizontal="right" vertical="top"/>
      <protection locked="0"/>
    </xf>
    <xf numFmtId="0" fontId="8" fillId="0" borderId="0" xfId="6" applyFont="1" applyFill="1" applyBorder="1" applyAlignment="1" applyProtection="1">
      <alignment horizontal="left"/>
      <protection locked="0"/>
    </xf>
    <xf numFmtId="165" fontId="8" fillId="0" borderId="0" xfId="6" applyNumberFormat="1" applyFont="1" applyFill="1" applyBorder="1" applyProtection="1">
      <protection locked="0"/>
    </xf>
    <xf numFmtId="165" fontId="8" fillId="0" borderId="0" xfId="6" applyNumberFormat="1" applyFont="1" applyFill="1" applyBorder="1" applyAlignment="1" applyProtection="1">
      <protection locked="0"/>
    </xf>
    <xf numFmtId="0" fontId="9" fillId="0" borderId="0" xfId="6" applyFont="1" applyFill="1" applyProtection="1">
      <protection locked="0"/>
    </xf>
    <xf numFmtId="165" fontId="9" fillId="0" borderId="5" xfId="6" applyNumberFormat="1" applyFont="1" applyFill="1" applyBorder="1" applyProtection="1">
      <protection locked="0"/>
    </xf>
    <xf numFmtId="165" fontId="9" fillId="0" borderId="4" xfId="6" applyNumberFormat="1" applyFont="1" applyFill="1" applyBorder="1" applyProtection="1">
      <protection locked="0"/>
    </xf>
    <xf numFmtId="0" fontId="18" fillId="0" borderId="0" xfId="6" applyFont="1" applyFill="1" applyProtection="1">
      <protection locked="0"/>
    </xf>
    <xf numFmtId="0" fontId="6" fillId="0" borderId="0" xfId="6" applyFont="1" applyFill="1" applyAlignment="1" applyProtection="1">
      <alignment horizontal="right" vertical="top" wrapText="1"/>
      <protection locked="0"/>
    </xf>
    <xf numFmtId="0" fontId="6" fillId="0" borderId="0" xfId="6" applyFont="1" applyFill="1" applyAlignment="1" applyProtection="1">
      <alignment horizontal="left" vertical="top" wrapText="1"/>
      <protection locked="0"/>
    </xf>
    <xf numFmtId="0" fontId="5" fillId="0" borderId="0" xfId="6" applyNumberFormat="1" applyFont="1" applyFill="1" applyBorder="1" applyAlignment="1" applyProtection="1">
      <alignment horizontal="left" vertical="top" wrapText="1"/>
      <protection locked="0"/>
    </xf>
    <xf numFmtId="0" fontId="5" fillId="0" borderId="0" xfId="6" applyFont="1" applyFill="1" applyBorder="1" applyProtection="1">
      <protection locked="0"/>
    </xf>
    <xf numFmtId="0" fontId="5" fillId="0" borderId="19" xfId="6" applyFont="1" applyFill="1" applyBorder="1" applyAlignment="1" applyProtection="1">
      <alignment horizontal="right" vertical="top" wrapText="1"/>
      <protection locked="0"/>
    </xf>
    <xf numFmtId="0" fontId="5" fillId="0" borderId="0" xfId="6" applyFont="1" applyFill="1" applyBorder="1" applyAlignment="1" applyProtection="1">
      <alignment horizontal="right" vertical="top" wrapText="1"/>
      <protection locked="0"/>
    </xf>
    <xf numFmtId="17" fontId="5" fillId="0" borderId="20" xfId="6" applyNumberFormat="1" applyFont="1" applyFill="1" applyBorder="1" applyAlignment="1" applyProtection="1">
      <alignment horizontal="right" vertical="top" wrapText="1"/>
      <protection locked="0"/>
    </xf>
    <xf numFmtId="0" fontId="24" fillId="0" borderId="0" xfId="6" applyFont="1" applyFill="1" applyBorder="1" applyAlignment="1" applyProtection="1">
      <alignment horizontal="right" vertical="top" wrapText="1"/>
      <protection locked="0"/>
    </xf>
    <xf numFmtId="0" fontId="9" fillId="0" borderId="0" xfId="6" applyFont="1" applyFill="1" applyBorder="1" applyAlignment="1" applyProtection="1">
      <alignment horizontal="right" vertical="top" wrapText="1"/>
      <protection locked="0"/>
    </xf>
    <xf numFmtId="165" fontId="1" fillId="0" borderId="21" xfId="6" applyNumberFormat="1" applyFont="1" applyFill="1" applyBorder="1" applyProtection="1">
      <protection locked="0"/>
    </xf>
    <xf numFmtId="165" fontId="1" fillId="0" borderId="4" xfId="6" applyNumberFormat="1" applyFont="1" applyFill="1" applyBorder="1" applyProtection="1">
      <protection locked="0"/>
    </xf>
    <xf numFmtId="165" fontId="1" fillId="0" borderId="22" xfId="6" applyNumberFormat="1" applyFont="1" applyFill="1" applyBorder="1" applyProtection="1">
      <protection locked="0"/>
    </xf>
    <xf numFmtId="165" fontId="2" fillId="0" borderId="21" xfId="6" applyNumberFormat="1" applyFont="1" applyFill="1" applyBorder="1" applyProtection="1">
      <protection locked="0"/>
    </xf>
    <xf numFmtId="165" fontId="2" fillId="0" borderId="4" xfId="6" applyNumberFormat="1" applyFont="1" applyFill="1" applyBorder="1" applyProtection="1">
      <protection locked="0"/>
    </xf>
    <xf numFmtId="165" fontId="2" fillId="0" borderId="22" xfId="6" applyNumberFormat="1" applyFont="1" applyFill="1" applyBorder="1" applyProtection="1">
      <protection locked="0"/>
    </xf>
    <xf numFmtId="165" fontId="1" fillId="0" borderId="0" xfId="6" applyNumberFormat="1" applyFont="1" applyFill="1" applyProtection="1">
      <protection locked="0"/>
    </xf>
    <xf numFmtId="165" fontId="25" fillId="0" borderId="0" xfId="6" applyNumberFormat="1" applyFont="1" applyFill="1" applyProtection="1">
      <protection locked="0"/>
    </xf>
    <xf numFmtId="165" fontId="25" fillId="0" borderId="0" xfId="6" applyNumberFormat="1" applyFont="1" applyFill="1" applyAlignment="1" applyProtection="1">
      <alignment vertical="top" wrapText="1"/>
      <protection locked="0"/>
    </xf>
    <xf numFmtId="165" fontId="25" fillId="0" borderId="0" xfId="6" applyNumberFormat="1" applyFont="1" applyFill="1" applyAlignment="1" applyProtection="1">
      <protection locked="0"/>
    </xf>
    <xf numFmtId="0" fontId="25" fillId="0" borderId="0" xfId="6" applyFont="1" applyFill="1" applyProtection="1">
      <protection locked="0"/>
    </xf>
    <xf numFmtId="0" fontId="25" fillId="0" borderId="0" xfId="6" applyFont="1" applyFill="1" applyAlignment="1" applyProtection="1">
      <alignment vertical="top" wrapText="1"/>
      <protection locked="0"/>
    </xf>
    <xf numFmtId="0" fontId="25" fillId="0" borderId="0" xfId="6" applyFont="1" applyFill="1" applyAlignment="1" applyProtection="1">
      <protection locked="0"/>
    </xf>
    <xf numFmtId="0" fontId="25" fillId="0" borderId="0" xfId="6" applyFont="1" applyFill="1" applyAlignment="1" applyProtection="1">
      <alignment horizontal="left" vertical="top" wrapText="1"/>
      <protection locked="0"/>
    </xf>
    <xf numFmtId="0" fontId="25" fillId="0" borderId="0" xfId="6" applyFont="1" applyFill="1" applyAlignment="1" applyProtection="1">
      <alignment horizontal="right" vertical="top" wrapText="1"/>
      <protection locked="0"/>
    </xf>
    <xf numFmtId="0" fontId="1" fillId="0" borderId="2" xfId="6" applyFont="1" applyFill="1" applyBorder="1" applyProtection="1">
      <protection locked="0"/>
    </xf>
    <xf numFmtId="0" fontId="1" fillId="0" borderId="3" xfId="6" applyFont="1" applyFill="1" applyBorder="1" applyProtection="1">
      <protection locked="0"/>
    </xf>
    <xf numFmtId="0" fontId="25" fillId="0" borderId="0" xfId="6" applyFont="1" applyFill="1" applyAlignment="1" applyProtection="1">
      <alignment horizontal="left" vertical="top"/>
      <protection locked="0"/>
    </xf>
    <xf numFmtId="0" fontId="25" fillId="0" borderId="0" xfId="6" applyFont="1" applyFill="1" applyAlignment="1" applyProtection="1">
      <alignment horizontal="right" vertical="top"/>
      <protection locked="0"/>
    </xf>
    <xf numFmtId="165" fontId="6" fillId="0" borderId="0" xfId="6" applyNumberFormat="1" applyFont="1" applyFill="1" applyAlignment="1" applyProtection="1">
      <alignment horizontal="right" vertical="top"/>
    </xf>
    <xf numFmtId="0" fontId="1" fillId="0" borderId="0" xfId="6" applyFont="1" applyFill="1" applyAlignment="1" applyProtection="1">
      <alignment horizontal="left" vertical="top"/>
    </xf>
    <xf numFmtId="0" fontId="1" fillId="0" borderId="0" xfId="6" applyFont="1" applyFill="1" applyAlignment="1" applyProtection="1">
      <alignment horizontal="right" vertical="top"/>
    </xf>
    <xf numFmtId="0" fontId="1" fillId="0" borderId="0" xfId="6" applyFont="1" applyFill="1" applyProtection="1"/>
    <xf numFmtId="0" fontId="6" fillId="0" borderId="0" xfId="6" applyFont="1" applyFill="1" applyAlignment="1" applyProtection="1">
      <alignment horizontal="right" vertical="top"/>
    </xf>
    <xf numFmtId="0" fontId="6" fillId="0" borderId="0" xfId="6" applyFont="1" applyFill="1" applyAlignment="1" applyProtection="1">
      <alignment horizontal="left" vertical="top"/>
    </xf>
    <xf numFmtId="0" fontId="6" fillId="0" borderId="0" xfId="6" applyFont="1" applyFill="1" applyBorder="1" applyAlignment="1" applyProtection="1">
      <alignment horizontal="right" vertical="top"/>
    </xf>
    <xf numFmtId="0" fontId="18" fillId="0" borderId="0" xfId="6" applyFont="1" applyFill="1" applyProtection="1"/>
    <xf numFmtId="0" fontId="9" fillId="0" borderId="0" xfId="6" applyFont="1" applyFill="1" applyProtection="1"/>
    <xf numFmtId="0" fontId="6" fillId="0" borderId="0" xfId="6" applyFont="1" applyFill="1" applyBorder="1" applyAlignment="1" applyProtection="1">
      <alignment horizontal="left" vertical="top"/>
    </xf>
    <xf numFmtId="0" fontId="8" fillId="0" borderId="0" xfId="6" applyFont="1" applyFill="1" applyBorder="1" applyAlignment="1" applyProtection="1"/>
    <xf numFmtId="0" fontId="8" fillId="0" borderId="4" xfId="6" applyFont="1" applyFill="1" applyBorder="1" applyAlignment="1" applyProtection="1"/>
    <xf numFmtId="0" fontId="1" fillId="0" borderId="4" xfId="6" applyFont="1" applyFill="1" applyBorder="1" applyProtection="1"/>
    <xf numFmtId="0" fontId="1" fillId="0" borderId="0" xfId="6" applyFont="1" applyFill="1" applyBorder="1" applyProtection="1"/>
    <xf numFmtId="0" fontId="9" fillId="0" borderId="5" xfId="6" applyFont="1" applyFill="1" applyBorder="1" applyAlignment="1" applyProtection="1">
      <alignment horizontal="left" wrapText="1"/>
    </xf>
    <xf numFmtId="166" fontId="11" fillId="0" borderId="5" xfId="8" quotePrefix="1" applyFont="1" applyFill="1" applyBorder="1" applyAlignment="1" applyProtection="1">
      <alignment horizontal="right"/>
    </xf>
    <xf numFmtId="0" fontId="11" fillId="0" borderId="5" xfId="8" quotePrefix="1" applyNumberFormat="1" applyFont="1" applyFill="1" applyBorder="1" applyAlignment="1" applyProtection="1">
      <alignment horizontal="right"/>
    </xf>
    <xf numFmtId="0" fontId="18" fillId="0" borderId="0" xfId="6" applyFont="1" applyFill="1" applyAlignment="1" applyProtection="1">
      <alignment horizontal="right" vertical="top"/>
    </xf>
    <xf numFmtId="0" fontId="9" fillId="0" borderId="0" xfId="6" applyFont="1" applyFill="1" applyAlignment="1" applyProtection="1">
      <alignment horizontal="left" vertical="top"/>
    </xf>
    <xf numFmtId="0" fontId="9" fillId="0" borderId="0" xfId="6" applyFont="1" applyFill="1" applyAlignment="1" applyProtection="1">
      <alignment horizontal="right" vertical="top"/>
    </xf>
    <xf numFmtId="0" fontId="9" fillId="0" borderId="4" xfId="6" applyFont="1" applyFill="1" applyBorder="1" applyAlignment="1" applyProtection="1">
      <alignment wrapText="1"/>
    </xf>
    <xf numFmtId="0" fontId="9" fillId="0" borderId="4" xfId="6" applyFont="1" applyFill="1" applyBorder="1" applyProtection="1"/>
    <xf numFmtId="165" fontId="27" fillId="0" borderId="4" xfId="6" applyNumberFormat="1" applyFont="1" applyFill="1" applyBorder="1" applyProtection="1">
      <protection locked="0"/>
    </xf>
    <xf numFmtId="0" fontId="9" fillId="0" borderId="0" xfId="6" applyFont="1" applyFill="1" applyBorder="1" applyAlignment="1" applyProtection="1">
      <alignment wrapText="1"/>
    </xf>
    <xf numFmtId="0" fontId="9" fillId="0" borderId="0" xfId="6" applyFont="1" applyFill="1" applyBorder="1" applyProtection="1"/>
    <xf numFmtId="165" fontId="9" fillId="0" borderId="0" xfId="6" applyNumberFormat="1" applyFont="1" applyFill="1" applyProtection="1">
      <protection locked="0"/>
    </xf>
    <xf numFmtId="0" fontId="8" fillId="0" borderId="0" xfId="6" applyFont="1" applyFill="1" applyProtection="1"/>
    <xf numFmtId="0" fontId="6" fillId="0" borderId="0" xfId="6" applyFont="1" applyFill="1" applyAlignment="1" applyProtection="1">
      <alignment horizontal="right" vertical="top" wrapText="1"/>
    </xf>
    <xf numFmtId="0" fontId="6" fillId="0" borderId="0" xfId="6" applyFont="1" applyFill="1" applyAlignment="1" applyProtection="1">
      <alignment horizontal="left" vertical="top" wrapText="1"/>
    </xf>
    <xf numFmtId="0" fontId="5" fillId="0" borderId="0" xfId="6" applyFont="1" applyFill="1" applyBorder="1" applyAlignment="1" applyProtection="1">
      <alignment horizontal="left" vertical="top" wrapText="1"/>
    </xf>
    <xf numFmtId="173" fontId="1" fillId="0" borderId="0" xfId="2" applyNumberFormat="1" applyFont="1" applyFill="1" applyProtection="1">
      <protection locked="0"/>
    </xf>
    <xf numFmtId="174" fontId="6" fillId="0" borderId="0" xfId="6" applyNumberFormat="1" applyFont="1" applyFill="1" applyAlignment="1" applyProtection="1">
      <alignment horizontal="right" vertical="top"/>
    </xf>
    <xf numFmtId="174" fontId="1" fillId="0" borderId="0" xfId="6" applyNumberFormat="1" applyFont="1" applyFill="1" applyAlignment="1" applyProtection="1">
      <alignment horizontal="left" vertical="top"/>
    </xf>
    <xf numFmtId="174" fontId="1" fillId="0" borderId="0" xfId="6" applyNumberFormat="1" applyFont="1" applyFill="1" applyAlignment="1" applyProtection="1">
      <alignment horizontal="right" vertical="top"/>
    </xf>
    <xf numFmtId="174" fontId="8" fillId="0" borderId="0" xfId="8" quotePrefix="1" applyNumberFormat="1" applyFont="1" applyFill="1" applyAlignment="1" applyProtection="1">
      <alignment horizontal="right"/>
    </xf>
    <xf numFmtId="174" fontId="8" fillId="0" borderId="5" xfId="8" quotePrefix="1" applyNumberFormat="1" applyFont="1" applyFill="1" applyBorder="1" applyAlignment="1" applyProtection="1">
      <alignment horizontal="right"/>
    </xf>
    <xf numFmtId="174" fontId="1" fillId="0" borderId="0" xfId="6" applyNumberFormat="1" applyFont="1" applyFill="1" applyAlignment="1" applyProtection="1">
      <alignment horizontal="right"/>
      <protection locked="0"/>
    </xf>
    <xf numFmtId="0" fontId="9" fillId="0" borderId="4" xfId="6" applyFont="1" applyFill="1" applyBorder="1" applyAlignment="1" applyProtection="1">
      <alignment horizontal="right" wrapText="1"/>
    </xf>
    <xf numFmtId="175" fontId="9" fillId="0" borderId="4" xfId="5" applyNumberFormat="1" applyFont="1" applyFill="1" applyBorder="1" applyAlignment="1" applyProtection="1"/>
    <xf numFmtId="4" fontId="19" fillId="0" borderId="4" xfId="5" applyNumberFormat="1" applyFont="1" applyFill="1" applyBorder="1" applyAlignment="1" applyProtection="1"/>
    <xf numFmtId="4" fontId="19" fillId="0" borderId="4" xfId="6" applyNumberFormat="1" applyFont="1" applyFill="1" applyBorder="1" applyAlignment="1" applyProtection="1"/>
    <xf numFmtId="3" fontId="9" fillId="0" borderId="0" xfId="5" applyNumberFormat="1" applyFont="1" applyFill="1" applyBorder="1" applyAlignment="1" applyProtection="1"/>
    <xf numFmtId="3" fontId="9" fillId="0" borderId="0" xfId="6" applyNumberFormat="1" applyFont="1" applyFill="1" applyBorder="1" applyAlignment="1" applyProtection="1"/>
    <xf numFmtId="0" fontId="28" fillId="0" borderId="0" xfId="0" applyFont="1" applyFill="1"/>
    <xf numFmtId="176" fontId="28" fillId="0" borderId="0" xfId="1" applyNumberFormat="1" applyFont="1" applyFill="1"/>
    <xf numFmtId="177" fontId="1" fillId="0" borderId="0" xfId="6" applyNumberFormat="1" applyFont="1" applyFill="1" applyProtection="1">
      <protection locked="0"/>
    </xf>
    <xf numFmtId="0" fontId="2" fillId="0" borderId="0" xfId="0" applyFont="1" applyFill="1"/>
    <xf numFmtId="175" fontId="9" fillId="0" borderId="0" xfId="5" applyNumberFormat="1" applyFont="1" applyFill="1" applyBorder="1" applyAlignment="1" applyProtection="1"/>
    <xf numFmtId="175" fontId="9" fillId="0" borderId="0" xfId="6" applyNumberFormat="1" applyFont="1" applyFill="1" applyBorder="1" applyAlignment="1" applyProtection="1"/>
    <xf numFmtId="175" fontId="1" fillId="0" borderId="0" xfId="6" applyNumberFormat="1" applyFont="1" applyFill="1" applyBorder="1" applyProtection="1">
      <protection locked="0"/>
    </xf>
    <xf numFmtId="0" fontId="1" fillId="0" borderId="0" xfId="6" applyFont="1" applyFill="1" applyBorder="1" applyAlignment="1" applyProtection="1">
      <alignment readingOrder="1"/>
      <protection locked="0"/>
    </xf>
    <xf numFmtId="0" fontId="5" fillId="0" borderId="0" xfId="6" applyFont="1" applyFill="1" applyBorder="1" applyAlignment="1" applyProtection="1">
      <alignment horizontal="left" vertical="top"/>
      <protection locked="0"/>
    </xf>
    <xf numFmtId="0" fontId="5" fillId="0" borderId="6" xfId="6" applyFont="1" applyFill="1" applyBorder="1" applyAlignment="1" applyProtection="1">
      <alignment horizontal="left" vertical="top"/>
      <protection locked="0"/>
    </xf>
    <xf numFmtId="0" fontId="1" fillId="0" borderId="0" xfId="6" applyFont="1" applyFill="1" applyBorder="1" applyAlignment="1" applyProtection="1">
      <protection locked="0"/>
    </xf>
    <xf numFmtId="0" fontId="5" fillId="0" borderId="0" xfId="6" applyFont="1" applyFill="1" applyBorder="1" applyAlignment="1" applyProtection="1">
      <alignment horizontal="left" vertical="top" wrapText="1" readingOrder="1"/>
    </xf>
    <xf numFmtId="0" fontId="5" fillId="0" borderId="0" xfId="6" applyFont="1" applyFill="1" applyBorder="1" applyAlignment="1" applyProtection="1">
      <alignment wrapText="1"/>
    </xf>
    <xf numFmtId="0" fontId="1" fillId="0" borderId="0" xfId="6" applyFont="1" applyFill="1" applyBorder="1" applyAlignment="1" applyProtection="1">
      <alignment vertical="top"/>
    </xf>
    <xf numFmtId="0" fontId="1" fillId="0" borderId="0" xfId="6" applyFont="1" applyFill="1" applyBorder="1" applyAlignment="1" applyProtection="1"/>
    <xf numFmtId="0" fontId="8" fillId="0" borderId="4" xfId="6" applyFont="1" applyFill="1" applyBorder="1" applyProtection="1"/>
    <xf numFmtId="0" fontId="8" fillId="0" borderId="4" xfId="6" applyFont="1" applyFill="1" applyBorder="1" applyAlignment="1" applyProtection="1">
      <alignment wrapText="1" readingOrder="1"/>
    </xf>
    <xf numFmtId="0" fontId="8" fillId="0" borderId="0" xfId="6" applyFont="1" applyFill="1" applyBorder="1" applyAlignment="1" applyProtection="1">
      <alignment wrapText="1" readingOrder="1"/>
    </xf>
    <xf numFmtId="0" fontId="9" fillId="0" borderId="5" xfId="6" applyFont="1" applyFill="1" applyBorder="1" applyProtection="1"/>
    <xf numFmtId="0" fontId="8" fillId="0" borderId="5" xfId="6" applyFont="1" applyFill="1" applyBorder="1" applyAlignment="1" applyProtection="1">
      <alignment horizontal="right"/>
    </xf>
    <xf numFmtId="0" fontId="8" fillId="0" borderId="4" xfId="6" applyFont="1" applyFill="1" applyBorder="1" applyAlignment="1" applyProtection="1">
      <alignment wrapText="1"/>
    </xf>
    <xf numFmtId="0" fontId="8" fillId="0" borderId="0" xfId="6" applyFont="1" applyFill="1" applyBorder="1" applyAlignment="1" applyProtection="1">
      <alignment wrapText="1"/>
    </xf>
    <xf numFmtId="165" fontId="9" fillId="0" borderId="0" xfId="6" applyNumberFormat="1" applyFont="1" applyFill="1" applyBorder="1" applyAlignment="1" applyProtection="1">
      <alignment horizontal="right" wrapText="1"/>
    </xf>
    <xf numFmtId="2" fontId="28" fillId="0" borderId="0" xfId="0" applyNumberFormat="1" applyFont="1" applyFill="1"/>
    <xf numFmtId="0" fontId="9" fillId="0" borderId="0" xfId="6" applyFont="1" applyFill="1" applyBorder="1" applyAlignment="1" applyProtection="1">
      <alignment horizontal="right" wrapText="1"/>
    </xf>
    <xf numFmtId="165" fontId="9" fillId="0" borderId="0" xfId="6" applyNumberFormat="1" applyFont="1" applyFill="1" applyBorder="1" applyProtection="1"/>
    <xf numFmtId="165" fontId="28" fillId="0" borderId="0" xfId="0" applyNumberFormat="1" applyFont="1" applyFill="1" applyAlignment="1">
      <alignment horizontal="center"/>
    </xf>
    <xf numFmtId="0" fontId="5" fillId="0" borderId="0" xfId="6" applyFont="1" applyFill="1" applyProtection="1">
      <protection locked="0"/>
    </xf>
    <xf numFmtId="0" fontId="9" fillId="0" borderId="0" xfId="6" applyFont="1" applyFill="1" applyBorder="1" applyAlignment="1" applyProtection="1">
      <alignment horizontal="left" vertical="top"/>
    </xf>
    <xf numFmtId="0" fontId="9" fillId="0" borderId="0" xfId="6" applyFont="1" applyFill="1" applyBorder="1" applyAlignment="1" applyProtection="1">
      <alignment horizontal="right" vertical="top"/>
    </xf>
    <xf numFmtId="0" fontId="8" fillId="0" borderId="4" xfId="6" applyFont="1" applyFill="1" applyBorder="1" applyAlignment="1" applyProtection="1">
      <alignment horizontal="left" vertical="top"/>
    </xf>
    <xf numFmtId="0" fontId="8" fillId="0" borderId="4" xfId="6" applyFont="1" applyFill="1" applyBorder="1" applyAlignment="1" applyProtection="1">
      <alignment horizontal="right" vertical="top"/>
    </xf>
    <xf numFmtId="0" fontId="8" fillId="0" borderId="4" xfId="6" applyFont="1" applyFill="1" applyBorder="1" applyAlignment="1" applyProtection="1">
      <protection locked="0"/>
    </xf>
    <xf numFmtId="0" fontId="1" fillId="0" borderId="4" xfId="6" applyFont="1" applyFill="1" applyBorder="1" applyProtection="1">
      <protection locked="0"/>
    </xf>
    <xf numFmtId="0" fontId="9" fillId="0" borderId="4" xfId="6" applyFont="1" applyFill="1" applyBorder="1" applyProtection="1">
      <protection locked="0"/>
    </xf>
    <xf numFmtId="0" fontId="8" fillId="0" borderId="0" xfId="6" applyFont="1" applyFill="1" applyBorder="1" applyAlignment="1" applyProtection="1">
      <alignment horizontal="left" vertical="top"/>
    </xf>
    <xf numFmtId="0" fontId="8" fillId="0" borderId="0" xfId="6" applyFont="1" applyFill="1" applyBorder="1" applyAlignment="1" applyProtection="1">
      <alignment horizontal="right" vertical="top"/>
    </xf>
    <xf numFmtId="0" fontId="26" fillId="0" borderId="0" xfId="6" applyFont="1" applyFill="1" applyAlignment="1" applyProtection="1">
      <alignment horizontal="right" vertical="top"/>
    </xf>
    <xf numFmtId="0" fontId="5" fillId="0" borderId="24" xfId="6" applyFont="1" applyFill="1" applyBorder="1" applyAlignment="1" applyProtection="1">
      <alignment horizontal="right" vertical="top" wrapText="1"/>
    </xf>
    <xf numFmtId="17" fontId="5" fillId="0" borderId="24" xfId="6" applyNumberFormat="1" applyFont="1" applyFill="1" applyBorder="1" applyAlignment="1" applyProtection="1">
      <alignment horizontal="right" vertical="top" wrapText="1"/>
    </xf>
    <xf numFmtId="0" fontId="0" fillId="0" borderId="0" xfId="6" applyFont="1" applyFill="1" applyAlignment="1" applyProtection="1">
      <alignment horizontal="left" vertical="top"/>
    </xf>
    <xf numFmtId="0" fontId="28" fillId="0" borderId="0" xfId="0" applyFont="1" applyFill="1" applyAlignment="1">
      <alignment horizontal="center"/>
    </xf>
    <xf numFmtId="2" fontId="28" fillId="0" borderId="0" xfId="0" applyNumberFormat="1" applyFont="1" applyFill="1" applyAlignment="1">
      <alignment horizontal="center"/>
    </xf>
    <xf numFmtId="0" fontId="5" fillId="0" borderId="0" xfId="6" applyFont="1" applyFill="1" applyBorder="1" applyAlignment="1" applyProtection="1">
      <alignment vertical="top" wrapText="1"/>
    </xf>
    <xf numFmtId="0" fontId="24" fillId="0" borderId="0" xfId="6" applyFont="1" applyFill="1" applyAlignment="1" applyProtection="1">
      <alignment horizontal="left" vertical="top"/>
    </xf>
    <xf numFmtId="0" fontId="24" fillId="0" borderId="0" xfId="6" applyFont="1" applyFill="1" applyAlignment="1" applyProtection="1">
      <alignment horizontal="right" vertical="top"/>
    </xf>
    <xf numFmtId="166" fontId="8" fillId="0" borderId="5" xfId="8" applyFont="1" applyFill="1" applyBorder="1" applyAlignment="1" applyProtection="1">
      <alignment horizontal="right"/>
    </xf>
    <xf numFmtId="166" fontId="8" fillId="0" borderId="5" xfId="8" quotePrefix="1" applyFont="1" applyFill="1" applyBorder="1" applyAlignment="1" applyProtection="1">
      <alignment horizontal="right"/>
    </xf>
    <xf numFmtId="49" fontId="8" fillId="0" borderId="5" xfId="8" applyNumberFormat="1" applyFont="1" applyFill="1" applyBorder="1" applyAlignment="1" applyProtection="1">
      <alignment horizontal="right"/>
    </xf>
    <xf numFmtId="0" fontId="24" fillId="0" borderId="0" xfId="6" applyFont="1" applyFill="1" applyProtection="1">
      <protection locked="0"/>
    </xf>
    <xf numFmtId="171" fontId="9" fillId="0" borderId="0" xfId="8" applyNumberFormat="1" applyFont="1" applyFill="1" applyBorder="1" applyProtection="1"/>
    <xf numFmtId="0" fontId="28" fillId="0" borderId="0" xfId="9" applyFont="1" applyFill="1"/>
    <xf numFmtId="166" fontId="8" fillId="0" borderId="0" xfId="8" applyFont="1" applyFill="1" applyAlignment="1" applyProtection="1">
      <alignment horizontal="right"/>
    </xf>
    <xf numFmtId="166" fontId="8" fillId="0" borderId="0" xfId="8" applyFont="1" applyFill="1" applyBorder="1" applyAlignment="1" applyProtection="1">
      <alignment horizontal="right"/>
    </xf>
    <xf numFmtId="166" fontId="8" fillId="0" borderId="0" xfId="8" quotePrefix="1" applyFont="1" applyFill="1" applyBorder="1" applyAlignment="1" applyProtection="1">
      <alignment horizontal="right"/>
    </xf>
    <xf numFmtId="49" fontId="8" fillId="0" borderId="0" xfId="8" applyNumberFormat="1" applyFont="1" applyFill="1" applyBorder="1" applyAlignment="1" applyProtection="1">
      <alignment horizontal="right"/>
    </xf>
    <xf numFmtId="166" fontId="11" fillId="0" borderId="0" xfId="8" applyFont="1" applyFill="1" applyAlignment="1" applyProtection="1">
      <alignment horizontal="right"/>
      <protection locked="0"/>
    </xf>
    <xf numFmtId="166" fontId="11" fillId="0" borderId="0" xfId="8" applyFont="1" applyFill="1" applyBorder="1" applyAlignment="1" applyProtection="1">
      <alignment horizontal="right"/>
      <protection locked="0"/>
    </xf>
    <xf numFmtId="0" fontId="9" fillId="0" borderId="0" xfId="6" applyFont="1" applyFill="1" applyBorder="1" applyAlignment="1" applyProtection="1">
      <alignment wrapText="1"/>
      <protection locked="0"/>
    </xf>
    <xf numFmtId="171" fontId="29" fillId="0" borderId="0" xfId="8" applyNumberFormat="1" applyFont="1" applyFill="1" applyBorder="1" applyProtection="1">
      <protection locked="0"/>
    </xf>
    <xf numFmtId="0" fontId="1" fillId="0" borderId="0" xfId="6" quotePrefix="1" applyFont="1" applyFill="1" applyProtection="1">
      <protection locked="0"/>
    </xf>
    <xf numFmtId="0" fontId="30" fillId="0" borderId="0" xfId="6" applyFont="1" applyFill="1" applyBorder="1" applyAlignment="1" applyProtection="1">
      <alignment vertical="top" wrapText="1"/>
      <protection locked="0"/>
    </xf>
    <xf numFmtId="0" fontId="1" fillId="0" borderId="0" xfId="6" applyFont="1" applyFill="1" applyBorder="1" applyAlignment="1" applyProtection="1">
      <alignment wrapText="1"/>
      <protection locked="0"/>
    </xf>
    <xf numFmtId="0" fontId="18" fillId="0" borderId="4" xfId="6" applyFont="1" applyFill="1" applyBorder="1" applyAlignment="1" applyProtection="1"/>
    <xf numFmtId="0" fontId="26" fillId="0" borderId="4" xfId="6" applyFont="1" applyFill="1" applyBorder="1" applyProtection="1"/>
    <xf numFmtId="165" fontId="26" fillId="0" borderId="4" xfId="6" applyNumberFormat="1" applyFont="1" applyFill="1" applyBorder="1" applyProtection="1"/>
    <xf numFmtId="165" fontId="28" fillId="0" borderId="0" xfId="0" applyNumberFormat="1" applyFont="1" applyFill="1"/>
    <xf numFmtId="0" fontId="9" fillId="0" borderId="0" xfId="6" applyFont="1" applyFill="1" applyAlignment="1" applyProtection="1">
      <alignment horizontal="center"/>
    </xf>
    <xf numFmtId="166" fontId="8" fillId="0" borderId="0" xfId="8" quotePrefix="1" applyFont="1" applyFill="1" applyAlignment="1" applyProtection="1">
      <alignment horizontal="right"/>
    </xf>
    <xf numFmtId="0" fontId="1" fillId="0" borderId="0" xfId="6" applyNumberFormat="1" applyFont="1" applyFill="1" applyBorder="1" applyAlignment="1" applyProtection="1">
      <alignment horizontal="left" vertical="top"/>
    </xf>
    <xf numFmtId="0" fontId="1" fillId="0" borderId="0" xfId="6" applyFont="1" applyFill="1" applyBorder="1" applyAlignment="1" applyProtection="1">
      <alignment horizontal="right" vertical="top"/>
    </xf>
    <xf numFmtId="0" fontId="1" fillId="0" borderId="0" xfId="6" applyFont="1" applyFill="1" applyBorder="1" applyAlignment="1" applyProtection="1">
      <alignment horizontal="left" vertical="top"/>
    </xf>
    <xf numFmtId="0" fontId="7" fillId="0" borderId="0" xfId="6" applyFont="1" applyFill="1" applyBorder="1" applyAlignment="1" applyProtection="1">
      <alignment horizontal="center" vertical="top"/>
      <protection locked="0"/>
    </xf>
    <xf numFmtId="0" fontId="5" fillId="0" borderId="0" xfId="6" applyFont="1" applyFill="1" applyBorder="1" applyAlignment="1" applyProtection="1">
      <alignment horizontal="left" vertical="top"/>
    </xf>
    <xf numFmtId="0" fontId="7" fillId="0" borderId="0" xfId="6" applyFont="1" applyFill="1" applyBorder="1" applyAlignment="1" applyProtection="1">
      <alignment horizontal="left" vertical="top"/>
    </xf>
    <xf numFmtId="165" fontId="9" fillId="0" borderId="4" xfId="6" applyNumberFormat="1" applyFont="1" applyFill="1" applyBorder="1" applyProtection="1"/>
    <xf numFmtId="165" fontId="31" fillId="0" borderId="0" xfId="6" applyNumberFormat="1" applyFont="1" applyFill="1" applyAlignment="1" applyProtection="1">
      <alignment horizontal="center"/>
    </xf>
    <xf numFmtId="0" fontId="0" fillId="0" borderId="0" xfId="6" applyFont="1" applyFill="1" applyProtection="1">
      <protection locked="0"/>
    </xf>
    <xf numFmtId="0" fontId="31" fillId="0" borderId="0" xfId="6" applyFont="1" applyFill="1" applyProtection="1">
      <protection locked="0"/>
    </xf>
    <xf numFmtId="0" fontId="31" fillId="0" borderId="0" xfId="6" applyFont="1" applyFill="1" applyProtection="1"/>
    <xf numFmtId="0" fontId="32" fillId="0" borderId="0" xfId="6" applyFont="1" applyFill="1" applyBorder="1" applyAlignment="1" applyProtection="1">
      <alignment vertical="top"/>
    </xf>
    <xf numFmtId="0" fontId="16" fillId="0" borderId="0" xfId="6" applyFont="1" applyFill="1" applyBorder="1" applyAlignment="1" applyProtection="1">
      <alignment vertical="top"/>
    </xf>
    <xf numFmtId="0" fontId="16" fillId="0" borderId="0" xfId="6" quotePrefix="1" applyFont="1" applyFill="1" applyBorder="1" applyAlignment="1" applyProtection="1">
      <alignment vertical="top" wrapText="1"/>
    </xf>
    <xf numFmtId="0" fontId="16" fillId="0" borderId="0" xfId="6" applyFont="1" applyFill="1" applyBorder="1" applyAlignment="1" applyProtection="1">
      <protection locked="0"/>
    </xf>
    <xf numFmtId="0" fontId="16" fillId="0" borderId="0" xfId="6" applyFont="1" applyFill="1" applyBorder="1" applyAlignment="1" applyProtection="1">
      <alignment vertical="top" wrapText="1"/>
    </xf>
    <xf numFmtId="0" fontId="16" fillId="0" borderId="19" xfId="6" applyFont="1" applyFill="1" applyBorder="1" applyAlignment="1" applyProtection="1">
      <alignment vertical="top" wrapText="1"/>
    </xf>
    <xf numFmtId="17" fontId="16" fillId="0" borderId="20" xfId="6" applyNumberFormat="1" applyFont="1" applyFill="1" applyBorder="1" applyAlignment="1" applyProtection="1">
      <alignment vertical="top" wrapText="1"/>
    </xf>
    <xf numFmtId="0" fontId="33" fillId="0" borderId="0" xfId="6" applyFont="1" applyFill="1" applyBorder="1" applyAlignment="1" applyProtection="1">
      <alignment vertical="top"/>
    </xf>
    <xf numFmtId="0" fontId="34" fillId="0" borderId="0" xfId="6" applyFont="1" applyFill="1" applyBorder="1" applyAlignment="1" applyProtection="1">
      <alignment vertical="top"/>
    </xf>
    <xf numFmtId="165" fontId="16" fillId="0" borderId="0" xfId="6" applyNumberFormat="1" applyFont="1" applyFill="1" applyBorder="1" applyAlignment="1" applyProtection="1">
      <protection locked="0"/>
    </xf>
    <xf numFmtId="0" fontId="34" fillId="0" borderId="0" xfId="6" applyFont="1" applyFill="1" applyBorder="1" applyAlignment="1" applyProtection="1">
      <protection locked="0"/>
    </xf>
    <xf numFmtId="165" fontId="16" fillId="0" borderId="19" xfId="6" applyNumberFormat="1" applyFont="1" applyFill="1" applyBorder="1" applyAlignment="1" applyProtection="1">
      <protection locked="0"/>
    </xf>
    <xf numFmtId="165" fontId="34" fillId="0" borderId="20" xfId="6" applyNumberFormat="1" applyFont="1" applyFill="1" applyBorder="1" applyAlignment="1" applyProtection="1">
      <protection locked="0"/>
    </xf>
    <xf numFmtId="165" fontId="16" fillId="0" borderId="0" xfId="6" applyNumberFormat="1" applyFont="1" applyFill="1" applyBorder="1" applyAlignment="1" applyProtection="1">
      <alignment wrapText="1"/>
      <protection locked="0"/>
    </xf>
    <xf numFmtId="165" fontId="16" fillId="0" borderId="21" xfId="6" applyNumberFormat="1" applyFont="1" applyFill="1" applyBorder="1" applyAlignment="1" applyProtection="1">
      <protection locked="0"/>
    </xf>
    <xf numFmtId="0" fontId="34" fillId="0" borderId="4" xfId="6" applyFont="1" applyFill="1" applyBorder="1" applyAlignment="1" applyProtection="1">
      <protection locked="0"/>
    </xf>
    <xf numFmtId="165" fontId="34" fillId="0" borderId="22" xfId="6" applyNumberFormat="1" applyFont="1" applyFill="1" applyBorder="1" applyAlignment="1" applyProtection="1">
      <protection locked="0"/>
    </xf>
    <xf numFmtId="165" fontId="35" fillId="0" borderId="0" xfId="0" applyNumberFormat="1" applyFont="1" applyFill="1" applyBorder="1" applyAlignment="1"/>
    <xf numFmtId="165" fontId="35" fillId="0" borderId="19" xfId="0" applyNumberFormat="1" applyFont="1" applyFill="1" applyBorder="1" applyAlignment="1"/>
    <xf numFmtId="165" fontId="35" fillId="0" borderId="20" xfId="0" applyNumberFormat="1" applyFont="1" applyFill="1" applyBorder="1" applyAlignment="1"/>
    <xf numFmtId="0" fontId="9" fillId="0" borderId="20" xfId="6" applyFont="1" applyFill="1" applyBorder="1" applyProtection="1">
      <protection locked="0"/>
    </xf>
    <xf numFmtId="0" fontId="1" fillId="0" borderId="19" xfId="6" applyFont="1" applyFill="1" applyBorder="1" applyAlignment="1" applyProtection="1">
      <alignment horizontal="left" vertical="top"/>
    </xf>
    <xf numFmtId="165" fontId="28" fillId="0" borderId="22" xfId="0" applyNumberFormat="1" applyFont="1" applyFill="1" applyBorder="1" applyAlignment="1">
      <alignment horizontal="center"/>
    </xf>
    <xf numFmtId="165" fontId="28" fillId="0" borderId="21" xfId="0" applyNumberFormat="1" applyFont="1" applyFill="1" applyBorder="1" applyAlignment="1">
      <alignment horizontal="center"/>
    </xf>
    <xf numFmtId="165" fontId="28" fillId="0" borderId="4" xfId="0" applyNumberFormat="1" applyFont="1" applyFill="1" applyBorder="1" applyAlignment="1">
      <alignment horizontal="center"/>
    </xf>
    <xf numFmtId="0" fontId="28" fillId="0" borderId="22" xfId="0" applyFont="1" applyFill="1" applyBorder="1" applyAlignment="1">
      <alignment horizontal="center"/>
    </xf>
    <xf numFmtId="0" fontId="28" fillId="0" borderId="4" xfId="0" applyFont="1" applyFill="1" applyBorder="1" applyAlignment="1">
      <alignment horizontal="center"/>
    </xf>
    <xf numFmtId="0" fontId="5" fillId="0" borderId="0" xfId="6" applyFont="1" applyFill="1" applyAlignment="1" applyProtection="1">
      <alignment horizontal="left" vertical="top"/>
    </xf>
    <xf numFmtId="0" fontId="5" fillId="0" borderId="0" xfId="6" applyFont="1" applyFill="1" applyAlignment="1" applyProtection="1">
      <alignment horizontal="right" vertical="top"/>
    </xf>
    <xf numFmtId="178" fontId="9" fillId="0" borderId="0" xfId="5" applyNumberFormat="1" applyFont="1" applyFill="1" applyBorder="1" applyProtection="1">
      <protection locked="0"/>
    </xf>
    <xf numFmtId="178" fontId="9" fillId="0" borderId="0" xfId="6" applyNumberFormat="1" applyFont="1" applyFill="1" applyBorder="1" applyAlignment="1" applyProtection="1">
      <alignment horizontal="center"/>
      <protection locked="0"/>
    </xf>
    <xf numFmtId="0" fontId="5" fillId="0" borderId="19" xfId="6" applyFont="1" applyFill="1" applyBorder="1" applyAlignment="1" applyProtection="1">
      <alignment horizontal="right" vertical="top" wrapText="1"/>
    </xf>
    <xf numFmtId="0" fontId="5" fillId="0" borderId="0" xfId="6" applyFont="1" applyFill="1" applyBorder="1" applyAlignment="1" applyProtection="1">
      <alignment horizontal="right" vertical="top" wrapText="1"/>
    </xf>
    <xf numFmtId="17" fontId="5" fillId="0" borderId="20" xfId="6" applyNumberFormat="1" applyFont="1" applyFill="1" applyBorder="1" applyAlignment="1" applyProtection="1">
      <alignment horizontal="right" vertical="top" wrapText="1"/>
    </xf>
    <xf numFmtId="165" fontId="9" fillId="0" borderId="0" xfId="6" applyNumberFormat="1" applyFont="1" applyFill="1" applyAlignment="1" applyProtection="1">
      <alignment horizontal="center"/>
      <protection locked="0"/>
    </xf>
    <xf numFmtId="0" fontId="26" fillId="0" borderId="0" xfId="6" applyFont="1" applyFill="1" applyProtection="1">
      <protection locked="0"/>
    </xf>
    <xf numFmtId="0" fontId="7" fillId="0" borderId="0" xfId="6" applyFont="1" applyFill="1" applyBorder="1" applyAlignment="1" applyProtection="1">
      <alignment vertical="top"/>
      <protection locked="0"/>
    </xf>
    <xf numFmtId="0" fontId="0" fillId="0" borderId="0" xfId="0" applyFill="1" applyAlignment="1">
      <alignment horizontal="center"/>
    </xf>
    <xf numFmtId="17" fontId="5" fillId="0" borderId="0" xfId="6" applyNumberFormat="1" applyFont="1" applyFill="1" applyBorder="1" applyAlignment="1" applyProtection="1">
      <alignment horizontal="right" vertical="top" wrapText="1"/>
    </xf>
    <xf numFmtId="0" fontId="5" fillId="0" borderId="1" xfId="6" applyFont="1" applyFill="1" applyBorder="1" applyAlignment="1" applyProtection="1">
      <alignment vertical="top"/>
    </xf>
    <xf numFmtId="0" fontId="1" fillId="0" borderId="0" xfId="6" applyFont="1" applyFill="1" applyAlignment="1" applyProtection="1">
      <protection locked="0"/>
    </xf>
    <xf numFmtId="0" fontId="36" fillId="0" borderId="0" xfId="6" applyFont="1" applyFill="1" applyBorder="1" applyAlignment="1" applyProtection="1">
      <alignment wrapText="1"/>
    </xf>
    <xf numFmtId="3" fontId="9" fillId="0" borderId="0" xfId="6" applyNumberFormat="1" applyFont="1" applyFill="1" applyBorder="1" applyAlignment="1" applyProtection="1">
      <alignment wrapText="1"/>
    </xf>
    <xf numFmtId="3" fontId="9" fillId="0" borderId="0" xfId="6" applyNumberFormat="1" applyFont="1" applyFill="1" applyBorder="1" applyProtection="1"/>
    <xf numFmtId="0" fontId="8" fillId="0" borderId="0" xfId="6" applyFont="1" applyFill="1" applyBorder="1" applyAlignment="1" applyProtection="1">
      <alignment horizontal="right"/>
    </xf>
    <xf numFmtId="0" fontId="8" fillId="0" borderId="0" xfId="6" applyFont="1" applyFill="1" applyBorder="1" applyProtection="1"/>
    <xf numFmtId="0" fontId="31" fillId="0" borderId="0" xfId="6" applyFont="1" applyFill="1" applyAlignment="1" applyProtection="1">
      <alignment horizontal="right" vertical="top"/>
    </xf>
    <xf numFmtId="0" fontId="9" fillId="0" borderId="8" xfId="6" applyFont="1" applyFill="1" applyBorder="1" applyProtection="1"/>
    <xf numFmtId="0" fontId="9" fillId="0" borderId="29" xfId="6" applyFont="1" applyFill="1" applyBorder="1" applyProtection="1"/>
    <xf numFmtId="170" fontId="1" fillId="0" borderId="0" xfId="6" applyNumberFormat="1" applyFont="1" applyFill="1" applyBorder="1" applyProtection="1">
      <protection locked="0"/>
    </xf>
    <xf numFmtId="0" fontId="37" fillId="0" borderId="0" xfId="6" applyFont="1" applyFill="1" applyAlignment="1" applyProtection="1">
      <alignment horizontal="right" vertical="top"/>
    </xf>
    <xf numFmtId="0" fontId="38" fillId="0" borderId="0" xfId="6" applyFont="1" applyFill="1" applyAlignment="1" applyProtection="1">
      <alignment horizontal="left" vertical="top"/>
    </xf>
    <xf numFmtId="0" fontId="38" fillId="0" borderId="0" xfId="6" applyFont="1" applyFill="1" applyProtection="1">
      <protection locked="0"/>
    </xf>
    <xf numFmtId="0" fontId="39" fillId="0" borderId="0" xfId="6" applyFont="1" applyFill="1" applyAlignment="1" applyProtection="1">
      <alignment horizontal="right" vertical="top"/>
    </xf>
    <xf numFmtId="0" fontId="12" fillId="0" borderId="0" xfId="6" applyFont="1" applyFill="1" applyBorder="1" applyAlignment="1" applyProtection="1"/>
    <xf numFmtId="3" fontId="15" fillId="0" borderId="0" xfId="6" applyNumberFormat="1" applyFont="1" applyFill="1" applyBorder="1" applyProtection="1"/>
    <xf numFmtId="0" fontId="12" fillId="0" borderId="0" xfId="6" applyFont="1" applyFill="1" applyBorder="1" applyAlignment="1" applyProtection="1">
      <alignment horizontal="right"/>
    </xf>
    <xf numFmtId="0" fontId="12" fillId="0" borderId="0" xfId="6" applyFont="1" applyFill="1" applyBorder="1" applyProtection="1"/>
    <xf numFmtId="0" fontId="39" fillId="0" borderId="0" xfId="6" applyFont="1" applyFill="1" applyProtection="1">
      <protection locked="0"/>
    </xf>
    <xf numFmtId="0" fontId="39" fillId="0" borderId="0" xfId="6" applyFont="1" applyFill="1" applyBorder="1" applyProtection="1">
      <protection locked="0"/>
    </xf>
    <xf numFmtId="0" fontId="15" fillId="0" borderId="5" xfId="6" applyFont="1" applyFill="1" applyBorder="1" applyProtection="1"/>
    <xf numFmtId="0" fontId="38" fillId="0" borderId="0" xfId="6" applyFont="1" applyFill="1" applyBorder="1" applyProtection="1">
      <protection locked="0"/>
    </xf>
    <xf numFmtId="0" fontId="15" fillId="0" borderId="0" xfId="6" applyFont="1" applyFill="1" applyBorder="1" applyProtection="1"/>
    <xf numFmtId="0" fontId="15" fillId="0" borderId="8" xfId="6" applyFont="1" applyFill="1" applyBorder="1" applyProtection="1"/>
    <xf numFmtId="0" fontId="15" fillId="0" borderId="29" xfId="6" applyFont="1" applyFill="1" applyBorder="1" applyProtection="1"/>
    <xf numFmtId="0" fontId="15" fillId="0" borderId="2" xfId="6" applyFont="1" applyFill="1" applyBorder="1" applyProtection="1"/>
    <xf numFmtId="0" fontId="15" fillId="0" borderId="14" xfId="6" applyFont="1" applyFill="1" applyBorder="1" applyProtection="1"/>
    <xf numFmtId="165" fontId="6" fillId="0" borderId="0" xfId="7" applyNumberFormat="1" applyFont="1" applyFill="1" applyAlignment="1" applyProtection="1">
      <alignment horizontal="right" vertical="top"/>
      <protection locked="0"/>
    </xf>
    <xf numFmtId="0" fontId="1" fillId="0" borderId="0" xfId="7" applyFont="1" applyFill="1" applyAlignment="1" applyProtection="1">
      <alignment horizontal="left" vertical="top"/>
      <protection locked="0"/>
    </xf>
    <xf numFmtId="0" fontId="1" fillId="0" borderId="0" xfId="7" applyFont="1" applyFill="1" applyAlignment="1" applyProtection="1">
      <alignment horizontal="right" vertical="top"/>
      <protection locked="0"/>
    </xf>
    <xf numFmtId="0" fontId="1" fillId="0" borderId="0" xfId="7" applyFont="1" applyFill="1" applyProtection="1">
      <protection locked="0"/>
    </xf>
    <xf numFmtId="0" fontId="6" fillId="0" borderId="0" xfId="7" applyFont="1" applyFill="1" applyAlignment="1" applyProtection="1">
      <alignment horizontal="right" vertical="top"/>
      <protection locked="0"/>
    </xf>
    <xf numFmtId="0" fontId="6" fillId="0" borderId="0" xfId="7" applyFont="1" applyFill="1" applyAlignment="1" applyProtection="1">
      <alignment horizontal="left" vertical="top"/>
      <protection locked="0"/>
    </xf>
    <xf numFmtId="0" fontId="1" fillId="0" borderId="0" xfId="7" applyFont="1" applyFill="1" applyAlignment="1" applyProtection="1">
      <protection locked="0"/>
    </xf>
    <xf numFmtId="0" fontId="7" fillId="0" borderId="0" xfId="7" applyFont="1" applyFill="1" applyBorder="1" applyAlignment="1" applyProtection="1">
      <alignment horizontal="left" vertical="top"/>
      <protection locked="0"/>
    </xf>
    <xf numFmtId="0" fontId="5" fillId="0" borderId="0" xfId="7" applyFont="1" applyFill="1" applyBorder="1" applyAlignment="1" applyProtection="1">
      <alignment horizontal="left" vertical="top" wrapText="1"/>
      <protection locked="0"/>
    </xf>
    <xf numFmtId="0" fontId="5" fillId="0" borderId="0" xfId="7" applyFont="1" applyFill="1" applyBorder="1" applyAlignment="1" applyProtection="1">
      <alignment vertical="top" wrapText="1"/>
      <protection locked="0"/>
    </xf>
    <xf numFmtId="0" fontId="6" fillId="0" borderId="0" xfId="7" applyFont="1" applyFill="1" applyBorder="1" applyAlignment="1" applyProtection="1">
      <alignment horizontal="left" vertical="top"/>
      <protection locked="0"/>
    </xf>
    <xf numFmtId="0" fontId="8" fillId="0" borderId="0" xfId="7" applyFont="1" applyFill="1" applyBorder="1" applyAlignment="1" applyProtection="1">
      <protection locked="0"/>
    </xf>
    <xf numFmtId="0" fontId="9" fillId="0" borderId="0" xfId="7" applyFont="1" applyFill="1" applyBorder="1" applyProtection="1">
      <protection locked="0"/>
    </xf>
    <xf numFmtId="0" fontId="1" fillId="0" borderId="0" xfId="7" applyFont="1" applyFill="1" applyBorder="1" applyProtection="1">
      <protection locked="0"/>
    </xf>
    <xf numFmtId="0" fontId="3" fillId="0" borderId="0" xfId="7" applyFont="1" applyFill="1" applyAlignment="1" applyProtection="1">
      <alignment horizontal="left" vertical="top"/>
      <protection locked="0"/>
    </xf>
    <xf numFmtId="0" fontId="3" fillId="0" borderId="0" xfId="7" applyFont="1" applyFill="1" applyAlignment="1" applyProtection="1">
      <alignment horizontal="right" vertical="top"/>
      <protection locked="0"/>
    </xf>
    <xf numFmtId="0" fontId="3" fillId="0" borderId="0" xfId="7" applyFont="1" applyFill="1" applyBorder="1" applyProtection="1">
      <protection locked="0"/>
    </xf>
    <xf numFmtId="0" fontId="3" fillId="0" borderId="0" xfId="7" applyFont="1" applyFill="1" applyProtection="1">
      <protection locked="0"/>
    </xf>
    <xf numFmtId="0" fontId="42" fillId="0" borderId="0" xfId="7" applyFont="1" applyFill="1" applyAlignment="1" applyProtection="1">
      <alignment horizontal="right" vertical="top"/>
      <protection locked="0"/>
    </xf>
    <xf numFmtId="0" fontId="43" fillId="0" borderId="0" xfId="7" applyFont="1" applyFill="1" applyAlignment="1" applyProtection="1">
      <alignment horizontal="left" vertical="top"/>
      <protection locked="0"/>
    </xf>
    <xf numFmtId="0" fontId="43" fillId="0" borderId="0" xfId="7" applyFont="1" applyFill="1" applyAlignment="1" applyProtection="1">
      <alignment horizontal="right" vertical="top"/>
      <protection locked="0"/>
    </xf>
    <xf numFmtId="0" fontId="43" fillId="0" borderId="0" xfId="7" applyFont="1" applyFill="1" applyBorder="1" applyProtection="1">
      <protection locked="0"/>
    </xf>
    <xf numFmtId="0" fontId="43" fillId="0" borderId="0" xfId="7" applyFont="1" applyFill="1" applyProtection="1">
      <protection locked="0"/>
    </xf>
    <xf numFmtId="165" fontId="9" fillId="0" borderId="0" xfId="12" applyNumberFormat="1" applyFont="1" applyFill="1" applyAlignment="1" applyProtection="1">
      <alignment horizontal="center"/>
      <protection locked="0"/>
    </xf>
    <xf numFmtId="0" fontId="8" fillId="0" borderId="0" xfId="7" applyFont="1" applyFill="1" applyBorder="1" applyAlignment="1" applyProtection="1">
      <alignment horizontal="left"/>
      <protection locked="0"/>
    </xf>
    <xf numFmtId="0" fontId="9" fillId="0" borderId="0" xfId="7" applyFont="1" applyFill="1" applyBorder="1" applyAlignment="1" applyProtection="1">
      <alignment horizontal="left"/>
      <protection locked="0"/>
    </xf>
    <xf numFmtId="165" fontId="9" fillId="0" borderId="0" xfId="7" applyNumberFormat="1" applyFont="1" applyFill="1" applyBorder="1" applyProtection="1">
      <protection locked="0"/>
    </xf>
    <xf numFmtId="165" fontId="9" fillId="0" borderId="0" xfId="7" applyNumberFormat="1" applyFont="1" applyFill="1" applyBorder="1" applyAlignment="1" applyProtection="1">
      <protection locked="0"/>
    </xf>
    <xf numFmtId="0" fontId="6" fillId="0" borderId="0" xfId="7" applyFont="1" applyFill="1" applyBorder="1" applyAlignment="1" applyProtection="1">
      <alignment horizontal="right" vertical="top"/>
      <protection locked="0"/>
    </xf>
    <xf numFmtId="0" fontId="3" fillId="0" borderId="0" xfId="7" applyFont="1" applyFill="1" applyBorder="1" applyAlignment="1" applyProtection="1">
      <alignment horizontal="left" vertical="top"/>
      <protection locked="0"/>
    </xf>
    <xf numFmtId="0" fontId="3" fillId="0" borderId="0" xfId="7" applyFont="1" applyFill="1" applyBorder="1" applyAlignment="1" applyProtection="1">
      <alignment horizontal="right" vertical="top"/>
      <protection locked="0"/>
    </xf>
    <xf numFmtId="0" fontId="8" fillId="0" borderId="5" xfId="7" applyFont="1" applyFill="1" applyBorder="1" applyAlignment="1" applyProtection="1">
      <alignment horizontal="left"/>
      <protection locked="0"/>
    </xf>
    <xf numFmtId="0" fontId="8" fillId="0" borderId="5" xfId="7" applyFont="1" applyFill="1" applyBorder="1" applyAlignment="1" applyProtection="1">
      <alignment horizontal="right"/>
      <protection locked="0"/>
    </xf>
    <xf numFmtId="165" fontId="8" fillId="0" borderId="0" xfId="12" applyNumberFormat="1" applyFont="1" applyFill="1" applyBorder="1" applyAlignment="1" applyProtection="1">
      <alignment horizontal="center"/>
      <protection locked="0"/>
    </xf>
    <xf numFmtId="0" fontId="9" fillId="0" borderId="4" xfId="7" applyFont="1" applyFill="1" applyBorder="1" applyAlignment="1" applyProtection="1">
      <alignment horizontal="left"/>
      <protection locked="0"/>
    </xf>
    <xf numFmtId="1" fontId="9" fillId="0" borderId="4" xfId="7" applyNumberFormat="1" applyFont="1" applyFill="1" applyBorder="1" applyAlignment="1" applyProtection="1">
      <alignment horizontal="right"/>
      <protection locked="0"/>
    </xf>
    <xf numFmtId="1" fontId="9" fillId="0" borderId="0" xfId="7" applyNumberFormat="1" applyFont="1" applyFill="1" applyBorder="1" applyAlignment="1" applyProtection="1">
      <alignment horizontal="right"/>
      <protection locked="0"/>
    </xf>
    <xf numFmtId="0" fontId="15" fillId="0" borderId="0" xfId="7" applyFont="1" applyFill="1" applyBorder="1" applyProtection="1">
      <protection locked="0"/>
    </xf>
    <xf numFmtId="10" fontId="44" fillId="0" borderId="0" xfId="0" applyNumberFormat="1" applyFont="1" applyFill="1" applyBorder="1" applyAlignment="1">
      <alignment horizontal="right" vertical="center"/>
    </xf>
    <xf numFmtId="0" fontId="15" fillId="0" borderId="8" xfId="7" applyFont="1" applyFill="1" applyBorder="1" applyProtection="1">
      <protection locked="0"/>
    </xf>
    <xf numFmtId="1" fontId="9" fillId="0" borderId="8" xfId="7" applyNumberFormat="1" applyFont="1" applyFill="1" applyBorder="1" applyAlignment="1" applyProtection="1">
      <alignment horizontal="right"/>
      <protection locked="0"/>
    </xf>
    <xf numFmtId="10" fontId="44" fillId="0" borderId="8" xfId="0" applyNumberFormat="1" applyFont="1" applyFill="1" applyBorder="1" applyAlignment="1">
      <alignment horizontal="right" vertical="center"/>
    </xf>
    <xf numFmtId="10" fontId="9" fillId="0" borderId="0" xfId="13" applyNumberFormat="1" applyFont="1" applyFill="1">
      <protection locked="0"/>
    </xf>
    <xf numFmtId="10" fontId="44" fillId="0" borderId="0" xfId="2" applyNumberFormat="1" applyFont="1" applyFill="1" applyBorder="1" applyAlignment="1">
      <alignment horizontal="right" vertical="center"/>
    </xf>
    <xf numFmtId="10" fontId="15" fillId="0" borderId="0" xfId="2" applyNumberFormat="1" applyFont="1" applyFill="1" applyBorder="1" applyProtection="1">
      <protection locked="0"/>
    </xf>
    <xf numFmtId="10" fontId="9" fillId="0" borderId="0" xfId="2" applyNumberFormat="1" applyFont="1" applyFill="1" applyBorder="1" applyAlignment="1" applyProtection="1">
      <alignment horizontal="right"/>
      <protection locked="0"/>
    </xf>
    <xf numFmtId="10" fontId="44" fillId="0" borderId="0" xfId="0" applyNumberFormat="1" applyFont="1" applyFill="1" applyBorder="1" applyAlignment="1">
      <alignment horizontal="right"/>
    </xf>
    <xf numFmtId="182" fontId="9" fillId="0" borderId="0" xfId="14" applyNumberFormat="1" applyFont="1" applyFill="1" applyAlignment="1">
      <alignment horizontal="right"/>
      <protection locked="0"/>
    </xf>
    <xf numFmtId="182" fontId="9" fillId="0" borderId="0" xfId="14" applyNumberFormat="1" applyFont="1" applyFill="1">
      <protection locked="0"/>
    </xf>
    <xf numFmtId="10" fontId="9" fillId="0" borderId="0" xfId="2" applyNumberFormat="1" applyFont="1" applyFill="1" applyProtection="1">
      <protection locked="0"/>
    </xf>
    <xf numFmtId="0" fontId="44" fillId="0" borderId="0" xfId="0" applyFont="1" applyFill="1" applyBorder="1" applyAlignment="1">
      <alignment horizontal="right" vertical="center"/>
    </xf>
    <xf numFmtId="10" fontId="9" fillId="0" borderId="0" xfId="0" applyNumberFormat="1" applyFont="1" applyFill="1" applyBorder="1" applyAlignment="1">
      <alignment horizontal="right" vertical="center"/>
    </xf>
    <xf numFmtId="10" fontId="44" fillId="0" borderId="4" xfId="2" applyNumberFormat="1" applyFont="1" applyFill="1" applyBorder="1" applyAlignment="1">
      <alignment horizontal="right" vertical="center"/>
    </xf>
    <xf numFmtId="10" fontId="44" fillId="0" borderId="4" xfId="0" applyNumberFormat="1" applyFont="1" applyFill="1" applyBorder="1" applyAlignment="1">
      <alignment horizontal="right" vertical="center"/>
    </xf>
    <xf numFmtId="0" fontId="6" fillId="0" borderId="0" xfId="7" applyFont="1" applyFill="1" applyAlignment="1" applyProtection="1">
      <alignment horizontal="right" vertical="top" wrapText="1"/>
      <protection locked="0"/>
    </xf>
    <xf numFmtId="0" fontId="6" fillId="0" borderId="0" xfId="7" applyFont="1" applyFill="1" applyAlignment="1" applyProtection="1">
      <alignment horizontal="left" vertical="top" wrapText="1"/>
      <protection locked="0"/>
    </xf>
    <xf numFmtId="178" fontId="18" fillId="0" borderId="0" xfId="12" applyNumberFormat="1" applyFont="1" applyFill="1" applyProtection="1">
      <protection locked="0"/>
    </xf>
    <xf numFmtId="165" fontId="18" fillId="0" borderId="0" xfId="7" applyNumberFormat="1" applyFont="1" applyFill="1" applyProtection="1">
      <protection locked="0"/>
    </xf>
    <xf numFmtId="0" fontId="9" fillId="0" borderId="0" xfId="7" applyFont="1" applyFill="1" applyProtection="1">
      <protection locked="0"/>
    </xf>
    <xf numFmtId="0" fontId="18" fillId="0" borderId="0" xfId="7" applyFont="1" applyFill="1" applyProtection="1">
      <protection locked="0"/>
    </xf>
    <xf numFmtId="0" fontId="25" fillId="0" borderId="0" xfId="7" applyFont="1" applyFill="1" applyProtection="1">
      <protection locked="0"/>
    </xf>
    <xf numFmtId="0" fontId="25" fillId="0" borderId="0" xfId="7" applyFont="1" applyFill="1" applyAlignment="1" applyProtection="1">
      <alignment horizontal="left" vertical="top" wrapText="1"/>
      <protection locked="0"/>
    </xf>
    <xf numFmtId="0" fontId="25" fillId="0" borderId="0" xfId="7" applyFont="1" applyFill="1" applyAlignment="1" applyProtection="1">
      <alignment horizontal="right" vertical="top" wrapText="1"/>
      <protection locked="0"/>
    </xf>
    <xf numFmtId="0" fontId="25" fillId="0" borderId="0" xfId="7" applyFont="1" applyFill="1" applyAlignment="1" applyProtection="1">
      <alignment vertical="top" wrapText="1"/>
      <protection locked="0"/>
    </xf>
    <xf numFmtId="0" fontId="1" fillId="0" borderId="2" xfId="7" applyFont="1" applyFill="1" applyBorder="1" applyProtection="1">
      <protection locked="0"/>
    </xf>
    <xf numFmtId="0" fontId="1" fillId="0" borderId="3" xfId="7" applyFont="1" applyFill="1" applyBorder="1" applyProtection="1">
      <protection locked="0"/>
    </xf>
    <xf numFmtId="0" fontId="25" fillId="0" borderId="0" xfId="7" applyFont="1" applyFill="1" applyAlignment="1" applyProtection="1">
      <alignment horizontal="left" vertical="top"/>
      <protection locked="0"/>
    </xf>
    <xf numFmtId="0" fontId="25" fillId="0" borderId="0" xfId="7" applyFont="1" applyFill="1" applyAlignment="1" applyProtection="1">
      <alignment horizontal="right" vertical="top"/>
      <protection locked="0"/>
    </xf>
    <xf numFmtId="0" fontId="25" fillId="0" borderId="0" xfId="7" applyFont="1" applyFill="1" applyAlignment="1" applyProtection="1">
      <protection locked="0"/>
    </xf>
    <xf numFmtId="3" fontId="9" fillId="0" borderId="4" xfId="6" applyNumberFormat="1" applyFont="1" applyFill="1" applyBorder="1" applyProtection="1"/>
    <xf numFmtId="0" fontId="8" fillId="0" borderId="5" xfId="6" applyFont="1" applyFill="1" applyBorder="1" applyAlignment="1" applyProtection="1"/>
    <xf numFmtId="0" fontId="9" fillId="0" borderId="0" xfId="6" applyFont="1" applyFill="1" applyBorder="1" applyAlignment="1" applyProtection="1"/>
    <xf numFmtId="179" fontId="9" fillId="0" borderId="0" xfId="6" applyNumberFormat="1" applyFont="1" applyFill="1" applyBorder="1" applyProtection="1"/>
    <xf numFmtId="0" fontId="9" fillId="0" borderId="4" xfId="6" applyFont="1" applyFill="1" applyBorder="1" applyAlignment="1" applyProtection="1"/>
    <xf numFmtId="179" fontId="9" fillId="0" borderId="4" xfId="6" applyNumberFormat="1" applyFont="1" applyFill="1" applyBorder="1" applyProtection="1"/>
    <xf numFmtId="0" fontId="9" fillId="0" borderId="0" xfId="6" applyFont="1" applyFill="1" applyBorder="1" applyAlignment="1" applyProtection="1">
      <alignment horizontal="right"/>
    </xf>
    <xf numFmtId="3" fontId="9" fillId="0" borderId="0" xfId="6" applyNumberFormat="1" applyFont="1" applyFill="1" applyBorder="1" applyAlignment="1" applyProtection="1">
      <alignment horizontal="right"/>
    </xf>
    <xf numFmtId="3" fontId="9" fillId="0" borderId="0" xfId="6" quotePrefix="1" applyNumberFormat="1" applyFont="1" applyFill="1" applyBorder="1" applyAlignment="1" applyProtection="1">
      <alignment horizontal="right"/>
    </xf>
    <xf numFmtId="0" fontId="9" fillId="0" borderId="8" xfId="6" applyFont="1" applyFill="1" applyBorder="1" applyAlignment="1" applyProtection="1">
      <alignment horizontal="right"/>
    </xf>
    <xf numFmtId="3" fontId="9" fillId="0" borderId="8" xfId="6" applyNumberFormat="1" applyFont="1" applyFill="1" applyBorder="1" applyAlignment="1" applyProtection="1">
      <alignment horizontal="right"/>
    </xf>
    <xf numFmtId="3" fontId="9" fillId="0" borderId="8" xfId="6" quotePrefix="1" applyNumberFormat="1" applyFont="1" applyFill="1" applyBorder="1" applyAlignment="1" applyProtection="1">
      <alignment horizontal="right"/>
    </xf>
    <xf numFmtId="0" fontId="9" fillId="0" borderId="14" xfId="6" applyFont="1" applyFill="1" applyBorder="1" applyAlignment="1" applyProtection="1">
      <alignment horizontal="right"/>
    </xf>
    <xf numFmtId="0" fontId="9" fillId="0" borderId="5" xfId="6" applyFont="1" applyFill="1" applyBorder="1" applyAlignment="1" applyProtection="1">
      <alignment horizontal="right"/>
    </xf>
    <xf numFmtId="0" fontId="9" fillId="0" borderId="4" xfId="6" applyFont="1" applyFill="1" applyBorder="1" applyAlignment="1" applyProtection="1">
      <alignment horizontal="right"/>
    </xf>
    <xf numFmtId="181" fontId="44" fillId="0" borderId="0" xfId="15" applyNumberFormat="1" applyFont="1" applyFill="1" applyBorder="1" applyAlignment="1">
      <alignment horizontal="right" wrapText="1"/>
    </xf>
    <xf numFmtId="0" fontId="49" fillId="0" borderId="0" xfId="6" applyFont="1" applyFill="1" applyAlignment="1" applyProtection="1">
      <alignment horizontal="right" vertical="top"/>
    </xf>
    <xf numFmtId="0" fontId="50" fillId="0" borderId="0" xfId="6" applyFont="1" applyFill="1" applyAlignment="1" applyProtection="1">
      <alignment horizontal="left" vertical="top"/>
    </xf>
    <xf numFmtId="0" fontId="50" fillId="0" borderId="0" xfId="6" applyFont="1" applyFill="1" applyAlignment="1" applyProtection="1">
      <alignment horizontal="right" vertical="top"/>
    </xf>
    <xf numFmtId="0" fontId="50" fillId="0" borderId="0" xfId="6" applyFont="1" applyFill="1" applyProtection="1">
      <protection locked="0"/>
    </xf>
    <xf numFmtId="0" fontId="51" fillId="0" borderId="8" xfId="15" applyFont="1" applyFill="1" applyBorder="1" applyAlignment="1">
      <alignment horizontal="right" wrapText="1"/>
    </xf>
    <xf numFmtId="0" fontId="51" fillId="0" borderId="0" xfId="15" applyFont="1" applyFill="1" applyBorder="1" applyAlignment="1">
      <alignment horizontal="right" wrapText="1"/>
    </xf>
    <xf numFmtId="165" fontId="24" fillId="0" borderId="0" xfId="6" applyNumberFormat="1" applyFont="1" applyFill="1" applyAlignment="1" applyProtection="1">
      <alignment horizontal="left" vertical="top"/>
    </xf>
    <xf numFmtId="174" fontId="9" fillId="0" borderId="0" xfId="5" applyNumberFormat="1" applyFont="1" applyFill="1" applyBorder="1" applyProtection="1"/>
    <xf numFmtId="174" fontId="8" fillId="0" borderId="0" xfId="5" applyNumberFormat="1" applyFont="1" applyFill="1" applyBorder="1" applyAlignment="1" applyProtection="1">
      <alignment horizontal="right"/>
    </xf>
    <xf numFmtId="174" fontId="41" fillId="0" borderId="0" xfId="5" applyNumberFormat="1" applyFont="1" applyFill="1" applyBorder="1" applyAlignment="1" applyProtection="1">
      <alignment horizontal="right"/>
    </xf>
    <xf numFmtId="174" fontId="41" fillId="0" borderId="5" xfId="5" applyNumberFormat="1" applyFont="1" applyFill="1" applyBorder="1" applyAlignment="1" applyProtection="1">
      <alignment horizontal="right"/>
    </xf>
    <xf numFmtId="49" fontId="41" fillId="0" borderId="5" xfId="5" applyNumberFormat="1" applyFont="1" applyFill="1" applyBorder="1" applyAlignment="1" applyProtection="1">
      <alignment horizontal="right"/>
    </xf>
    <xf numFmtId="178" fontId="9" fillId="0" borderId="0" xfId="5" applyNumberFormat="1" applyFont="1" applyFill="1" applyProtection="1">
      <protection locked="0"/>
    </xf>
    <xf numFmtId="178" fontId="31" fillId="0" borderId="0" xfId="5" applyNumberFormat="1" applyFont="1" applyFill="1" applyBorder="1" applyProtection="1">
      <protection locked="0"/>
    </xf>
    <xf numFmtId="0" fontId="9" fillId="0" borderId="4" xfId="6" applyFont="1" applyFill="1" applyBorder="1" applyAlignment="1" applyProtection="1">
      <alignment horizontal="left" vertical="top" wrapText="1"/>
    </xf>
    <xf numFmtId="0" fontId="9" fillId="0" borderId="4" xfId="6" applyFont="1" applyFill="1" applyBorder="1" applyAlignment="1" applyProtection="1">
      <alignment horizontal="right" vertical="top" wrapText="1"/>
    </xf>
    <xf numFmtId="165" fontId="31" fillId="0" borderId="0" xfId="6" applyNumberFormat="1" applyFont="1" applyFill="1" applyBorder="1" applyProtection="1">
      <protection locked="0"/>
    </xf>
    <xf numFmtId="0" fontId="9" fillId="0" borderId="0" xfId="6" applyFont="1" applyFill="1"/>
    <xf numFmtId="178" fontId="8" fillId="0" borderId="0" xfId="5" applyNumberFormat="1" applyFont="1" applyFill="1"/>
    <xf numFmtId="0" fontId="9" fillId="0" borderId="0" xfId="5" applyFont="1" applyFill="1" applyAlignment="1"/>
    <xf numFmtId="1" fontId="9" fillId="0" borderId="0" xfId="5" applyNumberFormat="1" applyFont="1" applyFill="1" applyAlignment="1"/>
    <xf numFmtId="176" fontId="9" fillId="0" borderId="0" xfId="16" applyNumberFormat="1" applyFont="1" applyFill="1" applyAlignment="1"/>
    <xf numFmtId="0" fontId="9" fillId="0" borderId="0" xfId="6" applyFont="1" applyFill="1" applyAlignment="1"/>
    <xf numFmtId="165" fontId="9" fillId="0" borderId="0" xfId="6" applyNumberFormat="1" applyFont="1" applyFill="1" applyAlignment="1"/>
    <xf numFmtId="1" fontId="9" fillId="0" borderId="0" xfId="6" applyNumberFormat="1" applyFont="1" applyFill="1" applyAlignment="1"/>
    <xf numFmtId="176" fontId="9" fillId="0" borderId="0" xfId="6" applyNumberFormat="1" applyFont="1" applyFill="1" applyAlignment="1"/>
    <xf numFmtId="2" fontId="9" fillId="0" borderId="0" xfId="6" applyNumberFormat="1" applyFont="1" applyFill="1" applyBorder="1" applyAlignment="1" applyProtection="1">
      <alignment horizontal="right"/>
    </xf>
    <xf numFmtId="0" fontId="9" fillId="0" borderId="4" xfId="6" applyFont="1" applyFill="1" applyBorder="1" applyAlignment="1" applyProtection="1">
      <alignment horizontal="left" vertical="top"/>
    </xf>
    <xf numFmtId="2" fontId="9" fillId="0" borderId="4" xfId="6" applyNumberFormat="1" applyFont="1" applyFill="1" applyBorder="1" applyAlignment="1" applyProtection="1">
      <alignment horizontal="right"/>
    </xf>
    <xf numFmtId="0" fontId="5" fillId="0" borderId="0" xfId="6" applyFont="1" applyFill="1" applyBorder="1" applyAlignment="1">
      <alignment horizontal="left" wrapText="1"/>
    </xf>
    <xf numFmtId="0" fontId="5" fillId="0" borderId="18" xfId="6" quotePrefix="1" applyFont="1" applyFill="1" applyBorder="1" applyAlignment="1" applyProtection="1">
      <alignment vertical="top" wrapText="1"/>
    </xf>
    <xf numFmtId="17" fontId="5" fillId="0" borderId="26" xfId="6" applyNumberFormat="1" applyFont="1" applyFill="1" applyBorder="1" applyAlignment="1" applyProtection="1">
      <alignment horizontal="right" vertical="top" wrapText="1"/>
    </xf>
    <xf numFmtId="0" fontId="5" fillId="0" borderId="0" xfId="6" applyFont="1" applyFill="1" applyBorder="1" applyAlignment="1">
      <alignment vertical="top" wrapText="1"/>
    </xf>
    <xf numFmtId="0" fontId="5" fillId="0" borderId="0" xfId="6" applyFont="1" applyFill="1" applyBorder="1" applyAlignment="1">
      <alignment wrapText="1"/>
    </xf>
    <xf numFmtId="0" fontId="6" fillId="0" borderId="0" xfId="6" applyFont="1" applyFill="1" applyBorder="1" applyAlignment="1">
      <alignment vertical="top"/>
    </xf>
    <xf numFmtId="176" fontId="8" fillId="0" borderId="5" xfId="16" quotePrefix="1" applyNumberFormat="1" applyFont="1" applyFill="1" applyBorder="1" applyAlignment="1">
      <alignment horizontal="right"/>
    </xf>
    <xf numFmtId="0" fontId="9" fillId="0" borderId="0" xfId="6" applyFont="1" applyFill="1" applyBorder="1" applyAlignment="1">
      <alignment horizontal="right"/>
    </xf>
    <xf numFmtId="0" fontId="57" fillId="0" borderId="0" xfId="6" applyFont="1" applyFill="1" applyBorder="1" applyAlignment="1">
      <alignment horizontal="left"/>
    </xf>
    <xf numFmtId="0" fontId="9" fillId="0" borderId="4" xfId="6" applyFont="1" applyFill="1" applyBorder="1" applyAlignment="1">
      <alignment horizontal="right"/>
    </xf>
    <xf numFmtId="0" fontId="8" fillId="0" borderId="17" xfId="6" applyFont="1" applyFill="1" applyBorder="1"/>
    <xf numFmtId="0" fontId="8" fillId="0" borderId="0" xfId="6" applyFont="1" applyFill="1" applyBorder="1" applyAlignment="1"/>
    <xf numFmtId="0" fontId="8" fillId="0" borderId="0" xfId="6" applyFont="1" applyFill="1"/>
    <xf numFmtId="0" fontId="9" fillId="0" borderId="0" xfId="6" applyFont="1" applyFill="1" applyBorder="1" applyAlignment="1">
      <alignment horizontal="left"/>
    </xf>
    <xf numFmtId="0" fontId="9" fillId="0" borderId="10" xfId="6" applyFont="1" applyFill="1" applyBorder="1"/>
    <xf numFmtId="0" fontId="16" fillId="0" borderId="0" xfId="6" applyFont="1" applyFill="1"/>
    <xf numFmtId="0" fontId="32" fillId="0" borderId="0" xfId="6" applyFont="1" applyFill="1" applyAlignment="1">
      <alignment horizontal="left"/>
    </xf>
    <xf numFmtId="0" fontId="24" fillId="0" borderId="0" xfId="6" applyFont="1" applyFill="1" applyBorder="1" applyAlignment="1">
      <alignment vertical="top" wrapText="1"/>
    </xf>
    <xf numFmtId="0" fontId="24" fillId="0" borderId="0" xfId="18" applyFont="1" applyFill="1" applyBorder="1" applyAlignment="1">
      <alignment vertical="top"/>
    </xf>
    <xf numFmtId="0" fontId="9" fillId="0" borderId="0" xfId="6" applyFont="1" applyFill="1" applyBorder="1"/>
    <xf numFmtId="0" fontId="55" fillId="0" borderId="0" xfId="6" applyFont="1" applyFill="1"/>
    <xf numFmtId="0" fontId="9" fillId="0" borderId="8" xfId="6" applyFont="1" applyFill="1" applyBorder="1"/>
    <xf numFmtId="0" fontId="14" fillId="0" borderId="0" xfId="6" applyFont="1" applyFill="1" applyBorder="1"/>
    <xf numFmtId="0" fontId="9" fillId="0" borderId="4" xfId="6" applyFont="1" applyFill="1" applyBorder="1"/>
    <xf numFmtId="0" fontId="11" fillId="0" borderId="0" xfId="6" applyFont="1" applyFill="1" applyBorder="1" applyAlignment="1">
      <alignment horizontal="left"/>
    </xf>
    <xf numFmtId="0" fontId="8" fillId="0" borderId="0" xfId="6" applyFont="1" applyFill="1" applyBorder="1"/>
    <xf numFmtId="0" fontId="16" fillId="0" borderId="0" xfId="6" applyFont="1" applyFill="1" applyAlignment="1">
      <alignment horizontal="left"/>
    </xf>
    <xf numFmtId="176" fontId="9" fillId="0" borderId="0" xfId="16" applyNumberFormat="1" applyFont="1" applyFill="1" applyBorder="1" applyAlignment="1">
      <alignment horizontal="left"/>
    </xf>
    <xf numFmtId="165" fontId="9" fillId="0" borderId="0" xfId="6" applyNumberFormat="1" applyFont="1" applyFill="1" applyBorder="1"/>
    <xf numFmtId="0" fontId="11" fillId="0" borderId="0" xfId="6" applyFont="1" applyFill="1" applyBorder="1" applyAlignment="1">
      <alignment horizontal="right"/>
    </xf>
    <xf numFmtId="0" fontId="9" fillId="0" borderId="5" xfId="6" applyFont="1" applyFill="1" applyBorder="1" applyAlignment="1">
      <alignment horizontal="left"/>
    </xf>
    <xf numFmtId="1" fontId="8" fillId="0" borderId="5" xfId="6" applyNumberFormat="1" applyFont="1" applyFill="1" applyBorder="1" applyAlignment="1">
      <alignment horizontal="right"/>
    </xf>
    <xf numFmtId="1" fontId="8" fillId="0" borderId="5" xfId="16" applyNumberFormat="1" applyFont="1" applyFill="1" applyBorder="1" applyAlignment="1">
      <alignment horizontal="right"/>
    </xf>
    <xf numFmtId="176" fontId="9" fillId="0" borderId="0" xfId="16" applyNumberFormat="1" applyFont="1" applyFill="1" applyBorder="1" applyAlignment="1">
      <alignment horizontal="right"/>
    </xf>
    <xf numFmtId="176" fontId="57" fillId="0" borderId="0" xfId="16" applyNumberFormat="1" applyFont="1" applyFill="1" applyBorder="1" applyAlignment="1">
      <alignment horizontal="right"/>
    </xf>
    <xf numFmtId="1" fontId="9" fillId="0" borderId="0" xfId="16" applyNumberFormat="1" applyFont="1" applyFill="1" applyBorder="1" applyAlignment="1">
      <alignment horizontal="right"/>
    </xf>
    <xf numFmtId="0" fontId="9" fillId="0" borderId="4" xfId="6" applyFont="1" applyFill="1" applyBorder="1" applyAlignment="1">
      <alignment horizontal="left"/>
    </xf>
    <xf numFmtId="176" fontId="9" fillId="0" borderId="4" xfId="16" applyNumberFormat="1" applyFont="1" applyFill="1" applyBorder="1" applyAlignment="1">
      <alignment horizontal="right"/>
    </xf>
    <xf numFmtId="0" fontId="33" fillId="0" borderId="0" xfId="6" applyFont="1" applyFill="1" applyBorder="1" applyAlignment="1">
      <alignment horizontal="right"/>
    </xf>
    <xf numFmtId="0" fontId="16" fillId="0" borderId="0" xfId="6" applyFont="1" applyFill="1" applyBorder="1" applyAlignment="1">
      <alignment horizontal="right"/>
    </xf>
    <xf numFmtId="0" fontId="6" fillId="0" borderId="0" xfId="6" applyFont="1" applyFill="1" applyAlignment="1" applyProtection="1">
      <alignment vertical="top"/>
    </xf>
    <xf numFmtId="0" fontId="1" fillId="0" borderId="0" xfId="6" applyFont="1" applyFill="1" applyAlignment="1" applyProtection="1">
      <alignment vertical="top"/>
    </xf>
    <xf numFmtId="0" fontId="2" fillId="0" borderId="0" xfId="6" applyFont="1" applyFill="1" applyProtection="1"/>
    <xf numFmtId="0" fontId="2" fillId="0" borderId="0" xfId="6" applyFont="1" applyFill="1" applyProtection="1">
      <protection locked="0"/>
    </xf>
    <xf numFmtId="0" fontId="22" fillId="0" borderId="0" xfId="6" applyFont="1" applyFill="1" applyBorder="1" applyAlignment="1" applyProtection="1">
      <alignment vertical="top" wrapText="1"/>
    </xf>
    <xf numFmtId="0" fontId="2" fillId="0" borderId="0" xfId="6" applyFont="1" applyFill="1" applyBorder="1" applyProtection="1">
      <protection locked="0"/>
    </xf>
    <xf numFmtId="0" fontId="13" fillId="0" borderId="0" xfId="6" applyFont="1" applyFill="1" applyProtection="1"/>
    <xf numFmtId="0" fontId="14" fillId="0" borderId="0" xfId="6" applyFont="1" applyFill="1" applyProtection="1"/>
    <xf numFmtId="49" fontId="12" fillId="0" borderId="5" xfId="6" applyNumberFormat="1" applyFont="1" applyFill="1" applyBorder="1" applyAlignment="1" applyProtection="1">
      <alignment horizontal="right"/>
    </xf>
    <xf numFmtId="173" fontId="15" fillId="0" borderId="0" xfId="19" applyNumberFormat="1" applyFont="1" applyFill="1" applyBorder="1" applyProtection="1"/>
    <xf numFmtId="173" fontId="15" fillId="0" borderId="4" xfId="19" applyNumberFormat="1" applyFont="1" applyFill="1" applyBorder="1" applyProtection="1"/>
    <xf numFmtId="173" fontId="15" fillId="0" borderId="4" xfId="2" applyNumberFormat="1" applyFont="1" applyFill="1" applyBorder="1" applyProtection="1"/>
    <xf numFmtId="0" fontId="12" fillId="0" borderId="0" xfId="6" applyFont="1" applyFill="1" applyBorder="1" applyAlignment="1" applyProtection="1">
      <alignment wrapText="1"/>
    </xf>
    <xf numFmtId="173" fontId="12" fillId="0" borderId="0" xfId="19" applyNumberFormat="1" applyFont="1" applyFill="1" applyBorder="1" applyProtection="1"/>
    <xf numFmtId="0" fontId="15" fillId="0" borderId="0" xfId="6" applyFont="1" applyFill="1" applyBorder="1" applyAlignment="1" applyProtection="1">
      <alignment wrapText="1"/>
    </xf>
    <xf numFmtId="173" fontId="14" fillId="0" borderId="0" xfId="19" applyNumberFormat="1" applyFont="1" applyFill="1" applyBorder="1" applyProtection="1"/>
    <xf numFmtId="173" fontId="9" fillId="0" borderId="0" xfId="19" applyNumberFormat="1" applyFont="1" applyFill="1" applyBorder="1" applyProtection="1"/>
    <xf numFmtId="0" fontId="14" fillId="0" borderId="0" xfId="6" applyFont="1" applyFill="1" applyBorder="1" applyProtection="1"/>
    <xf numFmtId="0" fontId="14" fillId="0" borderId="0" xfId="6" applyFont="1" applyFill="1" applyBorder="1" applyAlignment="1" applyProtection="1">
      <alignment wrapText="1"/>
    </xf>
    <xf numFmtId="0" fontId="6" fillId="0" borderId="0" xfId="6" applyFont="1" applyFill="1" applyAlignment="1" applyProtection="1">
      <alignment vertical="top" wrapText="1"/>
    </xf>
    <xf numFmtId="0" fontId="1" fillId="0" borderId="0" xfId="6" applyFont="1" applyFill="1" applyAlignment="1" applyProtection="1">
      <alignment wrapText="1"/>
      <protection locked="0"/>
    </xf>
    <xf numFmtId="49" fontId="8" fillId="0" borderId="5" xfId="6" applyNumberFormat="1" applyFont="1" applyFill="1" applyBorder="1" applyAlignment="1" applyProtection="1">
      <alignment horizontal="right"/>
    </xf>
    <xf numFmtId="49" fontId="13" fillId="0" borderId="5" xfId="6" applyNumberFormat="1" applyFont="1" applyFill="1" applyBorder="1" applyAlignment="1" applyProtection="1">
      <alignment horizontal="right"/>
    </xf>
    <xf numFmtId="173" fontId="8" fillId="0" borderId="0" xfId="19" applyNumberFormat="1" applyFont="1" applyFill="1" applyBorder="1" applyProtection="1"/>
    <xf numFmtId="0" fontId="9" fillId="0" borderId="5" xfId="6" applyFont="1" applyFill="1" applyBorder="1" applyAlignment="1" applyProtection="1">
      <alignment wrapText="1"/>
    </xf>
    <xf numFmtId="0" fontId="6" fillId="0" borderId="0" xfId="9" applyFont="1" applyFill="1" applyAlignment="1" applyProtection="1">
      <alignment vertical="top"/>
    </xf>
    <xf numFmtId="0" fontId="5" fillId="0" borderId="0" xfId="9" applyFill="1" applyAlignment="1" applyProtection="1">
      <alignment vertical="top"/>
    </xf>
    <xf numFmtId="0" fontId="5" fillId="0" borderId="0" xfId="9" applyFont="1" applyFill="1" applyProtection="1"/>
    <xf numFmtId="0" fontId="5" fillId="0" borderId="0" xfId="9" applyFill="1" applyProtection="1"/>
    <xf numFmtId="0" fontId="8" fillId="0" borderId="4" xfId="9" applyFont="1" applyFill="1" applyBorder="1" applyAlignment="1" applyProtection="1"/>
    <xf numFmtId="0" fontId="5" fillId="0" borderId="4" xfId="9" applyFill="1" applyBorder="1" applyProtection="1"/>
    <xf numFmtId="0" fontId="9" fillId="0" borderId="0" xfId="9" applyFont="1" applyFill="1" applyBorder="1" applyAlignment="1" applyProtection="1">
      <alignment wrapText="1"/>
    </xf>
    <xf numFmtId="0" fontId="9" fillId="0" borderId="0" xfId="9" applyFont="1" applyFill="1" applyBorder="1" applyProtection="1"/>
    <xf numFmtId="165" fontId="9" fillId="0" borderId="0" xfId="9" applyNumberFormat="1" applyFont="1" applyFill="1" applyBorder="1" applyAlignment="1" applyProtection="1">
      <alignment horizontal="right"/>
    </xf>
    <xf numFmtId="0" fontId="9" fillId="0" borderId="0" xfId="9" applyFont="1" applyFill="1" applyBorder="1" applyAlignment="1" applyProtection="1">
      <alignment horizontal="right"/>
    </xf>
    <xf numFmtId="0" fontId="9" fillId="0" borderId="0" xfId="9" applyFont="1" applyFill="1" applyBorder="1" applyAlignment="1" applyProtection="1">
      <alignment horizontal="right" shrinkToFit="1"/>
    </xf>
    <xf numFmtId="165" fontId="9" fillId="0" borderId="0" xfId="9" applyNumberFormat="1" applyFont="1" applyFill="1" applyBorder="1" applyAlignment="1" applyProtection="1">
      <alignment horizontal="right" shrinkToFit="1"/>
    </xf>
    <xf numFmtId="0" fontId="8" fillId="0" borderId="0" xfId="9" applyFont="1" applyFill="1" applyBorder="1" applyAlignment="1" applyProtection="1"/>
    <xf numFmtId="0" fontId="8" fillId="0" borderId="0" xfId="9" applyFont="1" applyFill="1" applyBorder="1" applyProtection="1"/>
    <xf numFmtId="165" fontId="8" fillId="0" borderId="0" xfId="17" applyNumberFormat="1" applyFont="1" applyFill="1" applyBorder="1" applyAlignment="1" applyProtection="1">
      <alignment wrapText="1"/>
    </xf>
    <xf numFmtId="165" fontId="8" fillId="0" borderId="0" xfId="9" applyNumberFormat="1" applyFont="1" applyFill="1" applyBorder="1" applyAlignment="1" applyProtection="1">
      <alignment wrapText="1"/>
    </xf>
    <xf numFmtId="0" fontId="6" fillId="0" borderId="0" xfId="17" applyFont="1" applyFill="1" applyAlignment="1" applyProtection="1">
      <alignment vertical="top"/>
    </xf>
    <xf numFmtId="0" fontId="5" fillId="0" borderId="0" xfId="17" applyFill="1" applyAlignment="1" applyProtection="1">
      <alignment vertical="top"/>
    </xf>
    <xf numFmtId="0" fontId="8" fillId="0" borderId="4" xfId="17" applyFont="1" applyFill="1" applyBorder="1" applyAlignment="1" applyProtection="1"/>
    <xf numFmtId="0" fontId="8" fillId="0" borderId="4" xfId="17" applyFont="1" applyFill="1" applyBorder="1" applyProtection="1"/>
    <xf numFmtId="0" fontId="9" fillId="0" borderId="4" xfId="17" applyFont="1" applyFill="1" applyBorder="1" applyAlignment="1" applyProtection="1">
      <alignment horizontal="right"/>
    </xf>
    <xf numFmtId="165" fontId="9" fillId="0" borderId="4" xfId="17" applyNumberFormat="1" applyFont="1" applyFill="1" applyBorder="1" applyAlignment="1" applyProtection="1">
      <alignment horizontal="right"/>
    </xf>
    <xf numFmtId="0" fontId="9" fillId="0" borderId="4" xfId="17" applyFont="1" applyFill="1" applyBorder="1" applyAlignment="1" applyProtection="1">
      <alignment horizontal="right" shrinkToFit="1"/>
    </xf>
    <xf numFmtId="0" fontId="5" fillId="0" borderId="4" xfId="17" applyFont="1" applyFill="1" applyBorder="1" applyProtection="1"/>
    <xf numFmtId="0" fontId="5" fillId="0" borderId="0" xfId="17" applyFill="1" applyProtection="1"/>
    <xf numFmtId="0" fontId="8" fillId="0" borderId="0" xfId="17" applyFont="1" applyFill="1" applyBorder="1" applyAlignment="1" applyProtection="1"/>
    <xf numFmtId="0" fontId="61" fillId="0" borderId="0" xfId="17" applyFont="1" applyFill="1" applyAlignment="1" applyProtection="1">
      <alignment vertical="top"/>
    </xf>
    <xf numFmtId="0" fontId="22" fillId="0" borderId="0" xfId="17" applyFont="1" applyFill="1" applyAlignment="1" applyProtection="1">
      <alignment vertical="top"/>
    </xf>
    <xf numFmtId="0" fontId="22" fillId="0" borderId="0" xfId="17" applyFont="1" applyFill="1" applyProtection="1"/>
    <xf numFmtId="0" fontId="8" fillId="0" borderId="0" xfId="17" applyFont="1" applyFill="1" applyBorder="1" applyAlignment="1" applyProtection="1">
      <alignment wrapText="1"/>
    </xf>
    <xf numFmtId="165" fontId="9" fillId="0" borderId="0" xfId="17" applyNumberFormat="1" applyFont="1" applyFill="1" applyBorder="1" applyAlignment="1" applyProtection="1">
      <alignment horizontal="right"/>
    </xf>
    <xf numFmtId="0" fontId="8" fillId="0" borderId="0" xfId="17" applyFont="1" applyFill="1" applyBorder="1" applyProtection="1"/>
    <xf numFmtId="0" fontId="9" fillId="0" borderId="0" xfId="17" applyFont="1" applyFill="1" applyBorder="1" applyAlignment="1" applyProtection="1">
      <alignment horizontal="right"/>
    </xf>
    <xf numFmtId="0" fontId="9" fillId="0" borderId="0" xfId="17" applyFont="1" applyFill="1" applyBorder="1" applyAlignment="1" applyProtection="1">
      <alignment horizontal="right" shrinkToFit="1"/>
    </xf>
    <xf numFmtId="0" fontId="5" fillId="0" borderId="0" xfId="17" applyFill="1" applyBorder="1" applyProtection="1"/>
    <xf numFmtId="0" fontId="8" fillId="0" borderId="0" xfId="9" applyFont="1" applyFill="1" applyBorder="1" applyProtection="1">
      <protection locked="0"/>
    </xf>
    <xf numFmtId="0" fontId="8" fillId="0" borderId="0" xfId="9" applyFont="1" applyFill="1" applyBorder="1" applyAlignment="1" applyProtection="1">
      <alignment wrapText="1"/>
    </xf>
    <xf numFmtId="165" fontId="8" fillId="0" borderId="0" xfId="9" applyNumberFormat="1" applyFont="1" applyFill="1" applyBorder="1" applyAlignment="1" applyProtection="1">
      <alignment horizontal="right"/>
    </xf>
    <xf numFmtId="0" fontId="6" fillId="0" borderId="0" xfId="9" applyFont="1" applyFill="1" applyAlignment="1" applyProtection="1">
      <alignment vertical="top" wrapText="1"/>
    </xf>
    <xf numFmtId="0" fontId="5" fillId="0" borderId="0" xfId="9" applyFill="1" applyProtection="1">
      <protection locked="0"/>
    </xf>
    <xf numFmtId="165" fontId="9" fillId="0" borderId="6" xfId="9" applyNumberFormat="1" applyFont="1" applyFill="1" applyBorder="1" applyAlignment="1" applyProtection="1">
      <alignment horizontal="right" shrinkToFit="1"/>
    </xf>
    <xf numFmtId="0" fontId="9" fillId="0" borderId="24" xfId="9" applyFont="1" applyFill="1" applyBorder="1" applyProtection="1"/>
    <xf numFmtId="0" fontId="8" fillId="0" borderId="24" xfId="17" quotePrefix="1" applyFont="1" applyFill="1" applyBorder="1" applyAlignment="1" applyProtection="1">
      <alignment horizontal="center"/>
    </xf>
    <xf numFmtId="0" fontId="8" fillId="0" borderId="16" xfId="17" quotePrefix="1" applyFont="1" applyFill="1" applyBorder="1" applyAlignment="1" applyProtection="1">
      <alignment horizontal="center"/>
    </xf>
    <xf numFmtId="0" fontId="8" fillId="0" borderId="24" xfId="17" applyFont="1" applyFill="1" applyBorder="1" applyAlignment="1" applyProtection="1">
      <alignment horizontal="center"/>
    </xf>
    <xf numFmtId="1" fontId="8" fillId="0" borderId="18" xfId="17" applyNumberFormat="1" applyFont="1" applyFill="1" applyBorder="1" applyAlignment="1" applyProtection="1">
      <alignment horizontal="center"/>
    </xf>
    <xf numFmtId="1" fontId="8" fillId="0" borderId="24" xfId="17" applyNumberFormat="1" applyFont="1" applyFill="1" applyBorder="1" applyAlignment="1" applyProtection="1">
      <alignment horizontal="center"/>
    </xf>
    <xf numFmtId="0" fontId="9" fillId="0" borderId="24" xfId="9" applyFont="1" applyFill="1" applyBorder="1" applyAlignment="1" applyProtection="1">
      <alignment wrapText="1"/>
    </xf>
    <xf numFmtId="165" fontId="9" fillId="0" borderId="24" xfId="17" applyNumberFormat="1" applyFont="1" applyFill="1" applyBorder="1" applyAlignment="1" applyProtection="1">
      <alignment horizontal="right"/>
    </xf>
    <xf numFmtId="165" fontId="16" fillId="0" borderId="0" xfId="9" applyNumberFormat="1" applyFont="1" applyFill="1" applyProtection="1"/>
    <xf numFmtId="0" fontId="8" fillId="0" borderId="24" xfId="9" quotePrefix="1" applyFont="1" applyFill="1" applyBorder="1" applyAlignment="1" applyProtection="1">
      <alignment horizontal="center"/>
    </xf>
    <xf numFmtId="0" fontId="8" fillId="0" borderId="24" xfId="9" applyFont="1" applyFill="1" applyBorder="1" applyAlignment="1" applyProtection="1">
      <alignment horizontal="center"/>
    </xf>
    <xf numFmtId="1" fontId="8" fillId="0" borderId="18" xfId="9" applyNumberFormat="1" applyFont="1" applyFill="1" applyBorder="1" applyAlignment="1" applyProtection="1">
      <alignment horizontal="center"/>
    </xf>
    <xf numFmtId="1" fontId="8" fillId="0" borderId="24" xfId="9" applyNumberFormat="1" applyFont="1" applyFill="1" applyBorder="1" applyAlignment="1" applyProtection="1">
      <alignment horizontal="center"/>
    </xf>
    <xf numFmtId="165" fontId="9" fillId="0" borderId="24" xfId="9" applyNumberFormat="1" applyFont="1" applyFill="1" applyBorder="1" applyProtection="1"/>
    <xf numFmtId="0" fontId="24" fillId="0" borderId="0" xfId="9" applyFont="1" applyFill="1" applyAlignment="1" applyProtection="1">
      <alignment vertical="top"/>
    </xf>
    <xf numFmtId="0" fontId="8" fillId="0" borderId="24" xfId="9" applyFont="1" applyFill="1" applyBorder="1" applyAlignment="1" applyProtection="1">
      <alignment wrapText="1"/>
    </xf>
    <xf numFmtId="165" fontId="8" fillId="0" borderId="24" xfId="17" applyNumberFormat="1" applyFont="1" applyFill="1" applyBorder="1" applyAlignment="1" applyProtection="1">
      <alignment horizontal="right"/>
    </xf>
    <xf numFmtId="165" fontId="8" fillId="0" borderId="24" xfId="9" applyNumberFormat="1" applyFont="1" applyFill="1" applyBorder="1" applyProtection="1"/>
    <xf numFmtId="0" fontId="24" fillId="0" borderId="0" xfId="9" applyFont="1" applyFill="1" applyProtection="1"/>
    <xf numFmtId="0" fontId="9" fillId="0" borderId="0" xfId="9" applyFont="1" applyFill="1" applyBorder="1" applyProtection="1">
      <protection locked="0"/>
    </xf>
    <xf numFmtId="181" fontId="9" fillId="0" borderId="0" xfId="17" applyNumberFormat="1" applyFont="1" applyFill="1" applyBorder="1" applyAlignment="1">
      <alignment horizontal="right"/>
    </xf>
    <xf numFmtId="0" fontId="5" fillId="0" borderId="0" xfId="9" applyFill="1" applyBorder="1" applyProtection="1">
      <protection locked="0"/>
    </xf>
    <xf numFmtId="0" fontId="5" fillId="0" borderId="0" xfId="9" applyFill="1" applyBorder="1" applyProtection="1"/>
    <xf numFmtId="0" fontId="9" fillId="0" borderId="5" xfId="9" applyFont="1" applyFill="1" applyBorder="1" applyAlignment="1" applyProtection="1">
      <alignment wrapText="1"/>
    </xf>
    <xf numFmtId="0" fontId="8" fillId="0" borderId="42" xfId="17" quotePrefix="1" applyFont="1" applyFill="1" applyBorder="1" applyAlignment="1" applyProtection="1">
      <alignment horizontal="center"/>
      <protection locked="0"/>
    </xf>
    <xf numFmtId="0" fontId="8" fillId="0" borderId="6" xfId="17" applyFont="1" applyFill="1" applyBorder="1" applyAlignment="1" applyProtection="1">
      <alignment horizontal="right"/>
      <protection locked="0"/>
    </xf>
    <xf numFmtId="0" fontId="9" fillId="0" borderId="0" xfId="9" applyFont="1" applyFill="1" applyBorder="1" applyAlignment="1" applyProtection="1">
      <alignment vertical="top" wrapText="1"/>
    </xf>
    <xf numFmtId="176" fontId="8" fillId="0" borderId="4" xfId="1" applyNumberFormat="1" applyFont="1" applyFill="1" applyBorder="1" applyAlignment="1" applyProtection="1">
      <alignment wrapText="1"/>
    </xf>
    <xf numFmtId="181" fontId="8" fillId="0" borderId="0" xfId="17" applyNumberFormat="1" applyFont="1" applyFill="1" applyBorder="1" applyAlignment="1">
      <alignment horizontal="right"/>
    </xf>
    <xf numFmtId="181" fontId="8" fillId="0" borderId="0" xfId="17" applyNumberFormat="1" applyFont="1" applyFill="1" applyBorder="1" applyAlignment="1" applyProtection="1">
      <alignment horizontal="right"/>
    </xf>
    <xf numFmtId="181" fontId="8" fillId="0" borderId="5" xfId="17" applyNumberFormat="1" applyFont="1" applyFill="1" applyBorder="1" applyAlignment="1" applyProtection="1">
      <alignment horizontal="right"/>
    </xf>
    <xf numFmtId="0" fontId="5" fillId="0" borderId="5" xfId="17" applyFill="1" applyBorder="1" applyProtection="1">
      <protection locked="0"/>
    </xf>
    <xf numFmtId="0" fontId="5" fillId="0" borderId="5" xfId="9" applyFill="1" applyBorder="1" applyProtection="1">
      <protection locked="0"/>
    </xf>
    <xf numFmtId="184" fontId="9" fillId="0" borderId="6" xfId="17" applyNumberFormat="1" applyFont="1" applyFill="1" applyBorder="1" applyAlignment="1" applyProtection="1">
      <alignment horizontal="right"/>
    </xf>
    <xf numFmtId="184" fontId="9" fillId="0" borderId="0" xfId="17" applyNumberFormat="1" applyFont="1" applyFill="1" applyBorder="1" applyAlignment="1" applyProtection="1">
      <alignment horizontal="right"/>
    </xf>
    <xf numFmtId="0" fontId="5" fillId="0" borderId="0" xfId="17" applyFill="1" applyBorder="1" applyProtection="1">
      <protection locked="0"/>
    </xf>
    <xf numFmtId="0" fontId="5" fillId="0" borderId="0" xfId="17" applyFill="1" applyProtection="1">
      <protection locked="0"/>
    </xf>
    <xf numFmtId="0" fontId="9" fillId="0" borderId="0" xfId="17" applyFont="1" applyFill="1" applyBorder="1" applyAlignment="1" applyProtection="1">
      <alignment vertical="top" wrapText="1"/>
    </xf>
    <xf numFmtId="0" fontId="24" fillId="0" borderId="0" xfId="9" applyFont="1" applyFill="1" applyProtection="1">
      <protection locked="0"/>
    </xf>
    <xf numFmtId="0" fontId="9" fillId="0" borderId="0" xfId="9" applyFont="1" applyFill="1" applyProtection="1"/>
    <xf numFmtId="0" fontId="18" fillId="0" borderId="0" xfId="9" applyFont="1" applyFill="1" applyProtection="1"/>
    <xf numFmtId="0" fontId="9" fillId="0" borderId="0" xfId="17" applyFont="1" applyFill="1"/>
    <xf numFmtId="0" fontId="9" fillId="0" borderId="5" xfId="17" applyFont="1" applyFill="1" applyBorder="1" applyAlignment="1" applyProtection="1">
      <alignment wrapText="1"/>
    </xf>
    <xf numFmtId="0" fontId="8" fillId="0" borderId="0" xfId="17" applyFont="1" applyFill="1" applyBorder="1" applyProtection="1">
      <protection locked="0"/>
    </xf>
    <xf numFmtId="181" fontId="9" fillId="0" borderId="6" xfId="17" applyNumberFormat="1" applyFont="1" applyFill="1" applyBorder="1" applyAlignment="1" applyProtection="1">
      <alignment horizontal="right"/>
    </xf>
    <xf numFmtId="0" fontId="8" fillId="0" borderId="17" xfId="17" applyFont="1" applyFill="1" applyBorder="1" applyAlignment="1" applyProtection="1">
      <alignment vertical="top" wrapText="1"/>
    </xf>
    <xf numFmtId="184" fontId="8" fillId="0" borderId="44" xfId="17" applyNumberFormat="1" applyFont="1" applyFill="1" applyBorder="1" applyAlignment="1" applyProtection="1">
      <alignment horizontal="right"/>
    </xf>
    <xf numFmtId="0" fontId="9" fillId="0" borderId="0" xfId="9" applyFont="1" applyFill="1"/>
    <xf numFmtId="0" fontId="8" fillId="0" borderId="42" xfId="9" quotePrefix="1" applyFont="1" applyFill="1" applyBorder="1" applyAlignment="1" applyProtection="1">
      <alignment horizontal="right"/>
      <protection locked="0"/>
    </xf>
    <xf numFmtId="0" fontId="8" fillId="0" borderId="5" xfId="9" quotePrefix="1" applyFont="1" applyFill="1" applyBorder="1" applyAlignment="1" applyProtection="1">
      <alignment horizontal="center"/>
      <protection locked="0"/>
    </xf>
    <xf numFmtId="0" fontId="8" fillId="0" borderId="42" xfId="9" applyFont="1" applyFill="1" applyBorder="1" applyAlignment="1" applyProtection="1">
      <alignment horizontal="center"/>
      <protection locked="0"/>
    </xf>
    <xf numFmtId="0" fontId="8" fillId="0" borderId="46" xfId="9" applyFont="1" applyFill="1" applyBorder="1" applyAlignment="1" applyProtection="1">
      <alignment horizontal="center"/>
      <protection locked="0"/>
    </xf>
    <xf numFmtId="0" fontId="8" fillId="0" borderId="0" xfId="9" applyFont="1" applyFill="1" applyBorder="1" applyAlignment="1" applyProtection="1">
      <alignment horizontal="center"/>
      <protection locked="0"/>
    </xf>
    <xf numFmtId="0" fontId="8" fillId="0" borderId="6" xfId="9" applyFont="1" applyFill="1" applyBorder="1" applyAlignment="1" applyProtection="1">
      <alignment horizontal="right"/>
      <protection locked="0"/>
    </xf>
    <xf numFmtId="0" fontId="8" fillId="0" borderId="45" xfId="9" applyFont="1" applyFill="1" applyBorder="1" applyAlignment="1" applyProtection="1">
      <alignment horizontal="right"/>
      <protection locked="0"/>
    </xf>
    <xf numFmtId="184" fontId="9" fillId="0" borderId="6" xfId="9" applyNumberFormat="1" applyFont="1" applyFill="1" applyBorder="1" applyAlignment="1" applyProtection="1">
      <alignment horizontal="right"/>
    </xf>
    <xf numFmtId="184" fontId="9" fillId="0" borderId="45" xfId="9" applyNumberFormat="1" applyFont="1" applyFill="1" applyBorder="1" applyAlignment="1" applyProtection="1">
      <alignment horizontal="right"/>
    </xf>
    <xf numFmtId="0" fontId="8" fillId="0" borderId="17" xfId="9" applyFont="1" applyFill="1" applyBorder="1" applyAlignment="1" applyProtection="1">
      <alignment vertical="top" wrapText="1"/>
    </xf>
    <xf numFmtId="184" fontId="8" fillId="0" borderId="44" xfId="9" applyNumberFormat="1" applyFont="1" applyFill="1" applyBorder="1" applyAlignment="1" applyProtection="1">
      <alignment horizontal="right"/>
    </xf>
    <xf numFmtId="184" fontId="8" fillId="0" borderId="48" xfId="9" applyNumberFormat="1" applyFont="1" applyFill="1" applyBorder="1" applyAlignment="1" applyProtection="1">
      <alignment horizontal="right"/>
    </xf>
    <xf numFmtId="0" fontId="8" fillId="0" borderId="7" xfId="9" applyFont="1" applyFill="1" applyBorder="1" applyProtection="1">
      <protection locked="0"/>
    </xf>
    <xf numFmtId="184" fontId="5" fillId="0" borderId="0" xfId="9" applyNumberFormat="1" applyFill="1" applyProtection="1">
      <protection locked="0"/>
    </xf>
    <xf numFmtId="0" fontId="37" fillId="0" borderId="0" xfId="9" applyFont="1" applyFill="1" applyAlignment="1" applyProtection="1">
      <alignment vertical="top"/>
    </xf>
    <xf numFmtId="0" fontId="64" fillId="0" borderId="0" xfId="9" applyFont="1" applyFill="1" applyAlignment="1" applyProtection="1">
      <alignment vertical="top"/>
    </xf>
    <xf numFmtId="0" fontId="64" fillId="0" borderId="0" xfId="9" applyFont="1" applyFill="1" applyProtection="1">
      <protection locked="0"/>
    </xf>
    <xf numFmtId="0" fontId="37" fillId="0" borderId="0" xfId="9" applyFont="1" applyFill="1" applyBorder="1" applyAlignment="1" applyProtection="1">
      <alignment vertical="top"/>
    </xf>
    <xf numFmtId="0" fontId="64" fillId="0" borderId="0" xfId="9" applyFont="1" applyFill="1" applyBorder="1" applyAlignment="1" applyProtection="1">
      <alignment vertical="top"/>
    </xf>
    <xf numFmtId="0" fontId="65" fillId="0" borderId="0" xfId="9" applyFont="1" applyFill="1" applyBorder="1" applyAlignment="1" applyProtection="1">
      <alignment wrapText="1"/>
    </xf>
    <xf numFmtId="0" fontId="66" fillId="0" borderId="0" xfId="17" quotePrefix="1" applyFont="1" applyFill="1" applyBorder="1" applyAlignment="1" applyProtection="1">
      <alignment horizontal="right"/>
      <protection locked="0"/>
    </xf>
    <xf numFmtId="0" fontId="66" fillId="0" borderId="0" xfId="17" quotePrefix="1" applyFont="1" applyFill="1" applyBorder="1" applyAlignment="1" applyProtection="1">
      <alignment horizontal="center"/>
      <protection locked="0"/>
    </xf>
    <xf numFmtId="0" fontId="66" fillId="0" borderId="0" xfId="17" applyFont="1" applyFill="1" applyBorder="1" applyAlignment="1" applyProtection="1">
      <alignment horizontal="center"/>
      <protection locked="0"/>
    </xf>
    <xf numFmtId="0" fontId="64" fillId="0" borderId="0" xfId="9" applyFont="1" applyFill="1" applyBorder="1" applyProtection="1">
      <protection locked="0"/>
    </xf>
    <xf numFmtId="0" fontId="66" fillId="0" borderId="0" xfId="9" applyFont="1" applyFill="1" applyBorder="1" applyProtection="1">
      <protection locked="0"/>
    </xf>
    <xf numFmtId="0" fontId="66" fillId="0" borderId="0" xfId="17" applyFont="1" applyFill="1" applyBorder="1" applyAlignment="1" applyProtection="1">
      <alignment horizontal="right"/>
      <protection locked="0"/>
    </xf>
    <xf numFmtId="184" fontId="65" fillId="0" borderId="0" xfId="17" applyNumberFormat="1" applyFont="1" applyFill="1" applyBorder="1" applyAlignment="1" applyProtection="1">
      <alignment horizontal="right"/>
    </xf>
    <xf numFmtId="0" fontId="6" fillId="0" borderId="0" xfId="9" applyFont="1" applyFill="1" applyBorder="1" applyAlignment="1" applyProtection="1">
      <alignment vertical="top"/>
    </xf>
    <xf numFmtId="0" fontId="5" fillId="0" borderId="0" xfId="9" applyFill="1" applyBorder="1" applyAlignment="1" applyProtection="1">
      <alignment vertical="top"/>
    </xf>
    <xf numFmtId="184" fontId="8" fillId="0" borderId="0" xfId="17" applyNumberFormat="1" applyFont="1" applyFill="1" applyBorder="1" applyAlignment="1" applyProtection="1">
      <alignment horizontal="right"/>
    </xf>
    <xf numFmtId="0" fontId="1" fillId="0" borderId="0" xfId="6" applyFont="1" applyFill="1" applyBorder="1" applyAlignment="1" applyProtection="1">
      <alignment vertical="top" wrapText="1"/>
    </xf>
    <xf numFmtId="49" fontId="8" fillId="0" borderId="0" xfId="6" applyNumberFormat="1" applyFont="1" applyFill="1" applyAlignment="1" applyProtection="1">
      <alignment horizontal="right"/>
    </xf>
    <xf numFmtId="49" fontId="8" fillId="0" borderId="42" xfId="6" applyNumberFormat="1" applyFont="1" applyFill="1" applyBorder="1" applyAlignment="1" applyProtection="1">
      <alignment horizontal="right"/>
    </xf>
    <xf numFmtId="186" fontId="9" fillId="0" borderId="0" xfId="6" applyNumberFormat="1" applyFont="1" applyFill="1" applyProtection="1"/>
    <xf numFmtId="176" fontId="9" fillId="0" borderId="0" xfId="16" applyNumberFormat="1" applyFont="1" applyFill="1" applyBorder="1"/>
    <xf numFmtId="176" fontId="9" fillId="0" borderId="0" xfId="16" applyNumberFormat="1" applyFont="1" applyFill="1" applyProtection="1">
      <protection locked="0"/>
    </xf>
    <xf numFmtId="176" fontId="9" fillId="0" borderId="6" xfId="16" applyNumberFormat="1" applyFont="1" applyFill="1" applyBorder="1" applyProtection="1">
      <protection locked="0"/>
    </xf>
    <xf numFmtId="186" fontId="9" fillId="0" borderId="0" xfId="6" applyNumberFormat="1" applyFont="1" applyFill="1" applyBorder="1" applyProtection="1"/>
    <xf numFmtId="176" fontId="9" fillId="0" borderId="13" xfId="16" applyNumberFormat="1" applyFont="1" applyFill="1" applyBorder="1" applyProtection="1">
      <protection locked="0"/>
    </xf>
    <xf numFmtId="186" fontId="8" fillId="0" borderId="10" xfId="6" applyNumberFormat="1" applyFont="1" applyFill="1" applyBorder="1" applyProtection="1"/>
    <xf numFmtId="176" fontId="8" fillId="0" borderId="10" xfId="16" applyNumberFormat="1" applyFont="1" applyFill="1" applyBorder="1" applyProtection="1"/>
    <xf numFmtId="176" fontId="8" fillId="0" borderId="11" xfId="16" applyNumberFormat="1" applyFont="1" applyFill="1" applyBorder="1" applyProtection="1">
      <protection locked="0"/>
    </xf>
    <xf numFmtId="186" fontId="9" fillId="0" borderId="4" xfId="6" applyNumberFormat="1" applyFont="1" applyFill="1" applyBorder="1" applyProtection="1"/>
    <xf numFmtId="176" fontId="9" fillId="0" borderId="4" xfId="16" applyNumberFormat="1" applyFont="1" applyFill="1" applyBorder="1" applyProtection="1"/>
    <xf numFmtId="176" fontId="9" fillId="0" borderId="43" xfId="16" applyNumberFormat="1" applyFont="1" applyFill="1" applyBorder="1" applyProtection="1">
      <protection locked="0"/>
    </xf>
    <xf numFmtId="176" fontId="9" fillId="0" borderId="0" xfId="16" applyNumberFormat="1" applyFont="1" applyFill="1" applyBorder="1" applyProtection="1"/>
    <xf numFmtId="176" fontId="9" fillId="0" borderId="0" xfId="16" applyNumberFormat="1" applyFont="1" applyFill="1" applyBorder="1" applyProtection="1">
      <protection locked="0"/>
    </xf>
    <xf numFmtId="0" fontId="8" fillId="0" borderId="0" xfId="6" applyFont="1" applyFill="1" applyBorder="1" applyAlignment="1" applyProtection="1">
      <alignment horizontal="left"/>
    </xf>
    <xf numFmtId="0" fontId="8" fillId="0" borderId="29" xfId="6" applyFont="1" applyFill="1" applyBorder="1" applyAlignment="1" applyProtection="1">
      <alignment horizontal="right" vertical="top" wrapText="1"/>
      <protection locked="0"/>
    </xf>
    <xf numFmtId="169" fontId="9" fillId="0" borderId="0" xfId="6" applyNumberFormat="1" applyFont="1" applyFill="1" applyBorder="1" applyAlignment="1" applyProtection="1">
      <alignment horizontal="right"/>
      <protection locked="0"/>
    </xf>
    <xf numFmtId="0" fontId="9" fillId="0" borderId="0" xfId="6" applyFont="1" applyFill="1" applyBorder="1" applyAlignment="1" applyProtection="1">
      <alignment horizontal="right"/>
      <protection locked="0"/>
    </xf>
    <xf numFmtId="169" fontId="9" fillId="0" borderId="10" xfId="6" applyNumberFormat="1" applyFont="1" applyFill="1" applyBorder="1" applyAlignment="1" applyProtection="1">
      <alignment horizontal="right"/>
      <protection locked="0"/>
    </xf>
    <xf numFmtId="169" fontId="9" fillId="0" borderId="8" xfId="6" applyNumberFormat="1" applyFont="1" applyFill="1" applyBorder="1" applyAlignment="1" applyProtection="1">
      <alignment horizontal="right"/>
      <protection locked="0"/>
    </xf>
    <xf numFmtId="0" fontId="9" fillId="0" borderId="8" xfId="6" applyFont="1" applyFill="1" applyBorder="1" applyAlignment="1" applyProtection="1">
      <alignment horizontal="right"/>
      <protection locked="0"/>
    </xf>
    <xf numFmtId="169" fontId="9" fillId="0" borderId="0" xfId="6" applyNumberFormat="1" applyFont="1" applyFill="1" applyProtection="1">
      <protection locked="0"/>
    </xf>
    <xf numFmtId="0" fontId="8" fillId="0" borderId="29" xfId="6" applyFont="1" applyFill="1" applyBorder="1" applyAlignment="1" applyProtection="1">
      <alignment horizontal="right" vertical="center" wrapText="1"/>
      <protection locked="0"/>
    </xf>
    <xf numFmtId="187" fontId="9" fillId="0" borderId="0" xfId="6" applyNumberFormat="1" applyFont="1" applyFill="1" applyBorder="1" applyAlignment="1" applyProtection="1">
      <alignment horizontal="right"/>
      <protection locked="0"/>
    </xf>
    <xf numFmtId="187" fontId="9" fillId="0" borderId="8" xfId="6" applyNumberFormat="1" applyFont="1" applyFill="1" applyBorder="1" applyAlignment="1" applyProtection="1">
      <alignment horizontal="right"/>
      <protection locked="0"/>
    </xf>
    <xf numFmtId="169" fontId="9" fillId="0" borderId="14" xfId="6" applyNumberFormat="1" applyFont="1" applyFill="1" applyBorder="1" applyAlignment="1" applyProtection="1">
      <alignment horizontal="right"/>
      <protection locked="0"/>
    </xf>
    <xf numFmtId="0" fontId="8" fillId="0" borderId="4" xfId="6" applyFont="1" applyFill="1" applyBorder="1" applyAlignment="1" applyProtection="1">
      <alignment horizontal="right"/>
      <protection locked="0"/>
    </xf>
    <xf numFmtId="0" fontId="8" fillId="0" borderId="0" xfId="6" applyFont="1" applyFill="1" applyBorder="1" applyAlignment="1" applyProtection="1">
      <alignment horizontal="right"/>
      <protection locked="0"/>
    </xf>
    <xf numFmtId="0" fontId="5" fillId="0" borderId="0" xfId="6" applyFont="1" applyFill="1"/>
    <xf numFmtId="0" fontId="8" fillId="0" borderId="0" xfId="6" applyFont="1" applyFill="1" applyBorder="1" applyAlignment="1">
      <alignment horizontal="left" wrapText="1"/>
    </xf>
    <xf numFmtId="0" fontId="8" fillId="0" borderId="0" xfId="6" applyFont="1" applyFill="1" applyBorder="1" applyAlignment="1">
      <alignment horizontal="right" wrapText="1"/>
    </xf>
    <xf numFmtId="3" fontId="9" fillId="0" borderId="0" xfId="6" applyNumberFormat="1" applyFont="1" applyFill="1" applyBorder="1"/>
    <xf numFmtId="0" fontId="8" fillId="0" borderId="0" xfId="6" applyFont="1" applyFill="1" applyAlignment="1">
      <alignment horizontal="left"/>
    </xf>
    <xf numFmtId="0" fontId="9" fillId="0" borderId="0" xfId="6" applyFont="1" applyFill="1" applyAlignment="1">
      <alignment horizontal="right"/>
    </xf>
    <xf numFmtId="0" fontId="9" fillId="0" borderId="6" xfId="6" applyFont="1" applyFill="1" applyBorder="1"/>
    <xf numFmtId="0" fontId="9" fillId="0" borderId="5" xfId="6" applyFont="1" applyFill="1" applyBorder="1"/>
    <xf numFmtId="0" fontId="1" fillId="0" borderId="0" xfId="6" applyFont="1" applyFill="1" applyAlignment="1" applyProtection="1">
      <alignment vertical="top"/>
      <protection locked="0"/>
    </xf>
    <xf numFmtId="0" fontId="6" fillId="0" borderId="0" xfId="6" applyFont="1" applyFill="1" applyAlignment="1" applyProtection="1">
      <alignment vertical="top"/>
      <protection locked="0"/>
    </xf>
    <xf numFmtId="0" fontId="7" fillId="0" borderId="0" xfId="6" applyFont="1" applyFill="1" applyAlignment="1" applyProtection="1">
      <alignment wrapText="1"/>
      <protection locked="0"/>
    </xf>
    <xf numFmtId="188" fontId="1" fillId="0" borderId="0" xfId="6" applyNumberFormat="1" applyFont="1" applyFill="1" applyProtection="1">
      <protection locked="0"/>
    </xf>
    <xf numFmtId="189" fontId="9" fillId="0" borderId="4" xfId="6" applyNumberFormat="1" applyFont="1" applyFill="1" applyBorder="1" applyAlignment="1" applyProtection="1">
      <alignment horizontal="right"/>
      <protection locked="0"/>
    </xf>
    <xf numFmtId="188" fontId="9" fillId="0" borderId="4" xfId="6" applyNumberFormat="1" applyFont="1" applyFill="1" applyBorder="1" applyAlignment="1" applyProtection="1">
      <alignment horizontal="right"/>
      <protection locked="0"/>
    </xf>
    <xf numFmtId="188" fontId="9" fillId="0" borderId="0" xfId="6" applyNumberFormat="1" applyFont="1" applyFill="1" applyBorder="1" applyAlignment="1" applyProtection="1">
      <alignment vertical="top" wrapText="1"/>
    </xf>
    <xf numFmtId="188" fontId="6" fillId="0" borderId="0" xfId="6" applyNumberFormat="1" applyFont="1" applyFill="1" applyAlignment="1" applyProtection="1">
      <alignment vertical="top"/>
    </xf>
    <xf numFmtId="189" fontId="9" fillId="0" borderId="0" xfId="6" applyNumberFormat="1" applyFont="1" applyFill="1" applyBorder="1" applyAlignment="1" applyProtection="1">
      <alignment horizontal="right"/>
      <protection locked="0"/>
    </xf>
    <xf numFmtId="188" fontId="9" fillId="0" borderId="0" xfId="6" applyNumberFormat="1" applyFont="1" applyFill="1" applyBorder="1" applyAlignment="1" applyProtection="1">
      <alignment horizontal="right"/>
      <protection locked="0"/>
    </xf>
    <xf numFmtId="189" fontId="9" fillId="0" borderId="8" xfId="22" applyNumberFormat="1" applyFont="1" applyFill="1" applyBorder="1" applyAlignment="1" applyProtection="1">
      <alignment horizontal="right"/>
    </xf>
    <xf numFmtId="173" fontId="9" fillId="0" borderId="8" xfId="22" applyNumberFormat="1" applyFont="1" applyFill="1" applyBorder="1" applyProtection="1"/>
    <xf numFmtId="189" fontId="9" fillId="0" borderId="0" xfId="22" applyNumberFormat="1" applyFont="1" applyFill="1" applyBorder="1" applyAlignment="1" applyProtection="1">
      <alignment horizontal="right"/>
    </xf>
    <xf numFmtId="173" fontId="9" fillId="0" borderId="0" xfId="22" applyNumberFormat="1" applyFont="1" applyFill="1" applyBorder="1" applyProtection="1"/>
    <xf numFmtId="0" fontId="6" fillId="0" borderId="0" xfId="6" applyFont="1" applyFill="1" applyBorder="1" applyAlignment="1" applyProtection="1">
      <alignment vertical="top"/>
    </xf>
    <xf numFmtId="0" fontId="8" fillId="0" borderId="7" xfId="6" applyFont="1" applyFill="1" applyBorder="1" applyAlignment="1" applyProtection="1">
      <alignment horizontal="right"/>
    </xf>
    <xf numFmtId="0" fontId="8" fillId="0" borderId="6" xfId="6" applyFont="1" applyFill="1" applyBorder="1" applyAlignment="1" applyProtection="1">
      <alignment horizontal="right"/>
    </xf>
    <xf numFmtId="188" fontId="1" fillId="0" borderId="0" xfId="6" applyNumberFormat="1" applyFont="1" applyFill="1" applyBorder="1" applyAlignment="1" applyProtection="1">
      <alignment horizontal="right"/>
      <protection locked="0"/>
    </xf>
    <xf numFmtId="188" fontId="1" fillId="0" borderId="5" xfId="6" applyNumberFormat="1" applyFont="1" applyFill="1" applyBorder="1" applyAlignment="1" applyProtection="1">
      <alignment horizontal="right"/>
      <protection locked="0"/>
    </xf>
    <xf numFmtId="0" fontId="8" fillId="0" borderId="0" xfId="6" applyFont="1" applyFill="1" applyBorder="1" applyAlignment="1">
      <alignment horizontal="left"/>
    </xf>
    <xf numFmtId="188" fontId="9" fillId="0" borderId="0" xfId="6" applyNumberFormat="1" applyFont="1" applyFill="1" applyBorder="1" applyAlignment="1">
      <alignment horizontal="right"/>
    </xf>
    <xf numFmtId="188" fontId="9" fillId="0" borderId="0" xfId="6" applyNumberFormat="1" applyFont="1" applyFill="1" applyBorder="1" applyAlignment="1">
      <alignment horizontal="left"/>
    </xf>
    <xf numFmtId="188" fontId="1" fillId="0" borderId="0" xfId="6" applyNumberFormat="1" applyFont="1" applyFill="1" applyAlignment="1" applyProtection="1">
      <alignment vertical="top"/>
    </xf>
    <xf numFmtId="0" fontId="8" fillId="0" borderId="0" xfId="8" quotePrefix="1" applyNumberFormat="1" applyFont="1" applyFill="1" applyAlignment="1" applyProtection="1">
      <alignment horizontal="right"/>
    </xf>
    <xf numFmtId="0" fontId="8" fillId="0" borderId="5" xfId="6" applyFont="1" applyFill="1" applyBorder="1" applyAlignment="1"/>
    <xf numFmtId="0" fontId="8" fillId="0" borderId="0" xfId="17" applyFont="1" applyFill="1" applyBorder="1" applyAlignment="1" applyProtection="1">
      <alignment horizontal="left"/>
    </xf>
    <xf numFmtId="0" fontId="8" fillId="0" borderId="4" xfId="17" applyFont="1" applyFill="1" applyBorder="1" applyAlignment="1" applyProtection="1">
      <alignment horizontal="left"/>
    </xf>
    <xf numFmtId="17" fontId="9" fillId="0" borderId="9" xfId="17" applyNumberFormat="1" applyFont="1" applyFill="1" applyBorder="1" applyAlignment="1" applyProtection="1">
      <alignment horizontal="center" wrapText="1"/>
    </xf>
    <xf numFmtId="0" fontId="9" fillId="0" borderId="8" xfId="17" applyFont="1" applyFill="1" applyBorder="1" applyAlignment="1" applyProtection="1"/>
    <xf numFmtId="0" fontId="8" fillId="0" borderId="8" xfId="17" applyFont="1" applyFill="1" applyBorder="1" applyAlignment="1" applyProtection="1">
      <alignment horizontal="right"/>
    </xf>
    <xf numFmtId="0" fontId="9" fillId="0" borderId="8" xfId="17" applyFont="1" applyFill="1" applyBorder="1" applyAlignment="1" applyProtection="1">
      <alignment horizontal="right"/>
    </xf>
    <xf numFmtId="0" fontId="12" fillId="0" borderId="8" xfId="17" applyFont="1" applyFill="1" applyBorder="1" applyAlignment="1" applyProtection="1">
      <alignment horizontal="left"/>
    </xf>
    <xf numFmtId="0" fontId="8" fillId="0" borderId="8" xfId="17" applyFont="1" applyFill="1" applyBorder="1" applyAlignment="1" applyProtection="1">
      <alignment horizontal="left"/>
    </xf>
    <xf numFmtId="0" fontId="9" fillId="0" borderId="0" xfId="17" applyFont="1" applyFill="1" applyBorder="1" applyAlignment="1" applyProtection="1"/>
    <xf numFmtId="0" fontId="0" fillId="0" borderId="0" xfId="6" applyFont="1" applyFill="1" applyAlignment="1" applyProtection="1">
      <alignment vertical="top"/>
    </xf>
    <xf numFmtId="190" fontId="9" fillId="0" borderId="0" xfId="17" applyNumberFormat="1" applyFont="1" applyFill="1" applyBorder="1" applyAlignment="1" applyProtection="1">
      <alignment horizontal="right"/>
    </xf>
    <xf numFmtId="3" fontId="9" fillId="0" borderId="0" xfId="17" applyNumberFormat="1" applyFont="1" applyFill="1" applyBorder="1" applyAlignment="1" applyProtection="1">
      <alignment horizontal="right"/>
    </xf>
    <xf numFmtId="190" fontId="9" fillId="0" borderId="43" xfId="17" applyNumberFormat="1" applyFont="1" applyFill="1" applyBorder="1" applyAlignment="1" applyProtection="1">
      <alignment horizontal="right"/>
    </xf>
    <xf numFmtId="3" fontId="9" fillId="0" borderId="50" xfId="17" applyNumberFormat="1" applyFont="1" applyFill="1" applyBorder="1" applyAlignment="1" applyProtection="1">
      <alignment horizontal="right"/>
    </xf>
    <xf numFmtId="0" fontId="9" fillId="0" borderId="50" xfId="17" applyFont="1" applyFill="1" applyBorder="1" applyAlignment="1" applyProtection="1">
      <alignment horizontal="right"/>
    </xf>
    <xf numFmtId="190" fontId="9" fillId="0" borderId="6" xfId="17" applyNumberFormat="1" applyFont="1" applyFill="1" applyBorder="1" applyAlignment="1" applyProtection="1">
      <alignment horizontal="right"/>
    </xf>
    <xf numFmtId="3" fontId="9" fillId="0" borderId="7" xfId="17" applyNumberFormat="1" applyFont="1" applyFill="1" applyBorder="1" applyAlignment="1" applyProtection="1">
      <alignment horizontal="right"/>
    </xf>
    <xf numFmtId="0" fontId="9" fillId="0" borderId="7" xfId="17" applyFont="1" applyFill="1" applyBorder="1" applyAlignment="1" applyProtection="1">
      <alignment horizontal="right"/>
    </xf>
    <xf numFmtId="188" fontId="0" fillId="0" borderId="0" xfId="6" applyNumberFormat="1" applyFont="1" applyFill="1" applyAlignment="1" applyProtection="1">
      <alignment vertical="top"/>
    </xf>
    <xf numFmtId="0" fontId="9" fillId="0" borderId="4" xfId="17" applyFont="1" applyFill="1" applyBorder="1" applyAlignment="1" applyProtection="1"/>
    <xf numFmtId="0" fontId="8" fillId="0" borderId="4" xfId="17" applyFont="1" applyFill="1" applyBorder="1" applyAlignment="1" applyProtection="1">
      <alignment horizontal="right"/>
    </xf>
    <xf numFmtId="0" fontId="61" fillId="0" borderId="0" xfId="6" applyFont="1" applyFill="1" applyAlignment="1" applyProtection="1">
      <alignment vertical="top"/>
    </xf>
    <xf numFmtId="0" fontId="9" fillId="0" borderId="0" xfId="17" applyFont="1" applyFill="1" applyProtection="1"/>
    <xf numFmtId="0" fontId="9" fillId="0" borderId="0" xfId="17" applyFont="1" applyFill="1" applyAlignment="1" applyProtection="1">
      <alignment horizontal="right"/>
    </xf>
    <xf numFmtId="0" fontId="1" fillId="0" borderId="0" xfId="6" applyFont="1" applyFill="1" applyBorder="1" applyAlignment="1" applyProtection="1">
      <alignment vertical="top"/>
      <protection locked="0"/>
    </xf>
    <xf numFmtId="0" fontId="6" fillId="0" borderId="0" xfId="6" applyFont="1" applyFill="1" applyBorder="1" applyAlignment="1" applyProtection="1">
      <alignment vertical="top"/>
      <protection locked="0"/>
    </xf>
    <xf numFmtId="0" fontId="6" fillId="0" borderId="0" xfId="6" applyFont="1" applyFill="1" applyBorder="1" applyAlignment="1" applyProtection="1">
      <alignment vertical="top" wrapText="1"/>
    </xf>
    <xf numFmtId="0" fontId="5" fillId="0" borderId="7" xfId="6" applyFont="1" applyFill="1" applyBorder="1" applyAlignment="1" applyProtection="1">
      <alignment vertical="top" wrapText="1"/>
    </xf>
    <xf numFmtId="0" fontId="1" fillId="0" borderId="20" xfId="6" applyFont="1" applyFill="1" applyBorder="1" applyAlignment="1" applyProtection="1">
      <alignment vertical="top"/>
    </xf>
    <xf numFmtId="0" fontId="1" fillId="0" borderId="7" xfId="6" applyFont="1" applyFill="1" applyBorder="1" applyProtection="1">
      <protection locked="0"/>
    </xf>
    <xf numFmtId="191" fontId="8" fillId="0" borderId="0" xfId="6" applyNumberFormat="1" applyFont="1" applyFill="1" applyBorder="1" applyProtection="1"/>
    <xf numFmtId="191" fontId="8" fillId="0" borderId="0" xfId="22" applyNumberFormat="1" applyFont="1" applyFill="1" applyBorder="1"/>
    <xf numFmtId="191" fontId="8" fillId="0" borderId="0" xfId="6" applyNumberFormat="1" applyFont="1" applyFill="1" applyBorder="1" applyAlignment="1" applyProtection="1">
      <alignment horizontal="right"/>
    </xf>
    <xf numFmtId="191" fontId="8" fillId="0" borderId="0" xfId="6" applyNumberFormat="1" applyFont="1" applyFill="1" applyBorder="1" applyProtection="1">
      <protection locked="0"/>
    </xf>
    <xf numFmtId="9" fontId="8" fillId="0" borderId="0" xfId="22" applyFont="1" applyFill="1" applyBorder="1" applyAlignment="1">
      <alignment horizontal="right"/>
    </xf>
    <xf numFmtId="191" fontId="71" fillId="0" borderId="0" xfId="6" applyNumberFormat="1" applyFont="1" applyFill="1" applyBorder="1" applyProtection="1"/>
    <xf numFmtId="191" fontId="9" fillId="0" borderId="0" xfId="6" applyNumberFormat="1" applyFont="1" applyFill="1" applyBorder="1" applyProtection="1"/>
    <xf numFmtId="191" fontId="9" fillId="0" borderId="0" xfId="22" applyNumberFormat="1" applyFont="1" applyFill="1" applyBorder="1"/>
    <xf numFmtId="191" fontId="9" fillId="0" borderId="0" xfId="6" applyNumberFormat="1" applyFont="1" applyFill="1" applyBorder="1" applyAlignment="1" applyProtection="1">
      <alignment horizontal="right"/>
    </xf>
    <xf numFmtId="191" fontId="9" fillId="0" borderId="0" xfId="6" applyNumberFormat="1" applyFont="1" applyFill="1" applyBorder="1" applyProtection="1">
      <protection locked="0"/>
    </xf>
    <xf numFmtId="9" fontId="9" fillId="0" borderId="0" xfId="22" applyFont="1" applyFill="1" applyBorder="1" applyAlignment="1">
      <alignment horizontal="right"/>
    </xf>
    <xf numFmtId="2" fontId="68" fillId="0" borderId="4" xfId="0" applyNumberFormat="1" applyFont="1" applyFill="1" applyBorder="1"/>
    <xf numFmtId="0" fontId="1" fillId="0" borderId="0" xfId="7" applyFont="1" applyFill="1" applyBorder="1" applyAlignment="1" applyProtection="1">
      <alignment vertical="top"/>
    </xf>
    <xf numFmtId="0" fontId="6" fillId="0" borderId="0" xfId="7" applyFont="1" applyFill="1" applyBorder="1" applyAlignment="1" applyProtection="1">
      <alignment vertical="top"/>
    </xf>
    <xf numFmtId="2" fontId="27" fillId="0" borderId="0" xfId="0" applyNumberFormat="1" applyFont="1" applyFill="1" applyBorder="1"/>
    <xf numFmtId="177" fontId="9" fillId="0" borderId="0" xfId="7" applyNumberFormat="1" applyFont="1" applyFill="1" applyBorder="1" applyAlignment="1" applyProtection="1">
      <alignment horizontal="right"/>
    </xf>
    <xf numFmtId="0" fontId="9" fillId="0" borderId="0" xfId="7" applyFont="1" applyFill="1" applyBorder="1" applyProtection="1"/>
    <xf numFmtId="177" fontId="9" fillId="0" borderId="0" xfId="6" applyNumberFormat="1" applyFont="1" applyFill="1" applyBorder="1" applyAlignment="1" applyProtection="1">
      <alignment horizontal="right"/>
    </xf>
    <xf numFmtId="177" fontId="9" fillId="0" borderId="4" xfId="6" applyNumberFormat="1" applyFont="1" applyFill="1" applyBorder="1" applyAlignment="1" applyProtection="1">
      <alignment horizontal="right"/>
    </xf>
    <xf numFmtId="0" fontId="39" fillId="0" borderId="0" xfId="0" applyFont="1" applyFill="1" applyBorder="1"/>
    <xf numFmtId="0" fontId="15" fillId="0" borderId="0" xfId="6" applyFont="1" applyFill="1" applyBorder="1" applyProtection="1">
      <protection locked="0"/>
    </xf>
    <xf numFmtId="177" fontId="8" fillId="0" borderId="0" xfId="6" applyNumberFormat="1" applyFont="1" applyFill="1" applyBorder="1" applyAlignment="1" applyProtection="1">
      <alignment horizontal="right"/>
    </xf>
    <xf numFmtId="0" fontId="15" fillId="0" borderId="4" xfId="0" applyFont="1" applyFill="1" applyBorder="1"/>
    <xf numFmtId="0" fontId="15" fillId="0" borderId="0" xfId="0" applyFont="1" applyFill="1" applyBorder="1"/>
    <xf numFmtId="0" fontId="8" fillId="0" borderId="0" xfId="6" applyFont="1" applyFill="1" applyBorder="1" applyAlignment="1" applyProtection="1">
      <alignment horizontal="center"/>
    </xf>
    <xf numFmtId="0" fontId="8" fillId="0" borderId="29" xfId="6" applyFont="1" applyFill="1" applyBorder="1" applyAlignment="1" applyProtection="1">
      <alignment horizontal="right"/>
    </xf>
    <xf numFmtId="0" fontId="57" fillId="0" borderId="0" xfId="6" applyFont="1" applyFill="1" applyBorder="1" applyAlignment="1">
      <alignment horizontal="right"/>
    </xf>
    <xf numFmtId="177" fontId="9" fillId="0" borderId="8" xfId="6" applyNumberFormat="1" applyFont="1" applyFill="1" applyBorder="1" applyAlignment="1" applyProtection="1">
      <alignment horizontal="right"/>
    </xf>
    <xf numFmtId="177" fontId="9" fillId="0" borderId="5" xfId="6" applyNumberFormat="1" applyFont="1" applyFill="1" applyBorder="1" applyAlignment="1" applyProtection="1">
      <alignment horizontal="right"/>
    </xf>
    <xf numFmtId="0" fontId="8" fillId="0" borderId="5" xfId="6" applyFont="1" applyFill="1" applyBorder="1" applyAlignment="1" applyProtection="1">
      <alignment wrapText="1"/>
    </xf>
    <xf numFmtId="0" fontId="9" fillId="0" borderId="8" xfId="6" applyFont="1" applyFill="1" applyBorder="1" applyAlignment="1" applyProtection="1"/>
    <xf numFmtId="0" fontId="25" fillId="0" borderId="0" xfId="6" applyFont="1" applyFill="1" applyBorder="1" applyAlignment="1" applyProtection="1">
      <alignment vertical="top"/>
    </xf>
    <xf numFmtId="0" fontId="0" fillId="0" borderId="0" xfId="6" applyFont="1" applyFill="1" applyBorder="1" applyProtection="1">
      <protection locked="0"/>
    </xf>
    <xf numFmtId="0" fontId="0" fillId="0" borderId="0" xfId="6" applyFont="1" applyFill="1" applyBorder="1" applyAlignment="1" applyProtection="1">
      <alignment horizontal="right"/>
      <protection locked="0"/>
    </xf>
    <xf numFmtId="0" fontId="5" fillId="0" borderId="0" xfId="6" applyFont="1" applyFill="1" applyBorder="1" applyAlignment="1" applyProtection="1">
      <alignment horizontal="right"/>
      <protection locked="0"/>
    </xf>
    <xf numFmtId="0" fontId="0" fillId="0" borderId="0" xfId="6" applyFont="1" applyFill="1" applyBorder="1" applyAlignment="1" applyProtection="1">
      <alignment vertical="top"/>
      <protection locked="0"/>
    </xf>
    <xf numFmtId="1" fontId="0" fillId="0" borderId="0" xfId="6" applyNumberFormat="1" applyFont="1" applyFill="1" applyBorder="1" applyProtection="1">
      <protection locked="0"/>
    </xf>
    <xf numFmtId="0" fontId="7" fillId="0" borderId="0" xfId="6" applyFont="1" applyFill="1" applyBorder="1" applyAlignment="1" applyProtection="1">
      <alignment vertical="top"/>
    </xf>
    <xf numFmtId="0" fontId="6" fillId="0" borderId="0" xfId="6" applyFont="1" applyFill="1" applyBorder="1" applyAlignment="1" applyProtection="1">
      <alignment horizontal="left" vertical="top" wrapText="1"/>
    </xf>
    <xf numFmtId="176" fontId="9" fillId="0" borderId="0" xfId="23" applyNumberFormat="1" applyFont="1" applyFill="1" applyBorder="1" applyAlignment="1" applyProtection="1"/>
    <xf numFmtId="169" fontId="9" fillId="0" borderId="0" xfId="6" applyNumberFormat="1" applyFont="1" applyFill="1" applyBorder="1" applyAlignment="1"/>
    <xf numFmtId="193" fontId="9" fillId="0" borderId="0" xfId="6" applyNumberFormat="1" applyFont="1" applyFill="1" applyBorder="1" applyAlignment="1" applyProtection="1">
      <alignment horizontal="right"/>
    </xf>
    <xf numFmtId="9" fontId="9" fillId="0" borderId="0" xfId="22" applyNumberFormat="1" applyFont="1" applyFill="1" applyBorder="1" applyAlignment="1" applyProtection="1">
      <alignment horizontal="right"/>
    </xf>
    <xf numFmtId="9" fontId="9" fillId="0" borderId="0" xfId="22" applyFont="1" applyFill="1" applyBorder="1" applyAlignment="1" applyProtection="1"/>
    <xf numFmtId="10" fontId="9" fillId="0" borderId="0" xfId="22" applyNumberFormat="1" applyFont="1" applyFill="1" applyBorder="1" applyAlignment="1" applyProtection="1"/>
    <xf numFmtId="193" fontId="9" fillId="0" borderId="0" xfId="6" applyNumberFormat="1" applyFont="1" applyFill="1" applyBorder="1" applyAlignment="1" applyProtection="1">
      <alignment horizontal="right"/>
      <protection locked="0"/>
    </xf>
    <xf numFmtId="0" fontId="9" fillId="0" borderId="0" xfId="6" applyFont="1" applyFill="1" applyBorder="1" applyAlignment="1" applyProtection="1">
      <alignment vertical="top"/>
    </xf>
    <xf numFmtId="0" fontId="18" fillId="0" borderId="0" xfId="6" applyFont="1" applyFill="1" applyBorder="1" applyAlignment="1" applyProtection="1">
      <alignment vertical="top"/>
    </xf>
    <xf numFmtId="10" fontId="8" fillId="0" borderId="0" xfId="22" applyNumberFormat="1" applyFont="1" applyFill="1" applyBorder="1" applyAlignment="1" applyProtection="1"/>
    <xf numFmtId="169" fontId="8" fillId="0" borderId="0" xfId="6" applyNumberFormat="1" applyFont="1" applyFill="1" applyBorder="1" applyAlignment="1"/>
    <xf numFmtId="193" fontId="8" fillId="0" borderId="0" xfId="6" applyNumberFormat="1" applyFont="1" applyFill="1" applyBorder="1" applyAlignment="1" applyProtection="1">
      <alignment horizontal="right"/>
      <protection locked="0"/>
    </xf>
    <xf numFmtId="0" fontId="0" fillId="0" borderId="0" xfId="6" applyFont="1" applyFill="1" applyBorder="1" applyAlignment="1" applyProtection="1">
      <alignment horizontal="right"/>
    </xf>
    <xf numFmtId="0" fontId="5" fillId="0" borderId="0" xfId="6" applyFont="1" applyFill="1" applyBorder="1" applyAlignment="1" applyProtection="1">
      <alignment horizontal="right"/>
    </xf>
    <xf numFmtId="0" fontId="5" fillId="0" borderId="0" xfId="6" applyFont="1" applyFill="1" applyBorder="1" applyProtection="1"/>
    <xf numFmtId="0" fontId="0" fillId="0" borderId="0" xfId="6" applyFont="1" applyFill="1" applyBorder="1" applyAlignment="1" applyProtection="1">
      <alignment vertical="top"/>
    </xf>
    <xf numFmtId="0" fontId="8" fillId="0" borderId="0" xfId="6" applyFont="1" applyFill="1" applyBorder="1" applyProtection="1">
      <protection locked="0"/>
    </xf>
    <xf numFmtId="0" fontId="3" fillId="0" borderId="0" xfId="6" applyFont="1" applyFill="1" applyBorder="1" applyProtection="1">
      <protection locked="0"/>
    </xf>
    <xf numFmtId="9" fontId="8" fillId="0" borderId="0" xfId="22" applyNumberFormat="1" applyFont="1" applyFill="1" applyBorder="1" applyAlignment="1" applyProtection="1">
      <alignment horizontal="right"/>
    </xf>
    <xf numFmtId="0" fontId="8" fillId="0" borderId="0" xfId="6" applyFont="1" applyFill="1" applyBorder="1" applyAlignment="1" applyProtection="1">
      <alignment vertical="top"/>
    </xf>
    <xf numFmtId="194" fontId="19" fillId="0" borderId="0" xfId="6" applyNumberFormat="1" applyFont="1" applyFill="1" applyBorder="1" applyAlignment="1" applyProtection="1">
      <alignment horizontal="right"/>
      <protection locked="0"/>
    </xf>
    <xf numFmtId="0" fontId="9" fillId="0" borderId="0" xfId="6" applyFont="1" applyFill="1" applyBorder="1" applyAlignment="1" applyProtection="1">
      <alignment vertical="top"/>
      <protection locked="0"/>
    </xf>
    <xf numFmtId="0" fontId="8" fillId="0" borderId="0" xfId="6" applyFont="1" applyFill="1" applyBorder="1" applyAlignment="1">
      <alignment horizontal="center"/>
    </xf>
    <xf numFmtId="0" fontId="41" fillId="0" borderId="17" xfId="6" applyFont="1" applyFill="1" applyBorder="1" applyAlignment="1">
      <alignment horizontal="right"/>
    </xf>
    <xf numFmtId="0" fontId="8" fillId="0" borderId="0" xfId="6" applyFont="1" applyFill="1" applyBorder="1" applyAlignment="1" applyProtection="1">
      <alignment vertical="top"/>
      <protection locked="0"/>
    </xf>
    <xf numFmtId="9" fontId="9" fillId="0" borderId="0" xfId="22" applyFont="1" applyFill="1" applyBorder="1" applyAlignment="1" applyProtection="1">
      <alignment horizontal="right" vertical="top"/>
    </xf>
    <xf numFmtId="0" fontId="8" fillId="0" borderId="0" xfId="6" applyFont="1" applyFill="1" applyBorder="1" applyAlignment="1">
      <alignment vertical="top"/>
    </xf>
    <xf numFmtId="0" fontId="8" fillId="0" borderId="0" xfId="6" applyFont="1" applyFill="1" applyBorder="1" applyAlignment="1">
      <alignment horizontal="left" vertical="top"/>
    </xf>
    <xf numFmtId="9" fontId="9" fillId="0" borderId="0" xfId="22" applyFont="1" applyFill="1" applyBorder="1" applyAlignment="1" applyProtection="1">
      <alignment horizontal="right"/>
    </xf>
    <xf numFmtId="9" fontId="57" fillId="0" borderId="0" xfId="22" applyFont="1" applyFill="1" applyBorder="1" applyAlignment="1" applyProtection="1">
      <alignment horizontal="right"/>
    </xf>
    <xf numFmtId="9" fontId="9" fillId="0" borderId="0" xfId="22" applyFont="1" applyFill="1" applyBorder="1" applyAlignment="1" applyProtection="1">
      <alignment horizontal="right"/>
      <protection locked="0"/>
    </xf>
    <xf numFmtId="9" fontId="9" fillId="0" borderId="0" xfId="22" applyFont="1" applyFill="1" applyBorder="1" applyAlignment="1">
      <alignment horizontal="center"/>
    </xf>
    <xf numFmtId="43" fontId="5" fillId="0" borderId="0" xfId="23" applyNumberFormat="1" applyFont="1" applyFill="1" applyBorder="1" applyAlignment="1" applyProtection="1">
      <alignment horizontal="right" indent="4"/>
      <protection locked="0"/>
    </xf>
    <xf numFmtId="176" fontId="5" fillId="0" borderId="0" xfId="23" applyNumberFormat="1" applyFont="1" applyFill="1" applyBorder="1" applyAlignment="1" applyProtection="1">
      <alignment horizontal="right"/>
      <protection locked="0"/>
    </xf>
    <xf numFmtId="0" fontId="0" fillId="0" borderId="6" xfId="6" applyFont="1" applyFill="1" applyBorder="1" applyAlignment="1" applyProtection="1">
      <alignment horizontal="right"/>
      <protection locked="0"/>
    </xf>
    <xf numFmtId="0" fontId="26" fillId="0" borderId="0" xfId="6" applyFont="1" applyFill="1" applyBorder="1" applyAlignment="1" applyProtection="1">
      <alignment horizontal="right"/>
    </xf>
    <xf numFmtId="0" fontId="0" fillId="0" borderId="0" xfId="6" applyFont="1" applyFill="1" applyBorder="1" applyAlignment="1" applyProtection="1">
      <protection locked="0"/>
    </xf>
    <xf numFmtId="0" fontId="24" fillId="0" borderId="0" xfId="6" applyFont="1" applyFill="1" applyBorder="1" applyAlignment="1" applyProtection="1">
      <alignment vertical="top"/>
    </xf>
    <xf numFmtId="0" fontId="5" fillId="0" borderId="0" xfId="6" applyFont="1" applyFill="1" applyBorder="1" applyAlignment="1" applyProtection="1">
      <alignment vertical="top"/>
    </xf>
    <xf numFmtId="10" fontId="9" fillId="0" borderId="0" xfId="2" applyNumberFormat="1" applyFont="1" applyFill="1" applyBorder="1" applyAlignment="1"/>
    <xf numFmtId="0" fontId="8" fillId="0" borderId="0" xfId="6" applyFont="1" applyFill="1" applyBorder="1" applyAlignment="1">
      <alignment horizontal="right"/>
    </xf>
    <xf numFmtId="0" fontId="8" fillId="0" borderId="4" xfId="6" applyFont="1" applyFill="1" applyBorder="1" applyAlignment="1">
      <alignment horizontal="left" vertical="top"/>
    </xf>
    <xf numFmtId="0" fontId="8" fillId="0" borderId="4" xfId="6" applyFont="1" applyFill="1" applyBorder="1" applyAlignment="1">
      <alignment horizontal="left"/>
    </xf>
    <xf numFmtId="0" fontId="0" fillId="0" borderId="0" xfId="6" applyFont="1" applyFill="1" applyBorder="1" applyAlignment="1" applyProtection="1">
      <alignment horizontal="left"/>
    </xf>
    <xf numFmtId="173" fontId="9" fillId="0" borderId="0" xfId="24" applyNumberFormat="1" applyFont="1" applyFill="1" applyBorder="1" applyAlignment="1">
      <alignment horizontal="center"/>
    </xf>
    <xf numFmtId="0" fontId="1" fillId="0" borderId="0" xfId="6" applyFont="1" applyFill="1" applyBorder="1"/>
    <xf numFmtId="186" fontId="9" fillId="0" borderId="0" xfId="6" applyNumberFormat="1" applyFont="1" applyFill="1" applyBorder="1" applyAlignment="1">
      <alignment wrapText="1"/>
    </xf>
    <xf numFmtId="3" fontId="9" fillId="0" borderId="0" xfId="6" applyNumberFormat="1" applyFont="1" applyFill="1" applyBorder="1" applyAlignment="1">
      <alignment horizontal="center"/>
    </xf>
    <xf numFmtId="0" fontId="9" fillId="0" borderId="0" xfId="6" applyFont="1" applyFill="1" applyBorder="1" applyAlignment="1">
      <alignment horizontal="center"/>
    </xf>
    <xf numFmtId="0" fontId="8" fillId="0" borderId="0" xfId="6" applyNumberFormat="1" applyFont="1" applyFill="1" applyBorder="1" applyAlignment="1">
      <alignment horizontal="center"/>
    </xf>
    <xf numFmtId="17" fontId="8" fillId="0" borderId="0" xfId="6" applyNumberFormat="1" applyFont="1" applyFill="1" applyBorder="1"/>
    <xf numFmtId="186" fontId="9" fillId="0" borderId="0" xfId="6" applyNumberFormat="1" applyFont="1" applyFill="1" applyBorder="1" applyAlignment="1">
      <alignment vertical="top" wrapText="1"/>
    </xf>
    <xf numFmtId="186" fontId="9" fillId="0" borderId="0" xfId="6" applyNumberFormat="1" applyFont="1" applyFill="1" applyBorder="1" applyAlignment="1"/>
    <xf numFmtId="195" fontId="9" fillId="0" borderId="0" xfId="6" applyNumberFormat="1" applyFont="1" applyFill="1" applyBorder="1" applyAlignment="1"/>
    <xf numFmtId="0" fontId="9" fillId="0" borderId="0" xfId="6" applyFont="1" applyFill="1" applyBorder="1" applyAlignment="1"/>
    <xf numFmtId="169" fontId="8" fillId="0" borderId="0" xfId="6" applyNumberFormat="1" applyFont="1" applyFill="1" applyBorder="1" applyAlignment="1">
      <alignment horizontal="right"/>
    </xf>
    <xf numFmtId="169" fontId="9" fillId="0" borderId="0" xfId="6" applyNumberFormat="1" applyFont="1" applyFill="1" applyBorder="1" applyAlignment="1">
      <alignment horizontal="right"/>
    </xf>
    <xf numFmtId="176" fontId="9" fillId="0" borderId="0" xfId="16" applyNumberFormat="1" applyFont="1" applyFill="1" applyBorder="1" applyAlignment="1" applyProtection="1">
      <alignment horizontal="right"/>
    </xf>
    <xf numFmtId="186" fontId="9" fillId="0" borderId="0" xfId="6" applyNumberFormat="1" applyFont="1" applyFill="1" applyBorder="1"/>
    <xf numFmtId="0" fontId="8" fillId="0" borderId="0" xfId="6" quotePrefix="1" applyFont="1" applyFill="1" applyBorder="1" applyAlignment="1">
      <alignment horizontal="center" vertical="top" wrapText="1"/>
    </xf>
    <xf numFmtId="0" fontId="8" fillId="0" borderId="0" xfId="6" applyFont="1" applyFill="1" applyBorder="1" applyAlignment="1">
      <alignment vertical="top" wrapText="1"/>
    </xf>
    <xf numFmtId="186" fontId="1" fillId="0" borderId="0" xfId="6" applyNumberFormat="1" applyFont="1" applyFill="1" applyBorder="1"/>
    <xf numFmtId="195" fontId="9" fillId="0" borderId="0" xfId="6" applyNumberFormat="1" applyFont="1" applyFill="1" applyBorder="1" applyAlignment="1">
      <alignment horizontal="right"/>
    </xf>
    <xf numFmtId="196" fontId="9" fillId="0" borderId="0" xfId="25" applyNumberFormat="1" applyFont="1" applyFill="1" applyBorder="1" applyAlignment="1" applyProtection="1">
      <alignment horizontal="right" vertical="center" shrinkToFit="1"/>
      <protection hidden="1"/>
    </xf>
    <xf numFmtId="186" fontId="1" fillId="0" borderId="0" xfId="6" applyNumberFormat="1" applyFont="1" applyFill="1" applyBorder="1" applyAlignment="1">
      <alignment horizontal="right"/>
    </xf>
    <xf numFmtId="173" fontId="9" fillId="0" borderId="4" xfId="6" applyNumberFormat="1" applyFont="1" applyFill="1" applyBorder="1" applyAlignment="1">
      <alignment horizontal="right"/>
    </xf>
    <xf numFmtId="0" fontId="9" fillId="0" borderId="4" xfId="6" applyFont="1" applyFill="1" applyBorder="1" applyAlignment="1">
      <alignment wrapText="1"/>
    </xf>
    <xf numFmtId="3" fontId="9" fillId="0" borderId="0" xfId="6" applyNumberFormat="1" applyFont="1" applyFill="1" applyBorder="1" applyAlignment="1">
      <alignment horizontal="right"/>
    </xf>
    <xf numFmtId="0" fontId="9" fillId="0" borderId="0" xfId="6" applyFont="1" applyFill="1" applyBorder="1" applyAlignment="1">
      <alignment wrapText="1"/>
    </xf>
    <xf numFmtId="17" fontId="8" fillId="0" borderId="5" xfId="6" quotePrefix="1" applyNumberFormat="1" applyFont="1" applyFill="1" applyBorder="1" applyAlignment="1">
      <alignment horizontal="right"/>
    </xf>
    <xf numFmtId="0" fontId="8" fillId="0" borderId="5" xfId="6" applyFont="1" applyFill="1" applyBorder="1" applyAlignment="1">
      <alignment horizontal="right"/>
    </xf>
    <xf numFmtId="169" fontId="8" fillId="0" borderId="49" xfId="6" applyNumberFormat="1" applyFont="1" applyFill="1" applyBorder="1" applyAlignment="1">
      <alignment horizontal="right"/>
    </xf>
    <xf numFmtId="169" fontId="8" fillId="0" borderId="17" xfId="6" applyNumberFormat="1" applyFont="1" applyFill="1" applyBorder="1" applyAlignment="1">
      <alignment horizontal="right"/>
    </xf>
    <xf numFmtId="186" fontId="1" fillId="0" borderId="0" xfId="6" applyNumberFormat="1" applyFont="1" applyFill="1"/>
    <xf numFmtId="169" fontId="9" fillId="0" borderId="7" xfId="6" applyNumberFormat="1" applyFont="1" applyFill="1" applyBorder="1" applyAlignment="1">
      <alignment horizontal="right"/>
    </xf>
    <xf numFmtId="186" fontId="9" fillId="0" borderId="0" xfId="6" applyNumberFormat="1" applyFont="1" applyFill="1" applyBorder="1" applyAlignment="1">
      <alignment vertical="top"/>
    </xf>
    <xf numFmtId="186" fontId="9" fillId="0" borderId="7" xfId="6" applyNumberFormat="1" applyFont="1" applyFill="1" applyBorder="1" applyAlignment="1">
      <alignment horizontal="right"/>
    </xf>
    <xf numFmtId="186" fontId="6" fillId="0" borderId="0" xfId="6" applyNumberFormat="1" applyFont="1" applyFill="1" applyAlignment="1">
      <alignment vertical="top"/>
    </xf>
    <xf numFmtId="169" fontId="9" fillId="0" borderId="4" xfId="6" applyNumberFormat="1" applyFont="1" applyFill="1" applyBorder="1" applyAlignment="1">
      <alignment horizontal="right"/>
    </xf>
    <xf numFmtId="176" fontId="50" fillId="0" borderId="4" xfId="16" applyNumberFormat="1" applyFont="1" applyFill="1" applyBorder="1" applyAlignment="1" applyProtection="1">
      <alignment horizontal="right"/>
    </xf>
    <xf numFmtId="169" fontId="50" fillId="0" borderId="4" xfId="6" applyNumberFormat="1" applyFont="1" applyFill="1" applyBorder="1" applyAlignment="1">
      <alignment horizontal="right"/>
    </xf>
    <xf numFmtId="0" fontId="50" fillId="0" borderId="4" xfId="6" applyFont="1" applyFill="1" applyBorder="1"/>
    <xf numFmtId="169" fontId="9" fillId="0" borderId="5" xfId="6" applyNumberFormat="1" applyFont="1" applyFill="1" applyBorder="1" applyAlignment="1">
      <alignment horizontal="right"/>
    </xf>
    <xf numFmtId="176" fontId="50" fillId="0" borderId="5" xfId="16" applyNumberFormat="1" applyFont="1" applyFill="1" applyBorder="1" applyAlignment="1" applyProtection="1">
      <alignment horizontal="right"/>
    </xf>
    <xf numFmtId="169" fontId="50" fillId="0" borderId="5" xfId="6" applyNumberFormat="1" applyFont="1" applyFill="1" applyBorder="1" applyAlignment="1">
      <alignment horizontal="right"/>
    </xf>
    <xf numFmtId="186" fontId="24" fillId="0" borderId="0" xfId="6" applyNumberFormat="1" applyFont="1" applyFill="1" applyAlignment="1">
      <alignment vertical="top" wrapText="1"/>
    </xf>
    <xf numFmtId="0" fontId="8" fillId="0" borderId="47" xfId="6" applyFont="1" applyFill="1" applyBorder="1" applyAlignment="1">
      <alignment horizontal="center" vertical="top" wrapText="1"/>
    </xf>
    <xf numFmtId="186" fontId="8" fillId="0" borderId="0" xfId="6" applyNumberFormat="1" applyFont="1" applyFill="1" applyBorder="1" applyAlignment="1">
      <alignment vertical="top" wrapText="1"/>
    </xf>
    <xf numFmtId="186" fontId="6" fillId="0" borderId="0" xfId="6" applyNumberFormat="1" applyFont="1" applyFill="1" applyAlignment="1">
      <alignment vertical="top" wrapText="1"/>
    </xf>
    <xf numFmtId="186" fontId="1" fillId="0" borderId="4" xfId="6" applyNumberFormat="1" applyFont="1" applyFill="1" applyBorder="1" applyAlignment="1">
      <alignment horizontal="right"/>
    </xf>
    <xf numFmtId="0" fontId="8" fillId="0" borderId="4" xfId="6" applyFont="1" applyFill="1" applyBorder="1" applyAlignment="1">
      <alignment horizontal="right"/>
    </xf>
    <xf numFmtId="186" fontId="1" fillId="0" borderId="0" xfId="6" applyNumberFormat="1" applyFont="1" applyFill="1" applyBorder="1" applyAlignment="1"/>
    <xf numFmtId="186" fontId="6" fillId="0" borderId="0" xfId="6" applyNumberFormat="1" applyFont="1" applyFill="1" applyBorder="1" applyAlignment="1">
      <alignment vertical="top"/>
    </xf>
    <xf numFmtId="3" fontId="8" fillId="0" borderId="0" xfId="6" applyNumberFormat="1" applyFont="1" applyFill="1" applyBorder="1" applyAlignment="1">
      <alignment horizontal="right"/>
    </xf>
    <xf numFmtId="0" fontId="9" fillId="0" borderId="0" xfId="6" applyFont="1" applyFill="1" applyBorder="1" applyAlignment="1">
      <alignment vertical="top"/>
    </xf>
    <xf numFmtId="176" fontId="9" fillId="0" borderId="4" xfId="16" applyNumberFormat="1" applyFont="1" applyFill="1" applyBorder="1" applyAlignment="1" applyProtection="1">
      <alignment horizontal="right"/>
    </xf>
    <xf numFmtId="9" fontId="5" fillId="0" borderId="0" xfId="24" applyFont="1" applyFill="1" applyBorder="1"/>
    <xf numFmtId="9" fontId="5" fillId="0" borderId="0" xfId="24" applyFont="1" applyFill="1" applyBorder="1" applyAlignment="1"/>
    <xf numFmtId="9" fontId="9" fillId="0" borderId="0" xfId="24" applyFont="1" applyFill="1" applyBorder="1" applyAlignment="1">
      <alignment horizontal="right"/>
    </xf>
    <xf numFmtId="173" fontId="9" fillId="0" borderId="0" xfId="24" applyNumberFormat="1" applyFont="1" applyFill="1" applyBorder="1" applyAlignment="1">
      <alignment horizontal="right"/>
    </xf>
    <xf numFmtId="9" fontId="9" fillId="0" borderId="0" xfId="24" applyFont="1" applyFill="1" applyBorder="1" applyAlignment="1">
      <alignment vertical="top"/>
    </xf>
    <xf numFmtId="9" fontId="26" fillId="0" borderId="0" xfId="24" applyFont="1" applyFill="1" applyBorder="1" applyAlignment="1">
      <alignment vertical="top"/>
    </xf>
    <xf numFmtId="186" fontId="1" fillId="0" borderId="10" xfId="6" applyNumberFormat="1" applyFont="1" applyFill="1" applyBorder="1"/>
    <xf numFmtId="3" fontId="8" fillId="0" borderId="2" xfId="6" applyNumberFormat="1" applyFont="1" applyFill="1" applyBorder="1" applyAlignment="1">
      <alignment horizontal="right"/>
    </xf>
    <xf numFmtId="0" fontId="8" fillId="0" borderId="5" xfId="6" applyFont="1" applyFill="1" applyBorder="1"/>
    <xf numFmtId="0" fontId="6" fillId="0" borderId="0" xfId="6" applyFont="1" applyFill="1" applyAlignment="1">
      <alignment vertical="top"/>
    </xf>
    <xf numFmtId="2" fontId="16" fillId="0" borderId="0" xfId="19" applyNumberFormat="1" applyFont="1" applyFill="1" applyBorder="1"/>
    <xf numFmtId="0" fontId="16" fillId="0" borderId="0" xfId="17" applyFont="1" applyFill="1" applyBorder="1"/>
    <xf numFmtId="186" fontId="16" fillId="0" borderId="0" xfId="17" applyNumberFormat="1" applyFont="1" applyFill="1" applyBorder="1"/>
    <xf numFmtId="0" fontId="16" fillId="0" borderId="0" xfId="17" applyFont="1" applyFill="1" applyBorder="1" applyAlignment="1">
      <alignment wrapText="1"/>
    </xf>
    <xf numFmtId="171" fontId="16" fillId="0" borderId="0" xfId="17" applyNumberFormat="1" applyFont="1" applyFill="1" applyBorder="1"/>
    <xf numFmtId="0" fontId="32" fillId="0" borderId="0" xfId="19" applyNumberFormat="1" applyFont="1" applyFill="1" applyBorder="1"/>
    <xf numFmtId="0" fontId="16" fillId="0" borderId="0" xfId="17" applyFont="1" applyFill="1" applyAlignment="1">
      <alignment horizontal="left"/>
    </xf>
    <xf numFmtId="0" fontId="9" fillId="0" borderId="22" xfId="19" applyNumberFormat="1" applyFont="1" applyFill="1" applyBorder="1" applyAlignment="1">
      <alignment horizontal="right"/>
    </xf>
    <xf numFmtId="0" fontId="9" fillId="0" borderId="4" xfId="19" applyNumberFormat="1" applyFont="1" applyFill="1" applyBorder="1" applyAlignment="1">
      <alignment horizontal="right"/>
    </xf>
    <xf numFmtId="0" fontId="9" fillId="0" borderId="50" xfId="19" applyNumberFormat="1" applyFont="1" applyFill="1" applyBorder="1" applyAlignment="1">
      <alignment horizontal="right"/>
    </xf>
    <xf numFmtId="0" fontId="9" fillId="0" borderId="43" xfId="19" applyNumberFormat="1" applyFont="1" applyFill="1" applyBorder="1" applyAlignment="1">
      <alignment horizontal="right"/>
    </xf>
    <xf numFmtId="0" fontId="9" fillId="0" borderId="20" xfId="19" applyNumberFormat="1" applyFont="1" applyFill="1" applyBorder="1" applyAlignment="1">
      <alignment horizontal="right"/>
    </xf>
    <xf numFmtId="0" fontId="9" fillId="0" borderId="0" xfId="19" applyNumberFormat="1" applyFont="1" applyFill="1" applyBorder="1" applyAlignment="1">
      <alignment horizontal="right"/>
    </xf>
    <xf numFmtId="0" fontId="9" fillId="0" borderId="7" xfId="19" applyNumberFormat="1" applyFont="1" applyFill="1" applyBorder="1" applyAlignment="1">
      <alignment horizontal="right"/>
    </xf>
    <xf numFmtId="0" fontId="9" fillId="0" borderId="6" xfId="19" applyNumberFormat="1" applyFont="1" applyFill="1" applyBorder="1" applyAlignment="1">
      <alignment horizontal="right"/>
    </xf>
    <xf numFmtId="1" fontId="9" fillId="0" borderId="10" xfId="17" applyNumberFormat="1" applyFont="1" applyFill="1" applyBorder="1" applyAlignment="1">
      <alignment horizontal="right"/>
    </xf>
    <xf numFmtId="0" fontId="9" fillId="0" borderId="0" xfId="17" applyFont="1" applyFill="1" applyBorder="1" applyAlignment="1">
      <alignment horizontal="left" wrapText="1"/>
    </xf>
    <xf numFmtId="3" fontId="8" fillId="0" borderId="0" xfId="17" applyNumberFormat="1" applyFont="1" applyFill="1" applyBorder="1" applyAlignment="1">
      <alignment horizontal="right"/>
    </xf>
    <xf numFmtId="0" fontId="8" fillId="0" borderId="0" xfId="17" applyFont="1" applyFill="1" applyBorder="1"/>
    <xf numFmtId="3" fontId="8" fillId="0" borderId="17" xfId="17" applyNumberFormat="1" applyFont="1" applyFill="1" applyBorder="1" applyAlignment="1">
      <alignment horizontal="right"/>
    </xf>
    <xf numFmtId="9" fontId="9" fillId="0" borderId="2" xfId="19" applyFont="1" applyFill="1" applyBorder="1" applyAlignment="1" applyProtection="1">
      <alignment horizontal="right"/>
    </xf>
    <xf numFmtId="3" fontId="9" fillId="0" borderId="8" xfId="16" applyNumberFormat="1" applyFont="1" applyFill="1" applyBorder="1" applyAlignment="1" applyProtection="1">
      <alignment horizontal="right"/>
    </xf>
    <xf numFmtId="176" fontId="9" fillId="0" borderId="8" xfId="16" applyNumberFormat="1" applyFont="1" applyFill="1" applyBorder="1" applyAlignment="1" applyProtection="1">
      <alignment horizontal="right"/>
    </xf>
    <xf numFmtId="3" fontId="9" fillId="0" borderId="0" xfId="17" applyNumberFormat="1" applyFont="1" applyFill="1" applyBorder="1" applyAlignment="1">
      <alignment horizontal="right"/>
    </xf>
    <xf numFmtId="0" fontId="9" fillId="0" borderId="0" xfId="17" applyFont="1" applyFill="1" applyBorder="1" applyAlignment="1">
      <alignment horizontal="right"/>
    </xf>
    <xf numFmtId="0" fontId="9" fillId="0" borderId="0" xfId="17" applyFont="1" applyFill="1" applyBorder="1"/>
    <xf numFmtId="0" fontId="8" fillId="0" borderId="5" xfId="17" applyFont="1" applyFill="1" applyBorder="1" applyAlignment="1">
      <alignment horizontal="right"/>
    </xf>
    <xf numFmtId="0" fontId="16" fillId="0" borderId="0" xfId="17" applyFont="1" applyFill="1"/>
    <xf numFmtId="0" fontId="6" fillId="0" borderId="0" xfId="17" applyFont="1" applyFill="1" applyBorder="1"/>
    <xf numFmtId="0" fontId="7" fillId="0" borderId="0" xfId="6" applyFont="1" applyFill="1" applyProtection="1">
      <protection locked="0"/>
    </xf>
    <xf numFmtId="0" fontId="7" fillId="0" borderId="0" xfId="6" applyFont="1" applyFill="1" applyAlignment="1" applyProtection="1">
      <alignment vertical="top"/>
      <protection locked="0"/>
    </xf>
    <xf numFmtId="0" fontId="75" fillId="0" borderId="0" xfId="6" applyFont="1" applyFill="1" applyBorder="1" applyAlignment="1" applyProtection="1">
      <alignment vertical="top" wrapText="1"/>
    </xf>
    <xf numFmtId="186" fontId="8" fillId="0" borderId="0" xfId="6" applyNumberFormat="1" applyFont="1" applyFill="1" applyBorder="1" applyAlignment="1" applyProtection="1"/>
    <xf numFmtId="3" fontId="8" fillId="0" borderId="0" xfId="6" applyNumberFormat="1" applyFont="1" applyFill="1" applyBorder="1" applyAlignment="1" applyProtection="1">
      <protection locked="0"/>
    </xf>
    <xf numFmtId="0" fontId="25" fillId="0" borderId="0" xfId="6" applyFont="1" applyFill="1" applyBorder="1" applyAlignment="1" applyProtection="1">
      <alignment wrapText="1"/>
    </xf>
    <xf numFmtId="186" fontId="8" fillId="0" borderId="43" xfId="6" applyNumberFormat="1" applyFont="1" applyFill="1" applyBorder="1" applyAlignment="1" applyProtection="1"/>
    <xf numFmtId="186" fontId="8" fillId="0" borderId="4" xfId="6" applyNumberFormat="1" applyFont="1" applyFill="1" applyBorder="1" applyAlignment="1" applyProtection="1"/>
    <xf numFmtId="3" fontId="8" fillId="0" borderId="4" xfId="6" applyNumberFormat="1" applyFont="1" applyFill="1" applyBorder="1" applyAlignment="1" applyProtection="1">
      <protection locked="0"/>
    </xf>
    <xf numFmtId="0" fontId="25" fillId="0" borderId="4" xfId="6" applyFont="1" applyFill="1" applyBorder="1" applyAlignment="1" applyProtection="1">
      <alignment wrapText="1"/>
    </xf>
    <xf numFmtId="3" fontId="9" fillId="0" borderId="6" xfId="6" applyNumberFormat="1" applyFont="1" applyFill="1" applyBorder="1" applyAlignment="1" applyProtection="1">
      <protection locked="0"/>
    </xf>
    <xf numFmtId="3" fontId="9" fillId="0" borderId="0" xfId="6" applyNumberFormat="1" applyFont="1" applyFill="1" applyBorder="1" applyAlignment="1" applyProtection="1">
      <protection locked="0"/>
    </xf>
    <xf numFmtId="0" fontId="75" fillId="0" borderId="0" xfId="6" applyFont="1" applyFill="1" applyBorder="1" applyAlignment="1" applyProtection="1">
      <alignment wrapText="1"/>
    </xf>
    <xf numFmtId="0" fontId="9" fillId="0" borderId="13" xfId="6" applyFont="1" applyFill="1" applyBorder="1" applyAlignment="1" applyProtection="1">
      <alignment horizontal="left" vertical="top" wrapText="1"/>
    </xf>
    <xf numFmtId="0" fontId="9" fillId="0" borderId="8" xfId="6" applyFont="1" applyFill="1" applyBorder="1" applyAlignment="1" applyProtection="1">
      <alignment horizontal="left" vertical="top" wrapText="1"/>
    </xf>
    <xf numFmtId="0" fontId="9" fillId="0" borderId="9" xfId="6" applyFont="1" applyFill="1" applyBorder="1" applyAlignment="1" applyProtection="1">
      <alignment horizontal="left" vertical="top" wrapText="1"/>
    </xf>
    <xf numFmtId="0" fontId="75" fillId="0" borderId="5" xfId="6" applyFont="1" applyFill="1" applyBorder="1" applyAlignment="1" applyProtection="1">
      <alignment vertical="top" wrapText="1"/>
    </xf>
    <xf numFmtId="186" fontId="9" fillId="0" borderId="0" xfId="6" applyNumberFormat="1" applyFont="1" applyFill="1" applyBorder="1" applyAlignment="1" applyProtection="1"/>
    <xf numFmtId="0" fontId="75" fillId="0" borderId="0" xfId="6" applyFont="1" applyFill="1" applyBorder="1" applyProtection="1">
      <protection locked="0"/>
    </xf>
    <xf numFmtId="0" fontId="75" fillId="0" borderId="0" xfId="6" applyFont="1" applyFill="1" applyBorder="1" applyAlignment="1" applyProtection="1"/>
    <xf numFmtId="0" fontId="7" fillId="0" borderId="0" xfId="6" applyFont="1" applyFill="1" applyProtection="1"/>
    <xf numFmtId="0" fontId="7" fillId="0" borderId="0" xfId="6" applyFont="1" applyFill="1" applyAlignment="1" applyProtection="1">
      <alignment vertical="top"/>
    </xf>
    <xf numFmtId="0" fontId="7" fillId="0" borderId="0" xfId="6" applyFont="1" applyFill="1" applyBorder="1" applyProtection="1"/>
    <xf numFmtId="186" fontId="9" fillId="0" borderId="0" xfId="6" applyNumberFormat="1" applyFont="1" applyFill="1" applyBorder="1" applyAlignment="1" applyProtection="1">
      <alignment horizontal="right" vertical="top"/>
    </xf>
    <xf numFmtId="49" fontId="9" fillId="0" borderId="5" xfId="6" applyNumberFormat="1" applyFont="1" applyFill="1" applyBorder="1" applyAlignment="1" applyProtection="1">
      <alignment horizontal="center"/>
    </xf>
    <xf numFmtId="0" fontId="28" fillId="0" borderId="0" xfId="6" applyFont="1" applyFill="1" applyBorder="1"/>
    <xf numFmtId="0" fontId="0" fillId="0" borderId="0" xfId="6" applyFont="1" applyFill="1"/>
    <xf numFmtId="0" fontId="0" fillId="0" borderId="0" xfId="6" applyFont="1" applyFill="1" applyBorder="1"/>
    <xf numFmtId="0" fontId="43" fillId="0" borderId="0" xfId="6" applyFont="1" applyFill="1"/>
    <xf numFmtId="0" fontId="43" fillId="0" borderId="0" xfId="6" applyFont="1" applyFill="1" applyBorder="1"/>
    <xf numFmtId="186" fontId="9" fillId="0" borderId="0" xfId="6" applyNumberFormat="1" applyFont="1" applyFill="1" applyBorder="1" applyAlignment="1">
      <alignment horizontal="right"/>
    </xf>
    <xf numFmtId="9" fontId="9" fillId="0" borderId="0" xfId="27" applyFont="1" applyFill="1" applyBorder="1" applyAlignment="1">
      <alignment horizontal="right"/>
    </xf>
    <xf numFmtId="173" fontId="0" fillId="0" borderId="0" xfId="6" applyNumberFormat="1" applyFont="1" applyFill="1"/>
    <xf numFmtId="0" fontId="0" fillId="0" borderId="0" xfId="6" applyFont="1" applyFill="1" applyAlignment="1">
      <alignment vertical="top" wrapText="1"/>
    </xf>
    <xf numFmtId="186" fontId="0" fillId="0" borderId="0" xfId="6" applyNumberFormat="1" applyFont="1" applyFill="1" applyBorder="1"/>
    <xf numFmtId="186" fontId="9" fillId="0" borderId="0" xfId="7" applyNumberFormat="1" applyFont="1" applyFill="1" applyBorder="1" applyAlignment="1">
      <alignment horizontal="right" wrapText="1"/>
    </xf>
    <xf numFmtId="173" fontId="9" fillId="0" borderId="0" xfId="6" applyNumberFormat="1" applyFont="1" applyFill="1" applyBorder="1"/>
    <xf numFmtId="3" fontId="15" fillId="0" borderId="4" xfId="6" applyNumberFormat="1" applyFont="1" applyFill="1" applyBorder="1" applyAlignment="1">
      <alignment horizontal="right"/>
    </xf>
    <xf numFmtId="0" fontId="15" fillId="0" borderId="4" xfId="6" applyFont="1" applyFill="1" applyBorder="1"/>
    <xf numFmtId="3" fontId="15" fillId="0" borderId="0" xfId="6" applyNumberFormat="1" applyFont="1" applyFill="1" applyBorder="1" applyAlignment="1">
      <alignment horizontal="right"/>
    </xf>
    <xf numFmtId="0" fontId="15" fillId="0" borderId="0" xfId="6" applyFont="1" applyFill="1" applyBorder="1" applyAlignment="1">
      <alignment horizontal="right"/>
    </xf>
    <xf numFmtId="0" fontId="15" fillId="0" borderId="0" xfId="6" applyFont="1" applyFill="1" applyBorder="1"/>
    <xf numFmtId="0" fontId="12" fillId="0" borderId="5" xfId="6" applyFont="1" applyFill="1" applyBorder="1" applyAlignment="1">
      <alignment horizontal="right"/>
    </xf>
    <xf numFmtId="173" fontId="12" fillId="0" borderId="5" xfId="6" quotePrefix="1" applyNumberFormat="1" applyFont="1" applyFill="1" applyBorder="1" applyAlignment="1">
      <alignment horizontal="right"/>
    </xf>
    <xf numFmtId="0" fontId="12" fillId="0" borderId="5" xfId="6" quotePrefix="1" applyFont="1" applyFill="1" applyBorder="1" applyAlignment="1">
      <alignment horizontal="right"/>
    </xf>
    <xf numFmtId="17" fontId="12" fillId="0" borderId="5" xfId="6" quotePrefix="1" applyNumberFormat="1" applyFont="1" applyFill="1" applyBorder="1" applyAlignment="1">
      <alignment horizontal="right"/>
    </xf>
    <xf numFmtId="0" fontId="3" fillId="0" borderId="0" xfId="6" applyFont="1" applyFill="1"/>
    <xf numFmtId="173" fontId="0" fillId="0" borderId="0" xfId="2" applyNumberFormat="1" applyFont="1" applyFill="1" applyBorder="1"/>
    <xf numFmtId="3" fontId="0" fillId="0" borderId="0" xfId="6" applyNumberFormat="1" applyFont="1" applyFill="1" applyBorder="1"/>
    <xf numFmtId="0" fontId="18" fillId="0" borderId="0" xfId="6" applyFont="1" applyFill="1" applyBorder="1" applyAlignment="1">
      <alignment vertical="top"/>
    </xf>
    <xf numFmtId="0" fontId="9" fillId="0" borderId="6" xfId="6" applyFont="1" applyFill="1" applyBorder="1" applyAlignment="1">
      <alignment horizontal="center" vertical="center" wrapText="1"/>
    </xf>
    <xf numFmtId="0" fontId="9" fillId="0" borderId="0" xfId="6" applyFont="1" applyFill="1" applyBorder="1" applyAlignment="1">
      <alignment horizontal="center" vertical="top" wrapText="1"/>
    </xf>
    <xf numFmtId="0" fontId="31" fillId="0" borderId="0" xfId="6" applyFont="1" applyFill="1" applyBorder="1" applyAlignment="1" applyProtection="1">
      <alignment vertical="top" wrapText="1"/>
    </xf>
    <xf numFmtId="49" fontId="31" fillId="0" borderId="0" xfId="6" applyNumberFormat="1" applyFont="1" applyFill="1" applyBorder="1" applyAlignment="1" applyProtection="1">
      <alignment vertical="top" wrapText="1"/>
    </xf>
    <xf numFmtId="3" fontId="9" fillId="0" borderId="0" xfId="7" applyNumberFormat="1" applyFont="1" applyFill="1" applyBorder="1" applyAlignment="1">
      <alignment horizontal="right"/>
    </xf>
    <xf numFmtId="186" fontId="9" fillId="0" borderId="0" xfId="6" applyNumberFormat="1" applyFont="1" applyFill="1" applyBorder="1" applyAlignment="1">
      <alignment horizontal="right" wrapText="1"/>
    </xf>
    <xf numFmtId="0" fontId="9" fillId="0" borderId="0" xfId="6" applyFont="1" applyFill="1" applyBorder="1" applyAlignment="1">
      <alignment vertical="top" wrapText="1"/>
    </xf>
    <xf numFmtId="0" fontId="0" fillId="0" borderId="0" xfId="6" applyFont="1" applyFill="1" applyAlignment="1">
      <alignment vertical="center"/>
    </xf>
    <xf numFmtId="0" fontId="0" fillId="0" borderId="0" xfId="6" applyFont="1" applyFill="1" applyBorder="1" applyAlignment="1">
      <alignment vertical="center"/>
    </xf>
    <xf numFmtId="0" fontId="28" fillId="0" borderId="0" xfId="6" applyFont="1" applyFill="1" applyBorder="1" applyAlignment="1">
      <alignment vertical="center"/>
    </xf>
    <xf numFmtId="173" fontId="0" fillId="0" borderId="0" xfId="2" applyNumberFormat="1" applyFont="1" applyFill="1" applyBorder="1" applyAlignment="1">
      <alignment vertical="center"/>
    </xf>
    <xf numFmtId="186" fontId="9" fillId="0" borderId="4" xfId="6" applyNumberFormat="1" applyFont="1" applyFill="1" applyBorder="1" applyAlignment="1">
      <alignment horizontal="right" vertical="center"/>
    </xf>
    <xf numFmtId="0" fontId="0" fillId="0" borderId="0" xfId="6" applyFont="1" applyFill="1" applyAlignment="1">
      <alignment vertical="center" wrapText="1"/>
    </xf>
    <xf numFmtId="0" fontId="6" fillId="0" borderId="0" xfId="6" applyFont="1" applyFill="1" applyAlignment="1">
      <alignment vertical="center"/>
    </xf>
    <xf numFmtId="0" fontId="83" fillId="0" borderId="0" xfId="6" applyFont="1" applyFill="1"/>
    <xf numFmtId="0" fontId="83" fillId="0" borderId="0" xfId="6" applyFont="1" applyFill="1" applyBorder="1"/>
    <xf numFmtId="0" fontId="84" fillId="0" borderId="0" xfId="6" applyFont="1" applyFill="1" applyBorder="1"/>
    <xf numFmtId="3" fontId="83" fillId="0" borderId="0" xfId="6" applyNumberFormat="1" applyFont="1" applyFill="1" applyBorder="1"/>
    <xf numFmtId="0" fontId="83" fillId="0" borderId="0" xfId="6" applyFont="1" applyFill="1" applyAlignment="1">
      <alignment vertical="top" wrapText="1"/>
    </xf>
    <xf numFmtId="0" fontId="86" fillId="0" borderId="0" xfId="6" applyFont="1" applyFill="1" applyAlignment="1">
      <alignment vertical="top"/>
    </xf>
    <xf numFmtId="49" fontId="0" fillId="0" borderId="0" xfId="6" applyNumberFormat="1" applyFont="1" applyFill="1"/>
    <xf numFmtId="49" fontId="0" fillId="0" borderId="0" xfId="6" applyNumberFormat="1" applyFont="1" applyFill="1" applyBorder="1"/>
    <xf numFmtId="49" fontId="28" fillId="0" borderId="0" xfId="6" applyNumberFormat="1" applyFont="1" applyFill="1" applyBorder="1"/>
    <xf numFmtId="49" fontId="8" fillId="0" borderId="5" xfId="6" quotePrefix="1" applyNumberFormat="1" applyFont="1" applyFill="1" applyBorder="1" applyAlignment="1">
      <alignment horizontal="right"/>
    </xf>
    <xf numFmtId="49" fontId="8" fillId="0" borderId="5" xfId="7" quotePrefix="1" applyNumberFormat="1" applyFont="1" applyFill="1" applyBorder="1" applyAlignment="1">
      <alignment horizontal="right"/>
    </xf>
    <xf numFmtId="49" fontId="8" fillId="0" borderId="5" xfId="7" applyNumberFormat="1" applyFont="1" applyFill="1" applyBorder="1" applyAlignment="1">
      <alignment horizontal="right"/>
    </xf>
    <xf numFmtId="49" fontId="8" fillId="0" borderId="5" xfId="6" applyNumberFormat="1" applyFont="1" applyFill="1" applyBorder="1" applyAlignment="1">
      <alignment horizontal="right"/>
    </xf>
    <xf numFmtId="49" fontId="0" fillId="0" borderId="0" xfId="6" applyNumberFormat="1" applyFont="1" applyFill="1" applyBorder="1" applyAlignment="1">
      <alignment vertical="top"/>
    </xf>
    <xf numFmtId="49" fontId="0" fillId="0" borderId="0" xfId="6" applyNumberFormat="1" applyFont="1" applyFill="1" applyAlignment="1">
      <alignment vertical="top" wrapText="1"/>
    </xf>
    <xf numFmtId="49" fontId="6" fillId="0" borderId="0" xfId="6" applyNumberFormat="1" applyFont="1" applyFill="1" applyAlignment="1">
      <alignment vertical="top"/>
    </xf>
    <xf numFmtId="0" fontId="0" fillId="0" borderId="0" xfId="6" applyFont="1" applyFill="1" applyBorder="1" applyAlignment="1">
      <alignment vertical="top"/>
    </xf>
    <xf numFmtId="198" fontId="8" fillId="0" borderId="0" xfId="6" applyNumberFormat="1" applyFont="1" applyFill="1" applyBorder="1" applyAlignment="1" applyProtection="1">
      <alignment horizontal="right"/>
    </xf>
    <xf numFmtId="3" fontId="8" fillId="0" borderId="0" xfId="6" applyNumberFormat="1" applyFont="1" applyFill="1" applyBorder="1" applyAlignment="1" applyProtection="1">
      <alignment horizontal="right"/>
    </xf>
    <xf numFmtId="3" fontId="8" fillId="0" borderId="0" xfId="16" applyNumberFormat="1" applyFont="1" applyFill="1" applyBorder="1" applyAlignment="1">
      <alignment horizontal="right"/>
    </xf>
    <xf numFmtId="3" fontId="8" fillId="0" borderId="0" xfId="16" applyNumberFormat="1" applyFont="1" applyFill="1" applyBorder="1" applyAlignment="1">
      <alignment horizontal="center"/>
    </xf>
    <xf numFmtId="176" fontId="8" fillId="0" borderId="0" xfId="16" applyNumberFormat="1" applyFont="1" applyFill="1" applyBorder="1" applyAlignment="1">
      <alignment horizontal="center"/>
    </xf>
    <xf numFmtId="199" fontId="8" fillId="0" borderId="24" xfId="28" applyFont="1" applyFill="1" applyBorder="1" applyAlignment="1">
      <alignment horizontal="center"/>
    </xf>
    <xf numFmtId="199" fontId="9" fillId="0" borderId="24" xfId="28" applyFont="1" applyFill="1" applyBorder="1" applyAlignment="1">
      <alignment horizontal="right"/>
    </xf>
    <xf numFmtId="0" fontId="8" fillId="0" borderId="0" xfId="6" applyFont="1" applyFill="1" applyAlignment="1" applyProtection="1">
      <alignment horizontal="right" vertical="top"/>
    </xf>
    <xf numFmtId="174" fontId="8" fillId="0" borderId="0" xfId="6" quotePrefix="1" applyNumberFormat="1" applyFont="1" applyFill="1" applyBorder="1" applyAlignment="1" applyProtection="1">
      <alignment horizontal="right"/>
      <protection locked="0"/>
    </xf>
    <xf numFmtId="0" fontId="18" fillId="0" borderId="0" xfId="6" applyFont="1" applyFill="1" applyBorder="1" applyAlignment="1" applyProtection="1">
      <alignment horizontal="right" vertical="top"/>
    </xf>
    <xf numFmtId="3" fontId="9" fillId="0" borderId="0" xfId="6" applyNumberFormat="1" applyFont="1" applyFill="1" applyBorder="1" applyAlignment="1">
      <alignment horizontal="center" wrapText="1"/>
    </xf>
    <xf numFmtId="0" fontId="9" fillId="0" borderId="0" xfId="6" applyFont="1" applyFill="1" applyBorder="1" applyAlignment="1">
      <alignment horizontal="center" wrapText="1"/>
    </xf>
    <xf numFmtId="170" fontId="44" fillId="0" borderId="4" xfId="17" applyNumberFormat="1" applyFont="1" applyFill="1" applyBorder="1" applyAlignment="1">
      <alignment horizontal="right"/>
    </xf>
    <xf numFmtId="0" fontId="7" fillId="0" borderId="0" xfId="6" applyFont="1" applyFill="1" applyBorder="1" applyProtection="1">
      <protection locked="0"/>
    </xf>
    <xf numFmtId="170" fontId="44" fillId="0" borderId="0" xfId="17" applyNumberFormat="1" applyFont="1" applyFill="1" applyBorder="1" applyAlignment="1">
      <alignment horizontal="right"/>
    </xf>
    <xf numFmtId="0" fontId="7" fillId="0" borderId="5" xfId="6" applyFont="1" applyFill="1" applyBorder="1" applyProtection="1">
      <protection locked="0"/>
    </xf>
    <xf numFmtId="0" fontId="0" fillId="0" borderId="0" xfId="6" applyFont="1" applyFill="1" applyBorder="1" applyAlignment="1" applyProtection="1">
      <alignment wrapText="1"/>
      <protection locked="0"/>
    </xf>
    <xf numFmtId="0" fontId="6" fillId="0" borderId="0" xfId="6" applyFont="1" applyFill="1" applyAlignment="1">
      <alignment vertical="top" wrapText="1"/>
    </xf>
    <xf numFmtId="0" fontId="7" fillId="0" borderId="0" xfId="6" applyFont="1" applyFill="1"/>
    <xf numFmtId="0" fontId="25" fillId="0" borderId="0" xfId="6" applyFont="1" applyFill="1" applyAlignment="1">
      <alignment vertical="top"/>
    </xf>
    <xf numFmtId="176" fontId="9" fillId="0" borderId="0" xfId="16" applyNumberFormat="1" applyFont="1" applyFill="1" applyBorder="1" applyAlignment="1">
      <alignment horizontal="center" wrapText="1"/>
    </xf>
    <xf numFmtId="0" fontId="8" fillId="0" borderId="0" xfId="6" applyFont="1" applyFill="1" applyBorder="1" applyAlignment="1">
      <alignment wrapText="1"/>
    </xf>
    <xf numFmtId="176" fontId="9" fillId="0" borderId="0" xfId="16" applyNumberFormat="1" applyFont="1" applyFill="1" applyBorder="1" applyAlignment="1">
      <alignment horizontal="right" wrapText="1"/>
    </xf>
    <xf numFmtId="176" fontId="9" fillId="0" borderId="14" xfId="16" applyNumberFormat="1" applyFont="1" applyFill="1" applyBorder="1" applyAlignment="1">
      <alignment horizontal="right" wrapText="1"/>
    </xf>
    <xf numFmtId="0" fontId="25" fillId="0" borderId="0" xfId="6" applyFont="1" applyFill="1" applyBorder="1" applyAlignment="1">
      <alignment vertical="top"/>
    </xf>
    <xf numFmtId="0" fontId="8" fillId="0" borderId="29" xfId="6" applyFont="1" applyFill="1" applyBorder="1" applyAlignment="1">
      <alignment horizontal="right" wrapText="1"/>
    </xf>
    <xf numFmtId="0" fontId="8" fillId="0" borderId="29" xfId="6" quotePrefix="1" applyFont="1" applyFill="1" applyBorder="1" applyAlignment="1">
      <alignment horizontal="right" wrapText="1"/>
    </xf>
    <xf numFmtId="186" fontId="8" fillId="0" borderId="0" xfId="6" applyNumberFormat="1" applyFont="1" applyFill="1" applyBorder="1"/>
    <xf numFmtId="169" fontId="14" fillId="0" borderId="0" xfId="6" applyNumberFormat="1" applyFont="1" applyFill="1" applyBorder="1" applyAlignment="1">
      <alignment horizontal="right"/>
    </xf>
    <xf numFmtId="176" fontId="9" fillId="0" borderId="4" xfId="16" applyNumberFormat="1" applyFont="1" applyFill="1" applyBorder="1" applyAlignment="1">
      <alignment horizontal="right" wrapText="1"/>
    </xf>
    <xf numFmtId="176" fontId="9" fillId="0" borderId="4" xfId="16" applyNumberFormat="1" applyFont="1" applyFill="1" applyBorder="1" applyAlignment="1">
      <alignment horizontal="center" wrapText="1"/>
    </xf>
    <xf numFmtId="0" fontId="8" fillId="0" borderId="4" xfId="6" applyFont="1" applyFill="1" applyBorder="1" applyAlignment="1">
      <alignment wrapText="1"/>
    </xf>
    <xf numFmtId="176" fontId="9" fillId="0" borderId="10" xfId="16" applyNumberFormat="1" applyFont="1" applyFill="1" applyBorder="1" applyAlignment="1">
      <alignment horizontal="right" wrapText="1"/>
    </xf>
    <xf numFmtId="176" fontId="9" fillId="0" borderId="10" xfId="16" applyNumberFormat="1" applyFont="1" applyFill="1" applyBorder="1" applyAlignment="1">
      <alignment horizontal="center" wrapText="1"/>
    </xf>
    <xf numFmtId="169" fontId="5" fillId="0" borderId="0" xfId="6" applyNumberFormat="1" applyFont="1" applyFill="1" applyAlignment="1">
      <alignment horizontal="right"/>
    </xf>
    <xf numFmtId="17" fontId="8" fillId="0" borderId="5" xfId="6" quotePrefix="1" applyNumberFormat="1" applyFont="1" applyFill="1" applyBorder="1" applyAlignment="1">
      <alignment horizontal="right" wrapText="1"/>
    </xf>
    <xf numFmtId="17" fontId="8" fillId="0" borderId="5" xfId="6" quotePrefix="1" applyNumberFormat="1" applyFont="1" applyFill="1" applyBorder="1" applyAlignment="1">
      <alignment horizontal="center" wrapText="1"/>
    </xf>
    <xf numFmtId="0" fontId="8" fillId="0" borderId="4" xfId="6" applyFont="1" applyFill="1" applyBorder="1"/>
    <xf numFmtId="0" fontId="7" fillId="0" borderId="0" xfId="6" applyFont="1" applyFill="1" applyBorder="1"/>
    <xf numFmtId="0" fontId="5" fillId="0" borderId="0" xfId="7" applyFont="1" applyFill="1" applyBorder="1" applyAlignment="1">
      <alignment horizontal="left" vertical="top" wrapText="1"/>
    </xf>
    <xf numFmtId="165" fontId="9" fillId="0" borderId="50" xfId="6" applyNumberFormat="1" applyFont="1" applyFill="1" applyBorder="1" applyAlignment="1">
      <alignment horizontal="center"/>
    </xf>
    <xf numFmtId="165" fontId="9" fillId="0" borderId="21" xfId="6" applyNumberFormat="1" applyFont="1" applyFill="1" applyBorder="1" applyAlignment="1">
      <alignment horizontal="center"/>
    </xf>
    <xf numFmtId="165" fontId="9" fillId="0" borderId="60" xfId="6" applyNumberFormat="1" applyFont="1" applyFill="1" applyBorder="1" applyAlignment="1">
      <alignment horizontal="center"/>
    </xf>
    <xf numFmtId="165" fontId="9" fillId="0" borderId="4" xfId="6" applyNumberFormat="1" applyFont="1" applyFill="1" applyBorder="1" applyAlignment="1">
      <alignment horizontal="center"/>
    </xf>
    <xf numFmtId="165" fontId="9" fillId="0" borderId="7" xfId="6" applyNumberFormat="1" applyFont="1" applyFill="1" applyBorder="1" applyAlignment="1">
      <alignment horizontal="center"/>
    </xf>
    <xf numFmtId="165" fontId="9" fillId="0" borderId="19" xfId="6" applyNumberFormat="1" applyFont="1" applyFill="1" applyBorder="1" applyAlignment="1">
      <alignment horizontal="center"/>
    </xf>
    <xf numFmtId="165" fontId="9" fillId="0" borderId="61" xfId="6" applyNumberFormat="1" applyFont="1" applyFill="1" applyBorder="1" applyAlignment="1">
      <alignment horizontal="center"/>
    </xf>
    <xf numFmtId="165" fontId="9" fillId="0" borderId="0" xfId="6" applyNumberFormat="1" applyFont="1" applyFill="1" applyBorder="1" applyAlignment="1">
      <alignment horizontal="center"/>
    </xf>
    <xf numFmtId="0" fontId="41" fillId="0" borderId="5" xfId="6" applyFont="1" applyFill="1" applyBorder="1" applyAlignment="1" applyProtection="1">
      <alignment horizontal="right"/>
    </xf>
    <xf numFmtId="0" fontId="26" fillId="0" borderId="0" xfId="6" applyFont="1" applyFill="1" applyAlignment="1" applyProtection="1">
      <alignment vertical="top"/>
    </xf>
    <xf numFmtId="0" fontId="0" fillId="0" borderId="0" xfId="6" applyFont="1" applyFill="1" applyProtection="1"/>
    <xf numFmtId="1" fontId="9" fillId="0" borderId="0" xfId="6" applyNumberFormat="1" applyFont="1" applyFill="1" applyBorder="1" applyAlignment="1" applyProtection="1">
      <alignment horizontal="right"/>
    </xf>
    <xf numFmtId="1" fontId="9" fillId="0" borderId="0" xfId="6" applyNumberFormat="1" applyFont="1" applyFill="1" applyProtection="1"/>
    <xf numFmtId="1" fontId="0" fillId="0" borderId="0" xfId="6" applyNumberFormat="1" applyFont="1" applyFill="1" applyProtection="1"/>
    <xf numFmtId="9" fontId="9" fillId="0" borderId="14" xfId="19" applyFont="1" applyFill="1" applyBorder="1" applyAlignment="1" applyProtection="1">
      <alignment horizontal="right"/>
    </xf>
    <xf numFmtId="186" fontId="9" fillId="0" borderId="64" xfId="6" applyNumberFormat="1" applyFont="1" applyFill="1" applyBorder="1" applyAlignment="1" applyProtection="1">
      <alignment horizontal="right"/>
    </xf>
    <xf numFmtId="9" fontId="9" fillId="0" borderId="15" xfId="19" applyFont="1" applyFill="1" applyBorder="1" applyAlignment="1" applyProtection="1">
      <alignment horizontal="right"/>
    </xf>
    <xf numFmtId="186" fontId="9" fillId="0" borderId="14" xfId="6" applyNumberFormat="1" applyFont="1" applyFill="1" applyBorder="1" applyAlignment="1" applyProtection="1">
      <alignment horizontal="right"/>
    </xf>
    <xf numFmtId="0" fontId="9" fillId="0" borderId="14" xfId="6" applyFont="1" applyFill="1" applyBorder="1" applyAlignment="1">
      <alignment horizontal="justify"/>
    </xf>
    <xf numFmtId="9" fontId="9" fillId="0" borderId="0" xfId="19" applyFont="1" applyFill="1" applyBorder="1" applyAlignment="1" applyProtection="1">
      <alignment horizontal="right"/>
    </xf>
    <xf numFmtId="186" fontId="9" fillId="0" borderId="7" xfId="6" applyNumberFormat="1" applyFont="1" applyFill="1" applyBorder="1" applyAlignment="1" applyProtection="1">
      <alignment horizontal="right"/>
    </xf>
    <xf numFmtId="186" fontId="9" fillId="0" borderId="0" xfId="6" applyNumberFormat="1" applyFont="1" applyFill="1" applyBorder="1" applyAlignment="1" applyProtection="1">
      <alignment horizontal="right"/>
    </xf>
    <xf numFmtId="0" fontId="9" fillId="0" borderId="0" xfId="6" applyFont="1" applyFill="1" applyBorder="1" applyAlignment="1">
      <alignment horizontal="justify"/>
    </xf>
    <xf numFmtId="9" fontId="15" fillId="0" borderId="0" xfId="19" applyFont="1" applyFill="1" applyBorder="1" applyAlignment="1" applyProtection="1">
      <alignment horizontal="right"/>
    </xf>
    <xf numFmtId="186" fontId="15" fillId="0" borderId="0" xfId="6" applyNumberFormat="1" applyFont="1" applyFill="1" applyBorder="1" applyAlignment="1" applyProtection="1">
      <alignment horizontal="right"/>
    </xf>
    <xf numFmtId="43" fontId="9" fillId="0" borderId="0" xfId="1" applyFont="1" applyFill="1" applyProtection="1"/>
    <xf numFmtId="0" fontId="9" fillId="0" borderId="29" xfId="6" applyFont="1" applyFill="1" applyBorder="1" applyAlignment="1">
      <alignment horizontal="center" vertical="top" wrapText="1"/>
    </xf>
    <xf numFmtId="0" fontId="9" fillId="0" borderId="55" xfId="6" applyFont="1" applyFill="1" applyBorder="1" applyAlignment="1">
      <alignment horizontal="center" vertical="top"/>
    </xf>
    <xf numFmtId="0" fontId="9" fillId="0" borderId="29" xfId="6" applyFont="1" applyFill="1" applyBorder="1" applyAlignment="1">
      <alignment horizontal="center" vertical="top"/>
    </xf>
    <xf numFmtId="0" fontId="9" fillId="0" borderId="29" xfId="6" applyFont="1" applyFill="1" applyBorder="1" applyAlignment="1">
      <alignment horizontal="justify"/>
    </xf>
    <xf numFmtId="1" fontId="9" fillId="0" borderId="5" xfId="6" applyNumberFormat="1" applyFont="1" applyFill="1" applyBorder="1" applyAlignment="1" applyProtection="1">
      <alignment horizontal="right"/>
    </xf>
    <xf numFmtId="1" fontId="19" fillId="0" borderId="4" xfId="6" applyNumberFormat="1" applyFont="1" applyFill="1" applyBorder="1" applyAlignment="1" applyProtection="1">
      <alignment horizontal="right"/>
    </xf>
    <xf numFmtId="165" fontId="19" fillId="0" borderId="4" xfId="6" applyNumberFormat="1" applyFont="1" applyFill="1" applyBorder="1" applyAlignment="1" applyProtection="1">
      <alignment horizontal="right"/>
    </xf>
    <xf numFmtId="1" fontId="9" fillId="0" borderId="4" xfId="6" applyNumberFormat="1" applyFont="1" applyFill="1" applyBorder="1" applyAlignment="1" applyProtection="1">
      <alignment horizontal="right"/>
    </xf>
    <xf numFmtId="186" fontId="19" fillId="0" borderId="0" xfId="6" applyNumberFormat="1" applyFont="1" applyFill="1" applyBorder="1" applyAlignment="1" applyProtection="1">
      <alignment horizontal="right"/>
    </xf>
    <xf numFmtId="0" fontId="9" fillId="0" borderId="0" xfId="6" applyFont="1" applyFill="1" applyBorder="1" applyAlignment="1" applyProtection="1">
      <alignment vertical="top" wrapText="1"/>
    </xf>
    <xf numFmtId="0" fontId="88" fillId="0" borderId="0" xfId="6" applyFont="1" applyFill="1" applyProtection="1">
      <protection locked="0"/>
    </xf>
    <xf numFmtId="0" fontId="41" fillId="0" borderId="0" xfId="6" applyFont="1" applyFill="1" applyBorder="1" applyAlignment="1" applyProtection="1">
      <alignment horizontal="right"/>
    </xf>
    <xf numFmtId="0" fontId="0" fillId="0" borderId="0" xfId="6" applyFont="1" applyFill="1" applyBorder="1" applyProtection="1"/>
    <xf numFmtId="0" fontId="0" fillId="0" borderId="4" xfId="6" applyFont="1" applyFill="1" applyBorder="1" applyProtection="1"/>
    <xf numFmtId="0" fontId="0" fillId="0" borderId="0" xfId="6" applyFont="1" applyFill="1" applyAlignment="1" applyProtection="1">
      <protection locked="0"/>
    </xf>
    <xf numFmtId="2" fontId="9" fillId="0" borderId="0" xfId="6" applyNumberFormat="1" applyFont="1" applyFill="1" applyBorder="1" applyProtection="1"/>
    <xf numFmtId="165" fontId="9" fillId="0" borderId="0" xfId="6" applyNumberFormat="1" applyFont="1" applyFill="1" applyBorder="1" applyAlignment="1" applyProtection="1">
      <alignment horizontal="right"/>
    </xf>
    <xf numFmtId="173" fontId="9" fillId="0" borderId="0" xfId="19" applyNumberFormat="1" applyFont="1" applyFill="1" applyBorder="1" applyAlignment="1" applyProtection="1">
      <alignment horizontal="right"/>
    </xf>
    <xf numFmtId="170" fontId="9" fillId="0" borderId="0" xfId="6" applyNumberFormat="1" applyFont="1" applyFill="1" applyBorder="1" applyAlignment="1" applyProtection="1">
      <alignment horizontal="right"/>
    </xf>
    <xf numFmtId="173" fontId="15" fillId="0" borderId="43" xfId="19" applyNumberFormat="1" applyFont="1" applyFill="1" applyBorder="1" applyAlignment="1" applyProtection="1">
      <alignment horizontal="right"/>
    </xf>
    <xf numFmtId="170" fontId="15" fillId="0" borderId="4" xfId="6" applyNumberFormat="1" applyFont="1" applyFill="1" applyBorder="1" applyAlignment="1" applyProtection="1">
      <alignment horizontal="right"/>
    </xf>
    <xf numFmtId="173" fontId="9" fillId="0" borderId="43" xfId="19" applyNumberFormat="1" applyFont="1" applyFill="1" applyBorder="1" applyAlignment="1" applyProtection="1">
      <alignment horizontal="right"/>
    </xf>
    <xf numFmtId="170" fontId="9" fillId="0" borderId="4" xfId="6" applyNumberFormat="1" applyFont="1" applyFill="1" applyBorder="1" applyAlignment="1" applyProtection="1">
      <alignment horizontal="right"/>
    </xf>
    <xf numFmtId="173" fontId="9" fillId="0" borderId="15" xfId="19" applyNumberFormat="1" applyFont="1" applyFill="1" applyBorder="1" applyAlignment="1" applyProtection="1">
      <alignment horizontal="right"/>
    </xf>
    <xf numFmtId="170" fontId="9" fillId="0" borderId="4" xfId="6" applyNumberFormat="1" applyFont="1" applyFill="1" applyBorder="1" applyAlignment="1">
      <alignment horizontal="right"/>
    </xf>
    <xf numFmtId="0" fontId="9" fillId="0" borderId="4" xfId="6" applyFont="1" applyFill="1" applyBorder="1" applyAlignment="1">
      <alignment horizontal="justify"/>
    </xf>
    <xf numFmtId="0" fontId="9" fillId="0" borderId="8" xfId="6" applyFont="1" applyFill="1" applyBorder="1" applyAlignment="1">
      <alignment horizontal="justify"/>
    </xf>
    <xf numFmtId="0" fontId="8" fillId="0" borderId="8" xfId="6" applyFont="1" applyFill="1" applyBorder="1" applyAlignment="1">
      <alignment horizontal="justify"/>
    </xf>
    <xf numFmtId="0" fontId="9" fillId="0" borderId="5" xfId="6" applyFont="1" applyFill="1" applyBorder="1" applyAlignment="1">
      <alignment horizontal="justify"/>
    </xf>
    <xf numFmtId="0" fontId="8" fillId="0" borderId="0" xfId="6" applyFont="1" applyFill="1" applyBorder="1" applyAlignment="1">
      <alignment horizontal="justify"/>
    </xf>
    <xf numFmtId="165" fontId="9" fillId="0" borderId="0" xfId="6" applyNumberFormat="1" applyFont="1" applyFill="1" applyBorder="1" applyAlignment="1" applyProtection="1">
      <alignment horizontal="left"/>
    </xf>
    <xf numFmtId="165" fontId="9" fillId="0" borderId="4" xfId="6" applyNumberFormat="1" applyFont="1" applyFill="1" applyBorder="1" applyAlignment="1" applyProtection="1">
      <alignment horizontal="left"/>
    </xf>
    <xf numFmtId="165" fontId="7" fillId="0" borderId="0" xfId="6" applyNumberFormat="1" applyFont="1" applyFill="1" applyBorder="1" applyAlignment="1" applyProtection="1">
      <alignment horizontal="right"/>
    </xf>
    <xf numFmtId="169" fontId="9" fillId="0" borderId="0" xfId="6" applyNumberFormat="1" applyFont="1" applyFill="1" applyBorder="1" applyAlignment="1" applyProtection="1">
      <alignment horizontal="right"/>
    </xf>
    <xf numFmtId="3" fontId="9" fillId="0" borderId="8" xfId="6" applyNumberFormat="1" applyFont="1" applyFill="1" applyBorder="1"/>
    <xf numFmtId="3" fontId="9" fillId="0" borderId="9" xfId="6" applyNumberFormat="1" applyFont="1" applyFill="1" applyBorder="1"/>
    <xf numFmtId="0" fontId="9" fillId="0" borderId="8" xfId="6" applyFont="1" applyFill="1" applyBorder="1" applyAlignment="1" applyProtection="1">
      <protection locked="0"/>
    </xf>
    <xf numFmtId="3" fontId="8" fillId="0" borderId="0" xfId="6" applyNumberFormat="1" applyFont="1" applyFill="1" applyBorder="1"/>
    <xf numFmtId="3" fontId="9" fillId="0" borderId="7" xfId="6" applyNumberFormat="1" applyFont="1" applyFill="1" applyBorder="1"/>
    <xf numFmtId="3" fontId="9" fillId="0" borderId="13" xfId="6" applyNumberFormat="1" applyFont="1" applyFill="1" applyBorder="1" applyAlignment="1">
      <alignment horizontal="right"/>
    </xf>
    <xf numFmtId="3" fontId="9" fillId="0" borderId="8" xfId="6" applyNumberFormat="1" applyFont="1" applyFill="1" applyBorder="1" applyAlignment="1">
      <alignment horizontal="right"/>
    </xf>
    <xf numFmtId="176" fontId="9" fillId="0" borderId="8" xfId="6" applyNumberFormat="1" applyFont="1" applyFill="1" applyBorder="1" applyAlignment="1">
      <alignment horizontal="right"/>
    </xf>
    <xf numFmtId="0" fontId="9" fillId="0" borderId="6" xfId="6" applyFont="1" applyFill="1" applyBorder="1" applyAlignment="1" applyProtection="1">
      <alignment horizontal="right" wrapText="1"/>
    </xf>
    <xf numFmtId="176" fontId="9" fillId="0" borderId="0" xfId="33" applyNumberFormat="1" applyFont="1" applyFill="1" applyBorder="1" applyAlignment="1" applyProtection="1">
      <alignment horizontal="right"/>
    </xf>
    <xf numFmtId="0" fontId="8" fillId="0" borderId="0" xfId="6" applyFont="1" applyFill="1" applyBorder="1" applyAlignment="1" applyProtection="1">
      <alignment horizontal="left" vertical="center" wrapText="1"/>
    </xf>
    <xf numFmtId="165" fontId="9" fillId="0" borderId="0" xfId="6" applyNumberFormat="1" applyFont="1" applyFill="1" applyBorder="1" applyAlignment="1">
      <alignment horizontal="right"/>
    </xf>
    <xf numFmtId="2" fontId="9" fillId="0" borderId="13" xfId="6" applyNumberFormat="1" applyFont="1" applyFill="1" applyBorder="1" applyAlignment="1">
      <alignment horizontal="right"/>
    </xf>
    <xf numFmtId="2" fontId="9" fillId="0" borderId="8" xfId="6" applyNumberFormat="1" applyFont="1" applyFill="1" applyBorder="1" applyAlignment="1">
      <alignment horizontal="right"/>
    </xf>
    <xf numFmtId="2" fontId="9" fillId="0" borderId="8" xfId="6" applyNumberFormat="1" applyFont="1" applyFill="1" applyBorder="1" applyAlignment="1" applyProtection="1">
      <alignment horizontal="right"/>
      <protection locked="0"/>
    </xf>
    <xf numFmtId="2" fontId="9" fillId="0" borderId="0" xfId="6" applyNumberFormat="1" applyFont="1" applyFill="1" applyBorder="1" applyAlignment="1">
      <alignment horizontal="right"/>
    </xf>
    <xf numFmtId="0" fontId="9" fillId="0" borderId="0" xfId="6" applyNumberFormat="1" applyFont="1" applyFill="1" applyBorder="1"/>
    <xf numFmtId="0" fontId="8" fillId="0" borderId="0" xfId="6" applyNumberFormat="1" applyFont="1" applyFill="1" applyBorder="1"/>
    <xf numFmtId="173" fontId="9" fillId="0" borderId="8" xfId="19" applyNumberFormat="1" applyFont="1" applyFill="1" applyBorder="1" applyAlignment="1" applyProtection="1">
      <alignment horizontal="right"/>
    </xf>
    <xf numFmtId="9" fontId="9" fillId="0" borderId="4" xfId="6" applyNumberFormat="1" applyFont="1" applyFill="1" applyBorder="1" applyProtection="1"/>
    <xf numFmtId="9" fontId="8" fillId="0" borderId="4" xfId="6" applyNumberFormat="1" applyFont="1" applyFill="1" applyBorder="1" applyProtection="1"/>
    <xf numFmtId="173" fontId="9" fillId="0" borderId="4" xfId="2" applyNumberFormat="1" applyFont="1" applyFill="1" applyBorder="1" applyAlignment="1" applyProtection="1">
      <alignment horizontal="right"/>
    </xf>
    <xf numFmtId="9" fontId="9" fillId="0" borderId="4" xfId="2" applyFont="1" applyFill="1" applyBorder="1" applyAlignment="1" applyProtection="1">
      <alignment horizontal="right"/>
    </xf>
    <xf numFmtId="173" fontId="9" fillId="0" borderId="8" xfId="2" applyNumberFormat="1" applyFont="1" applyFill="1" applyBorder="1" applyAlignment="1" applyProtection="1">
      <alignment horizontal="right"/>
    </xf>
    <xf numFmtId="9" fontId="9" fillId="0" borderId="8" xfId="2" applyFont="1" applyFill="1" applyBorder="1" applyAlignment="1" applyProtection="1">
      <alignment horizontal="right"/>
    </xf>
    <xf numFmtId="173" fontId="9" fillId="0" borderId="0" xfId="2" applyNumberFormat="1" applyFont="1" applyFill="1" applyBorder="1" applyAlignment="1" applyProtection="1">
      <alignment horizontal="right"/>
    </xf>
    <xf numFmtId="9" fontId="9" fillId="0" borderId="0" xfId="2" applyFont="1" applyFill="1" applyBorder="1" applyAlignment="1" applyProtection="1">
      <alignment horizontal="right"/>
    </xf>
    <xf numFmtId="0" fontId="8" fillId="0" borderId="0" xfId="2" applyNumberFormat="1" applyFont="1" applyFill="1" applyBorder="1" applyAlignment="1" applyProtection="1">
      <alignment horizontal="right"/>
    </xf>
    <xf numFmtId="173" fontId="9" fillId="0" borderId="4" xfId="19" applyNumberFormat="1" applyFont="1" applyFill="1" applyBorder="1" applyAlignment="1" applyProtection="1">
      <alignment horizontal="right"/>
    </xf>
    <xf numFmtId="9" fontId="9" fillId="0" borderId="0" xfId="6" applyNumberFormat="1" applyFont="1" applyFill="1" applyBorder="1" applyProtection="1">
      <protection locked="0"/>
    </xf>
    <xf numFmtId="0" fontId="9" fillId="0" borderId="4" xfId="6" applyFont="1" applyFill="1" applyBorder="1" applyAlignment="1"/>
    <xf numFmtId="176" fontId="9" fillId="0" borderId="0" xfId="6" applyNumberFormat="1" applyFont="1" applyFill="1" applyBorder="1" applyAlignment="1">
      <alignment horizontal="right"/>
    </xf>
    <xf numFmtId="3" fontId="9" fillId="0" borderId="10" xfId="6" applyNumberFormat="1" applyFont="1" applyFill="1" applyBorder="1" applyAlignment="1">
      <alignment horizontal="right"/>
    </xf>
    <xf numFmtId="0" fontId="9" fillId="0" borderId="0" xfId="6" applyFont="1" applyFill="1" applyBorder="1" applyAlignment="1" applyProtection="1">
      <protection locked="0"/>
    </xf>
    <xf numFmtId="170" fontId="9" fillId="0" borderId="0" xfId="6" applyNumberFormat="1" applyFont="1" applyFill="1" applyBorder="1" applyAlignment="1"/>
    <xf numFmtId="0" fontId="31" fillId="0" borderId="0" xfId="6" applyFont="1" applyFill="1" applyBorder="1" applyProtection="1"/>
    <xf numFmtId="0" fontId="9" fillId="0" borderId="43" xfId="6" applyFont="1" applyFill="1" applyBorder="1" applyAlignment="1">
      <alignment horizontal="right"/>
    </xf>
    <xf numFmtId="0" fontId="8" fillId="0" borderId="6" xfId="6" applyNumberFormat="1" applyFont="1" applyFill="1" applyBorder="1" applyAlignment="1">
      <alignment horizontal="right"/>
    </xf>
    <xf numFmtId="0" fontId="8" fillId="0" borderId="0" xfId="6" applyNumberFormat="1" applyFont="1" applyFill="1" applyBorder="1" applyAlignment="1">
      <alignment horizontal="right"/>
    </xf>
    <xf numFmtId="0" fontId="8" fillId="0" borderId="6" xfId="6" applyFont="1" applyFill="1" applyBorder="1" applyAlignment="1" applyProtection="1">
      <alignment horizontal="right"/>
      <protection locked="0"/>
    </xf>
    <xf numFmtId="0" fontId="26" fillId="0" borderId="0" xfId="6" applyFont="1" applyFill="1" applyBorder="1" applyProtection="1"/>
    <xf numFmtId="0" fontId="26" fillId="0" borderId="0" xfId="6" applyFont="1" applyFill="1" applyProtection="1"/>
    <xf numFmtId="0" fontId="8" fillId="0" borderId="0" xfId="6" applyFont="1" applyFill="1" applyProtection="1">
      <protection locked="0"/>
    </xf>
    <xf numFmtId="3" fontId="9" fillId="0" borderId="0" xfId="6" applyNumberFormat="1" applyFont="1" applyFill="1"/>
    <xf numFmtId="0" fontId="5" fillId="0" borderId="0" xfId="6" applyNumberFormat="1" applyFont="1" applyFill="1" applyBorder="1" applyAlignment="1" applyProtection="1">
      <alignment horizontal="left" vertical="top" wrapText="1"/>
    </xf>
    <xf numFmtId="0" fontId="9" fillId="0" borderId="4" xfId="6" applyNumberFormat="1" applyFont="1" applyFill="1" applyBorder="1" applyAlignment="1"/>
    <xf numFmtId="0" fontId="9" fillId="0" borderId="5" xfId="6" applyFont="1" applyFill="1" applyBorder="1" applyAlignment="1"/>
    <xf numFmtId="0" fontId="8" fillId="0" borderId="14" xfId="6" applyFont="1" applyFill="1" applyBorder="1" applyAlignment="1"/>
    <xf numFmtId="0" fontId="16" fillId="0" borderId="0" xfId="6" applyFont="1" applyFill="1" applyBorder="1"/>
    <xf numFmtId="173" fontId="9" fillId="0" borderId="0" xfId="19" applyNumberFormat="1" applyFont="1" applyFill="1" applyBorder="1" applyAlignment="1">
      <alignment horizontal="right"/>
    </xf>
    <xf numFmtId="173" fontId="9" fillId="0" borderId="20" xfId="19" applyNumberFormat="1" applyFont="1" applyFill="1" applyBorder="1" applyAlignment="1">
      <alignment horizontal="right"/>
    </xf>
    <xf numFmtId="0" fontId="8" fillId="0" borderId="26" xfId="6" applyFont="1" applyFill="1" applyBorder="1" applyAlignment="1">
      <alignment horizontal="right"/>
    </xf>
    <xf numFmtId="0" fontId="8" fillId="0" borderId="4" xfId="6" applyFont="1" applyFill="1" applyBorder="1" applyAlignment="1"/>
    <xf numFmtId="0" fontId="98" fillId="0" borderId="0" xfId="6" applyFont="1" applyFill="1" applyBorder="1"/>
    <xf numFmtId="173" fontId="16" fillId="0" borderId="0" xfId="19" applyNumberFormat="1" applyFont="1" applyFill="1" applyBorder="1" applyAlignment="1">
      <alignment horizontal="right"/>
    </xf>
    <xf numFmtId="0" fontId="16" fillId="0" borderId="0" xfId="6" applyFont="1" applyFill="1" applyBorder="1" applyAlignment="1">
      <alignment horizontal="right" wrapText="1"/>
    </xf>
    <xf numFmtId="173" fontId="9" fillId="0" borderId="4" xfId="19" applyNumberFormat="1" applyFont="1" applyFill="1" applyBorder="1" applyAlignment="1"/>
    <xf numFmtId="0" fontId="50" fillId="0" borderId="4" xfId="6" applyFont="1" applyFill="1" applyBorder="1" applyAlignment="1"/>
    <xf numFmtId="173" fontId="50" fillId="0" borderId="4" xfId="19" applyNumberFormat="1" applyFont="1" applyFill="1" applyBorder="1" applyAlignment="1"/>
    <xf numFmtId="0" fontId="50" fillId="0" borderId="4" xfId="6" applyFont="1" applyFill="1" applyBorder="1" applyAlignment="1">
      <alignment wrapText="1"/>
    </xf>
    <xf numFmtId="0" fontId="50" fillId="0" borderId="0" xfId="6" applyFont="1" applyFill="1" applyBorder="1" applyAlignment="1"/>
    <xf numFmtId="173" fontId="9" fillId="0" borderId="0" xfId="19" applyNumberFormat="1" applyFont="1" applyFill="1" applyBorder="1" applyAlignment="1"/>
    <xf numFmtId="173" fontId="50" fillId="0" borderId="0" xfId="19" applyNumberFormat="1" applyFont="1" applyFill="1" applyBorder="1" applyAlignment="1"/>
    <xf numFmtId="0" fontId="9" fillId="0" borderId="0" xfId="6" applyFont="1" applyFill="1" applyBorder="1" applyAlignment="1">
      <alignment horizontal="left" wrapText="1"/>
    </xf>
    <xf numFmtId="0" fontId="50" fillId="0" borderId="0" xfId="6" applyFont="1" applyFill="1" applyBorder="1"/>
    <xf numFmtId="0" fontId="50" fillId="0" borderId="0" xfId="6" applyFont="1" applyFill="1" applyBorder="1" applyAlignment="1">
      <alignment horizontal="left"/>
    </xf>
    <xf numFmtId="0" fontId="50" fillId="0" borderId="4" xfId="6" applyFont="1" applyFill="1" applyBorder="1" applyAlignment="1">
      <alignment horizontal="left"/>
    </xf>
    <xf numFmtId="173" fontId="9" fillId="0" borderId="4" xfId="19" applyNumberFormat="1" applyFont="1" applyFill="1" applyBorder="1" applyAlignment="1">
      <alignment horizontal="right"/>
    </xf>
    <xf numFmtId="173" fontId="50" fillId="0" borderId="0" xfId="19" applyNumberFormat="1" applyFont="1" applyFill="1" applyBorder="1" applyAlignment="1">
      <alignment horizontal="right"/>
    </xf>
    <xf numFmtId="0" fontId="50" fillId="0" borderId="0" xfId="6" applyFont="1" applyFill="1" applyBorder="1" applyAlignment="1">
      <alignment horizontal="right"/>
    </xf>
    <xf numFmtId="173" fontId="9" fillId="0" borderId="0" xfId="19" applyNumberFormat="1" applyFont="1" applyFill="1" applyBorder="1" applyAlignment="1">
      <alignment horizontal="center"/>
    </xf>
    <xf numFmtId="186" fontId="9" fillId="0" borderId="0" xfId="19" applyNumberFormat="1" applyFont="1" applyFill="1" applyBorder="1" applyAlignment="1"/>
    <xf numFmtId="186" fontId="50" fillId="0" borderId="0" xfId="6" applyNumberFormat="1" applyFont="1" applyFill="1" applyBorder="1" applyAlignment="1">
      <alignment horizontal="right"/>
    </xf>
    <xf numFmtId="0" fontId="93" fillId="0" borderId="0" xfId="6" applyFont="1" applyFill="1" applyBorder="1" applyAlignment="1">
      <alignment horizontal="right"/>
    </xf>
    <xf numFmtId="173" fontId="9" fillId="0" borderId="8" xfId="19" applyNumberFormat="1" applyFont="1" applyFill="1" applyBorder="1" applyAlignment="1"/>
    <xf numFmtId="0" fontId="50" fillId="0" borderId="8" xfId="6" applyFont="1" applyFill="1" applyBorder="1" applyAlignment="1"/>
    <xf numFmtId="0" fontId="9" fillId="0" borderId="8" xfId="6" applyFont="1" applyFill="1" applyBorder="1" applyAlignment="1"/>
    <xf numFmtId="173" fontId="50" fillId="0" borderId="8" xfId="19" applyNumberFormat="1" applyFont="1" applyFill="1" applyBorder="1" applyAlignment="1"/>
    <xf numFmtId="173" fontId="9" fillId="0" borderId="8" xfId="19" applyNumberFormat="1" applyFont="1" applyFill="1" applyBorder="1" applyAlignment="1">
      <alignment horizontal="right"/>
    </xf>
    <xf numFmtId="0" fontId="50" fillId="0" borderId="8" xfId="6" applyFont="1" applyFill="1" applyBorder="1" applyAlignment="1">
      <alignment horizontal="right"/>
    </xf>
    <xf numFmtId="0" fontId="9" fillId="0" borderId="8" xfId="6" applyFont="1" applyFill="1" applyBorder="1" applyAlignment="1">
      <alignment horizontal="right"/>
    </xf>
    <xf numFmtId="186" fontId="9" fillId="0" borderId="0" xfId="16" applyNumberFormat="1" applyFont="1" applyFill="1" applyBorder="1" applyAlignment="1"/>
    <xf numFmtId="186" fontId="50" fillId="0" borderId="0" xfId="16" applyNumberFormat="1" applyFont="1" applyFill="1" applyBorder="1" applyAlignment="1">
      <alignment horizontal="right"/>
    </xf>
    <xf numFmtId="186" fontId="9" fillId="0" borderId="0" xfId="16" applyNumberFormat="1" applyFont="1" applyFill="1" applyBorder="1" applyAlignment="1">
      <alignment horizontal="right"/>
    </xf>
    <xf numFmtId="186" fontId="9" fillId="0" borderId="5" xfId="6" applyNumberFormat="1" applyFont="1" applyFill="1" applyBorder="1" applyAlignment="1"/>
    <xf numFmtId="3" fontId="9" fillId="0" borderId="5" xfId="6" applyNumberFormat="1" applyFont="1" applyFill="1" applyBorder="1" applyAlignment="1"/>
    <xf numFmtId="0" fontId="98" fillId="0" borderId="0" xfId="6" applyFont="1" applyFill="1" applyBorder="1" applyAlignment="1">
      <alignment wrapText="1"/>
    </xf>
    <xf numFmtId="0" fontId="16" fillId="0" borderId="0" xfId="6" applyFont="1" applyFill="1" applyBorder="1" applyAlignment="1">
      <alignment horizontal="left" vertical="top" wrapText="1"/>
    </xf>
    <xf numFmtId="0" fontId="5" fillId="0" borderId="7" xfId="6" applyFont="1" applyFill="1" applyBorder="1" applyAlignment="1">
      <alignment vertical="top" wrapText="1"/>
    </xf>
    <xf numFmtId="173" fontId="9" fillId="0" borderId="13" xfId="19" applyNumberFormat="1" applyFont="1" applyFill="1" applyBorder="1"/>
    <xf numFmtId="176" fontId="9" fillId="0" borderId="8" xfId="16" applyNumberFormat="1" applyFont="1" applyFill="1" applyBorder="1" applyAlignment="1">
      <alignment horizontal="right"/>
    </xf>
    <xf numFmtId="3" fontId="9" fillId="0" borderId="9" xfId="6" applyNumberFormat="1" applyFont="1" applyFill="1" applyBorder="1" applyAlignment="1">
      <alignment horizontal="right"/>
    </xf>
    <xf numFmtId="173" fontId="9" fillId="0" borderId="6" xfId="19" applyNumberFormat="1" applyFont="1" applyFill="1" applyBorder="1"/>
    <xf numFmtId="3" fontId="9" fillId="0" borderId="7" xfId="6" applyNumberFormat="1" applyFont="1" applyFill="1" applyBorder="1" applyAlignment="1">
      <alignment horizontal="right"/>
    </xf>
    <xf numFmtId="173" fontId="9" fillId="0" borderId="11" xfId="19" applyNumberFormat="1" applyFont="1" applyFill="1" applyBorder="1"/>
    <xf numFmtId="176" fontId="9" fillId="0" borderId="10" xfId="16" applyNumberFormat="1" applyFont="1" applyFill="1" applyBorder="1" applyAlignment="1">
      <alignment horizontal="right"/>
    </xf>
    <xf numFmtId="173" fontId="9" fillId="0" borderId="8" xfId="19" applyNumberFormat="1" applyFont="1" applyFill="1" applyBorder="1"/>
    <xf numFmtId="173" fontId="9" fillId="0" borderId="0" xfId="19" applyNumberFormat="1" applyFont="1" applyFill="1" applyBorder="1"/>
    <xf numFmtId="173" fontId="9" fillId="0" borderId="10" xfId="19" applyNumberFormat="1" applyFont="1" applyFill="1" applyBorder="1"/>
    <xf numFmtId="3" fontId="9" fillId="0" borderId="12" xfId="6" applyNumberFormat="1" applyFont="1" applyFill="1" applyBorder="1" applyAlignment="1">
      <alignment horizontal="right"/>
    </xf>
    <xf numFmtId="0" fontId="60" fillId="0" borderId="0" xfId="6" applyFont="1" applyFill="1" applyBorder="1" applyAlignment="1">
      <alignment vertical="top" wrapText="1"/>
    </xf>
    <xf numFmtId="165" fontId="8" fillId="0" borderId="43" xfId="6" applyNumberFormat="1" applyFont="1" applyFill="1" applyBorder="1" applyAlignment="1">
      <alignment horizontal="right"/>
    </xf>
    <xf numFmtId="176" fontId="8" fillId="0" borderId="4" xfId="6" applyNumberFormat="1" applyFont="1" applyFill="1" applyBorder="1" applyAlignment="1">
      <alignment horizontal="right"/>
    </xf>
    <xf numFmtId="165" fontId="8" fillId="0" borderId="66" xfId="6" applyNumberFormat="1" applyFont="1" applyFill="1" applyBorder="1" applyAlignment="1">
      <alignment horizontal="right"/>
    </xf>
    <xf numFmtId="176" fontId="8" fillId="0" borderId="21" xfId="6" applyNumberFormat="1" applyFont="1" applyFill="1" applyBorder="1" applyAlignment="1">
      <alignment horizontal="right"/>
    </xf>
    <xf numFmtId="165" fontId="9" fillId="0" borderId="13" xfId="6" applyNumberFormat="1" applyFont="1" applyFill="1" applyBorder="1" applyAlignment="1">
      <alignment horizontal="right"/>
    </xf>
    <xf numFmtId="176" fontId="9" fillId="0" borderId="33" xfId="6" applyNumberFormat="1" applyFont="1" applyFill="1" applyBorder="1" applyAlignment="1">
      <alignment horizontal="right"/>
    </xf>
    <xf numFmtId="165" fontId="9" fillId="0" borderId="6" xfId="6" applyNumberFormat="1" applyFont="1" applyFill="1" applyBorder="1" applyAlignment="1">
      <alignment horizontal="right"/>
    </xf>
    <xf numFmtId="176" fontId="9" fillId="0" borderId="19" xfId="6" applyNumberFormat="1" applyFont="1" applyFill="1" applyBorder="1" applyAlignment="1">
      <alignment horizontal="right"/>
    </xf>
    <xf numFmtId="0" fontId="8" fillId="0" borderId="6" xfId="6" applyFont="1" applyFill="1" applyBorder="1" applyAlignment="1">
      <alignment horizontal="center"/>
    </xf>
    <xf numFmtId="0" fontId="8" fillId="0" borderId="11" xfId="6" applyFont="1" applyFill="1" applyBorder="1" applyAlignment="1">
      <alignment horizontal="center"/>
    </xf>
    <xf numFmtId="0" fontId="8" fillId="0" borderId="19" xfId="6" applyFont="1" applyFill="1" applyBorder="1" applyAlignment="1">
      <alignment horizontal="center"/>
    </xf>
    <xf numFmtId="0" fontId="8" fillId="0" borderId="0" xfId="6" applyFont="1" applyFill="1" applyAlignment="1">
      <alignment horizontal="center"/>
    </xf>
    <xf numFmtId="173" fontId="8" fillId="0" borderId="0" xfId="19" applyNumberFormat="1" applyFont="1" applyFill="1" applyBorder="1"/>
    <xf numFmtId="173" fontId="8" fillId="0" borderId="15" xfId="19" applyNumberFormat="1" applyFont="1" applyFill="1" applyBorder="1"/>
    <xf numFmtId="0" fontId="8" fillId="0" borderId="14" xfId="6" applyFont="1" applyFill="1" applyBorder="1"/>
    <xf numFmtId="0" fontId="8" fillId="0" borderId="64" xfId="6" applyFont="1" applyFill="1" applyBorder="1"/>
    <xf numFmtId="173" fontId="8" fillId="0" borderId="14" xfId="19" applyNumberFormat="1" applyFont="1" applyFill="1" applyBorder="1"/>
    <xf numFmtId="1" fontId="8" fillId="0" borderId="14" xfId="19" applyNumberFormat="1" applyFont="1" applyFill="1" applyBorder="1"/>
    <xf numFmtId="0" fontId="9" fillId="0" borderId="7" xfId="6" applyFont="1" applyFill="1" applyBorder="1" applyAlignment="1"/>
    <xf numFmtId="0" fontId="9" fillId="0" borderId="1" xfId="6" applyFont="1" applyFill="1" applyBorder="1"/>
    <xf numFmtId="0" fontId="9" fillId="0" borderId="2" xfId="6" applyFont="1" applyFill="1" applyBorder="1"/>
    <xf numFmtId="173" fontId="9" fillId="0" borderId="3" xfId="19" applyNumberFormat="1" applyFont="1" applyFill="1" applyBorder="1"/>
    <xf numFmtId="173" fontId="9" fillId="0" borderId="2" xfId="19" applyNumberFormat="1" applyFont="1" applyFill="1" applyBorder="1"/>
    <xf numFmtId="0" fontId="25" fillId="0" borderId="0" xfId="6" applyFont="1" applyFill="1" applyAlignment="1" applyProtection="1">
      <alignment vertical="top"/>
    </xf>
    <xf numFmtId="1" fontId="7" fillId="0" borderId="0" xfId="6" applyNumberFormat="1" applyFont="1" applyFill="1" applyProtection="1">
      <protection locked="0"/>
    </xf>
    <xf numFmtId="1" fontId="7" fillId="0" borderId="0" xfId="6" applyNumberFormat="1" applyFont="1" applyFill="1" applyProtection="1"/>
    <xf numFmtId="0" fontId="9" fillId="0" borderId="0" xfId="6" applyFont="1" applyFill="1" applyAlignment="1" applyProtection="1">
      <alignment vertical="top"/>
    </xf>
    <xf numFmtId="0" fontId="18" fillId="0" borderId="0" xfId="6" applyFont="1" applyFill="1" applyAlignment="1" applyProtection="1">
      <alignment vertical="top"/>
    </xf>
    <xf numFmtId="0" fontId="71" fillId="0" borderId="4" xfId="6" applyFont="1" applyFill="1" applyBorder="1" applyProtection="1">
      <protection locked="0"/>
    </xf>
    <xf numFmtId="0" fontId="24" fillId="0" borderId="0" xfId="6" applyFont="1" applyFill="1" applyBorder="1" applyAlignment="1" applyProtection="1"/>
    <xf numFmtId="0" fontId="5" fillId="0" borderId="0" xfId="6" applyFont="1" applyFill="1" applyProtection="1"/>
    <xf numFmtId="0" fontId="102" fillId="0" borderId="0" xfId="6" applyFont="1" applyFill="1" applyBorder="1" applyAlignment="1" applyProtection="1">
      <alignment wrapText="1"/>
      <protection locked="0"/>
    </xf>
    <xf numFmtId="0" fontId="101" fillId="0" borderId="0" xfId="6" applyFont="1" applyFill="1" applyBorder="1" applyAlignment="1" applyProtection="1">
      <alignment vertical="top" wrapText="1"/>
      <protection locked="0"/>
    </xf>
    <xf numFmtId="201" fontId="101" fillId="0" borderId="0" xfId="6" applyNumberFormat="1" applyFont="1" applyFill="1" applyBorder="1" applyProtection="1">
      <protection locked="0"/>
    </xf>
    <xf numFmtId="180" fontId="9" fillId="0" borderId="0" xfId="6" applyNumberFormat="1" applyFont="1" applyFill="1" applyBorder="1" applyAlignment="1" applyProtection="1">
      <alignment horizontal="right"/>
    </xf>
    <xf numFmtId="180" fontId="9" fillId="0" borderId="43" xfId="6" applyNumberFormat="1" applyFont="1" applyFill="1" applyBorder="1" applyAlignment="1" applyProtection="1">
      <alignment horizontal="right"/>
    </xf>
    <xf numFmtId="180" fontId="19" fillId="0" borderId="43" xfId="6" applyNumberFormat="1" applyFont="1" applyFill="1" applyBorder="1" applyAlignment="1" applyProtection="1">
      <alignment horizontal="right"/>
    </xf>
    <xf numFmtId="180" fontId="19" fillId="0" borderId="50" xfId="6" applyNumberFormat="1" applyFont="1" applyFill="1" applyBorder="1" applyAlignment="1" applyProtection="1">
      <alignment horizontal="right"/>
    </xf>
    <xf numFmtId="180" fontId="19" fillId="0" borderId="4" xfId="6" applyNumberFormat="1" applyFont="1" applyFill="1" applyBorder="1" applyAlignment="1" applyProtection="1">
      <alignment horizontal="right"/>
    </xf>
    <xf numFmtId="180" fontId="19" fillId="0" borderId="6" xfId="6" applyNumberFormat="1" applyFont="1" applyFill="1" applyBorder="1" applyAlignment="1" applyProtection="1">
      <alignment horizontal="right"/>
    </xf>
    <xf numFmtId="180" fontId="19" fillId="0" borderId="7" xfId="6" applyNumberFormat="1" applyFont="1" applyFill="1" applyBorder="1" applyAlignment="1" applyProtection="1">
      <alignment horizontal="right"/>
    </xf>
    <xf numFmtId="180" fontId="19" fillId="0" borderId="0" xfId="6" applyNumberFormat="1" applyFont="1" applyFill="1" applyBorder="1" applyAlignment="1" applyProtection="1">
      <alignment horizontal="right"/>
    </xf>
    <xf numFmtId="0" fontId="19" fillId="0" borderId="0" xfId="6" applyFont="1" applyFill="1" applyBorder="1" applyProtection="1">
      <protection locked="0"/>
    </xf>
    <xf numFmtId="201" fontId="101" fillId="0" borderId="0" xfId="6" applyNumberFormat="1" applyFont="1" applyFill="1" applyBorder="1" applyAlignment="1" applyProtection="1">
      <protection locked="0"/>
    </xf>
    <xf numFmtId="180" fontId="19" fillId="0" borderId="0" xfId="6" applyNumberFormat="1" applyFont="1" applyFill="1" applyBorder="1" applyAlignment="1" applyProtection="1">
      <alignment horizontal="right" wrapText="1"/>
    </xf>
    <xf numFmtId="0" fontId="9" fillId="0" borderId="0" xfId="6" applyFont="1" applyFill="1" applyBorder="1" applyAlignment="1" applyProtection="1">
      <alignment horizontal="left" wrapText="1"/>
    </xf>
    <xf numFmtId="0" fontId="102" fillId="0" borderId="0" xfId="6" applyFont="1" applyFill="1" applyBorder="1" applyAlignment="1" applyProtection="1">
      <alignment horizontal="right"/>
      <protection locked="0"/>
    </xf>
    <xf numFmtId="0" fontId="41" fillId="0" borderId="6" xfId="6" applyFont="1" applyFill="1" applyBorder="1" applyAlignment="1" applyProtection="1">
      <alignment horizontal="center"/>
    </xf>
    <xf numFmtId="0" fontId="41" fillId="0" borderId="0" xfId="6" applyFont="1" applyFill="1" applyBorder="1" applyAlignment="1" applyProtection="1">
      <alignment horizontal="center"/>
    </xf>
    <xf numFmtId="0" fontId="8" fillId="0" borderId="0" xfId="6" applyFont="1" applyFill="1" applyBorder="1" applyAlignment="1" applyProtection="1">
      <alignment horizontal="left" wrapText="1"/>
    </xf>
    <xf numFmtId="0" fontId="24" fillId="0" borderId="0" xfId="6" applyFont="1" applyFill="1" applyBorder="1" applyAlignment="1" applyProtection="1">
      <alignment wrapText="1"/>
    </xf>
    <xf numFmtId="0" fontId="101" fillId="0" borderId="0" xfId="6" applyFont="1" applyFill="1" applyProtection="1">
      <protection locked="0"/>
    </xf>
    <xf numFmtId="0" fontId="11" fillId="0" borderId="5" xfId="6" applyFont="1" applyFill="1" applyBorder="1" applyProtection="1"/>
    <xf numFmtId="0" fontId="5" fillId="0" borderId="4" xfId="6" applyFont="1" applyFill="1" applyBorder="1" applyProtection="1"/>
    <xf numFmtId="0" fontId="11" fillId="0" borderId="0" xfId="6" applyFont="1" applyFill="1" applyBorder="1" applyProtection="1"/>
    <xf numFmtId="0" fontId="101" fillId="0" borderId="0" xfId="6" applyFont="1" applyFill="1" applyAlignment="1" applyProtection="1">
      <protection locked="0"/>
    </xf>
    <xf numFmtId="10" fontId="7" fillId="0" borderId="0" xfId="6" applyNumberFormat="1" applyFont="1" applyFill="1" applyBorder="1" applyProtection="1"/>
    <xf numFmtId="0" fontId="7" fillId="0" borderId="0" xfId="6" applyFont="1" applyFill="1" applyBorder="1" applyAlignment="1" applyProtection="1">
      <alignment vertical="top" wrapText="1"/>
    </xf>
    <xf numFmtId="1" fontId="7" fillId="0" borderId="0" xfId="6" applyNumberFormat="1" applyFont="1" applyFill="1" applyBorder="1" applyProtection="1"/>
    <xf numFmtId="0" fontId="9" fillId="0" borderId="43" xfId="6" applyFont="1" applyFill="1" applyBorder="1" applyProtection="1"/>
    <xf numFmtId="0" fontId="8" fillId="0" borderId="42" xfId="6" applyFont="1" applyFill="1" applyBorder="1" applyAlignment="1" applyProtection="1">
      <alignment horizontal="right"/>
    </xf>
    <xf numFmtId="0" fontId="16" fillId="0" borderId="0" xfId="6" applyFont="1" applyFill="1" applyAlignment="1">
      <alignment horizontal="right"/>
    </xf>
    <xf numFmtId="172" fontId="9" fillId="0" borderId="0" xfId="34" applyNumberFormat="1" applyFont="1" applyFill="1" applyBorder="1"/>
    <xf numFmtId="164" fontId="9" fillId="0" borderId="0" xfId="34" applyNumberFormat="1" applyFont="1" applyFill="1" applyBorder="1" applyAlignment="1">
      <alignment horizontal="right"/>
    </xf>
    <xf numFmtId="171" fontId="9" fillId="0" borderId="0" xfId="6" applyNumberFormat="1" applyFont="1" applyFill="1" applyBorder="1" applyAlignment="1">
      <alignment horizontal="right"/>
    </xf>
    <xf numFmtId="9" fontId="9" fillId="0" borderId="0" xfId="2" applyFont="1" applyFill="1" applyBorder="1" applyAlignment="1">
      <alignment horizontal="right"/>
    </xf>
    <xf numFmtId="172" fontId="8" fillId="0" borderId="14" xfId="1" applyNumberFormat="1" applyFont="1" applyFill="1" applyBorder="1"/>
    <xf numFmtId="172" fontId="8" fillId="0" borderId="14" xfId="1" applyNumberFormat="1" applyFont="1" applyFill="1" applyBorder="1" applyAlignment="1">
      <alignment horizontal="right"/>
    </xf>
    <xf numFmtId="172" fontId="8" fillId="0" borderId="14" xfId="6" applyNumberFormat="1" applyFont="1" applyFill="1" applyBorder="1" applyAlignment="1">
      <alignment horizontal="right"/>
    </xf>
    <xf numFmtId="172" fontId="9" fillId="0" borderId="8" xfId="6" applyNumberFormat="1" applyFont="1" applyFill="1" applyBorder="1" applyAlignment="1">
      <alignment horizontal="right"/>
    </xf>
    <xf numFmtId="172" fontId="9" fillId="0" borderId="0" xfId="1" applyNumberFormat="1" applyFont="1" applyFill="1" applyBorder="1"/>
    <xf numFmtId="176" fontId="9" fillId="0" borderId="0" xfId="1" applyNumberFormat="1" applyFont="1" applyFill="1" applyBorder="1"/>
    <xf numFmtId="176" fontId="9" fillId="0" borderId="8" xfId="1" applyNumberFormat="1" applyFont="1" applyFill="1" applyBorder="1"/>
    <xf numFmtId="186" fontId="9" fillId="0" borderId="8" xfId="6" applyNumberFormat="1" applyFont="1" applyFill="1" applyBorder="1" applyAlignment="1">
      <alignment horizontal="right"/>
    </xf>
    <xf numFmtId="0" fontId="9" fillId="0" borderId="8" xfId="6" applyFont="1" applyFill="1" applyBorder="1" applyAlignment="1">
      <alignment wrapText="1"/>
    </xf>
    <xf numFmtId="0" fontId="9" fillId="0" borderId="0" xfId="6" applyFont="1" applyFill="1" applyAlignment="1">
      <alignment vertical="top"/>
    </xf>
    <xf numFmtId="196" fontId="9" fillId="0" borderId="0" xfId="6" applyNumberFormat="1" applyFont="1" applyFill="1" applyAlignment="1">
      <alignment vertical="top"/>
    </xf>
    <xf numFmtId="0" fontId="18" fillId="0" borderId="0" xfId="6" applyFont="1" applyFill="1" applyAlignment="1">
      <alignment vertical="top"/>
    </xf>
    <xf numFmtId="165" fontId="9" fillId="0" borderId="0" xfId="6" applyNumberFormat="1" applyFont="1" applyFill="1"/>
    <xf numFmtId="165" fontId="9" fillId="0" borderId="0" xfId="1" applyNumberFormat="1" applyFont="1" applyFill="1"/>
    <xf numFmtId="165" fontId="9" fillId="0" borderId="0" xfId="1" applyNumberFormat="1" applyFont="1" applyFill="1" applyBorder="1" applyAlignment="1">
      <alignment horizontal="right"/>
    </xf>
    <xf numFmtId="165" fontId="9" fillId="0" borderId="0" xfId="2" applyNumberFormat="1" applyFont="1" applyFill="1" applyBorder="1" applyAlignment="1">
      <alignment horizontal="right"/>
    </xf>
    <xf numFmtId="165" fontId="9" fillId="0" borderId="0" xfId="6" applyNumberFormat="1" applyFont="1" applyFill="1" applyAlignment="1">
      <alignment horizontal="right"/>
    </xf>
    <xf numFmtId="202" fontId="8" fillId="0" borderId="5" xfId="6" quotePrefix="1" applyNumberFormat="1" applyFont="1" applyFill="1" applyBorder="1" applyAlignment="1">
      <alignment horizontal="right"/>
    </xf>
    <xf numFmtId="202" fontId="8" fillId="0" borderId="5" xfId="6" applyNumberFormat="1" applyFont="1" applyFill="1" applyBorder="1" applyAlignment="1">
      <alignment horizontal="right"/>
    </xf>
    <xf numFmtId="202" fontId="8" fillId="0" borderId="0" xfId="24" applyNumberFormat="1" applyFont="1" applyFill="1" applyBorder="1" applyAlignment="1">
      <alignment horizontal="right"/>
    </xf>
    <xf numFmtId="173" fontId="9" fillId="0" borderId="4" xfId="6" applyNumberFormat="1" applyFont="1" applyFill="1" applyBorder="1"/>
    <xf numFmtId="173" fontId="9" fillId="0" borderId="8" xfId="6" applyNumberFormat="1" applyFont="1" applyFill="1" applyBorder="1" applyAlignment="1">
      <alignment horizontal="right"/>
    </xf>
    <xf numFmtId="9" fontId="9" fillId="0" borderId="8" xfId="6" applyNumberFormat="1" applyFont="1" applyFill="1" applyBorder="1"/>
    <xf numFmtId="9" fontId="9" fillId="0" borderId="8" xfId="6" applyNumberFormat="1" applyFont="1" applyFill="1" applyBorder="1" applyAlignment="1">
      <alignment horizontal="right"/>
    </xf>
    <xf numFmtId="3" fontId="16" fillId="0" borderId="0" xfId="6" applyNumberFormat="1" applyFont="1" applyFill="1" applyBorder="1"/>
    <xf numFmtId="173" fontId="9" fillId="0" borderId="0" xfId="6" applyNumberFormat="1" applyFont="1" applyFill="1" applyBorder="1" applyAlignment="1">
      <alignment horizontal="right"/>
    </xf>
    <xf numFmtId="1" fontId="9" fillId="0" borderId="0" xfId="19" applyNumberFormat="1" applyFont="1" applyFill="1" applyBorder="1" applyAlignment="1">
      <alignment horizontal="right"/>
    </xf>
    <xf numFmtId="1" fontId="9" fillId="0" borderId="0" xfId="19" applyNumberFormat="1" applyFont="1" applyFill="1" applyBorder="1" applyAlignment="1">
      <alignment horizontal="center"/>
    </xf>
    <xf numFmtId="3" fontId="9" fillId="0" borderId="0" xfId="19" applyNumberFormat="1" applyFont="1" applyFill="1" applyBorder="1" applyAlignment="1">
      <alignment horizontal="right"/>
    </xf>
    <xf numFmtId="3" fontId="9" fillId="0" borderId="0" xfId="19" applyNumberFormat="1" applyFont="1" applyFill="1" applyBorder="1"/>
    <xf numFmtId="1" fontId="9" fillId="0" borderId="0" xfId="19" applyNumberFormat="1" applyFont="1" applyFill="1" applyBorder="1" applyAlignment="1"/>
    <xf numFmtId="173" fontId="9" fillId="0" borderId="8" xfId="6" applyNumberFormat="1" applyFont="1" applyFill="1" applyBorder="1"/>
    <xf numFmtId="1" fontId="9" fillId="0" borderId="0" xfId="19" applyNumberFormat="1" applyFont="1" applyFill="1" applyBorder="1"/>
    <xf numFmtId="0" fontId="60" fillId="0" borderId="0" xfId="6" applyFont="1" applyFill="1" applyAlignment="1">
      <alignment horizontal="left"/>
    </xf>
    <xf numFmtId="1" fontId="9" fillId="0" borderId="0" xfId="6" applyNumberFormat="1" applyFont="1" applyFill="1" applyBorder="1"/>
    <xf numFmtId="0" fontId="9" fillId="0" borderId="72" xfId="6" applyFont="1" applyFill="1" applyBorder="1" applyAlignment="1">
      <alignment vertical="top" wrapText="1"/>
    </xf>
    <xf numFmtId="0" fontId="106" fillId="0" borderId="8" xfId="6" applyFont="1" applyFill="1" applyBorder="1" applyAlignment="1">
      <alignment vertical="top" wrapText="1"/>
    </xf>
    <xf numFmtId="0" fontId="106" fillId="0" borderId="8" xfId="6" applyFont="1" applyFill="1" applyBorder="1" applyAlignment="1">
      <alignment vertical="top"/>
    </xf>
    <xf numFmtId="0" fontId="106" fillId="0" borderId="10" xfId="6" applyFont="1" applyFill="1" applyBorder="1" applyAlignment="1">
      <alignment vertical="top" wrapText="1"/>
    </xf>
    <xf numFmtId="0" fontId="8" fillId="0" borderId="78" xfId="6" applyFont="1" applyFill="1" applyBorder="1" applyAlignment="1"/>
    <xf numFmtId="0" fontId="24" fillId="0" borderId="0" xfId="6" applyFont="1" applyFill="1" applyBorder="1" applyAlignment="1"/>
    <xf numFmtId="0" fontId="16" fillId="0" borderId="0" xfId="6" applyFont="1" applyFill="1" applyBorder="1" applyAlignment="1">
      <alignment vertical="top" wrapText="1"/>
    </xf>
    <xf numFmtId="176" fontId="9" fillId="0" borderId="43" xfId="16" applyNumberFormat="1" applyFont="1" applyFill="1" applyBorder="1" applyAlignment="1">
      <alignment horizontal="right"/>
    </xf>
    <xf numFmtId="176" fontId="19" fillId="0" borderId="43" xfId="16" applyNumberFormat="1" applyFont="1" applyFill="1" applyBorder="1" applyAlignment="1">
      <alignment horizontal="right"/>
    </xf>
    <xf numFmtId="0" fontId="9" fillId="0" borderId="4" xfId="18" applyFont="1" applyFill="1" applyBorder="1" applyAlignment="1">
      <alignment horizontal="right" vertical="center"/>
    </xf>
    <xf numFmtId="0" fontId="16" fillId="0" borderId="0" xfId="6" applyFont="1" applyFill="1" applyBorder="1" applyAlignment="1">
      <alignment vertical="top"/>
    </xf>
    <xf numFmtId="0" fontId="9" fillId="0" borderId="0" xfId="18" applyFont="1" applyFill="1" applyBorder="1" applyAlignment="1">
      <alignment horizontal="right" vertical="center"/>
    </xf>
    <xf numFmtId="0" fontId="5" fillId="0" borderId="0" xfId="18" applyFont="1" applyFill="1" applyBorder="1" applyAlignment="1">
      <alignment vertical="top"/>
    </xf>
    <xf numFmtId="0" fontId="9" fillId="0" borderId="0" xfId="18" applyFont="1" applyFill="1" applyBorder="1" applyAlignment="1">
      <alignment horizontal="right" vertical="top"/>
    </xf>
    <xf numFmtId="0" fontId="8" fillId="0" borderId="5" xfId="18" applyFont="1" applyFill="1" applyBorder="1" applyAlignment="1">
      <alignment horizontal="right" vertical="top"/>
    </xf>
    <xf numFmtId="176" fontId="8" fillId="0" borderId="0" xfId="16" applyNumberFormat="1" applyFont="1" applyFill="1" applyBorder="1" applyAlignment="1">
      <alignment horizontal="right"/>
    </xf>
    <xf numFmtId="2" fontId="9" fillId="0" borderId="0" xfId="6" applyNumberFormat="1" applyFont="1" applyFill="1" applyBorder="1"/>
    <xf numFmtId="2" fontId="9" fillId="0" borderId="4" xfId="6" applyNumberFormat="1" applyFont="1" applyFill="1" applyBorder="1"/>
    <xf numFmtId="2" fontId="108" fillId="0" borderId="4" xfId="6" applyNumberFormat="1" applyFont="1" applyFill="1" applyBorder="1"/>
    <xf numFmtId="173" fontId="9" fillId="0" borderId="4" xfId="2" applyNumberFormat="1" applyFont="1" applyFill="1" applyBorder="1"/>
    <xf numFmtId="0" fontId="5" fillId="0" borderId="0" xfId="9" applyFont="1" applyFill="1" applyBorder="1" applyAlignment="1" applyProtection="1">
      <alignment horizontal="left" vertical="top" wrapText="1"/>
    </xf>
    <xf numFmtId="0" fontId="31" fillId="0" borderId="0" xfId="6" applyFont="1" applyFill="1" applyBorder="1" applyAlignment="1">
      <alignment horizontal="center" vertical="center" wrapText="1"/>
    </xf>
    <xf numFmtId="0" fontId="9" fillId="0" borderId="0" xfId="6" applyFont="1" applyFill="1" applyBorder="1" applyAlignment="1">
      <alignment horizontal="left" vertical="top" wrapText="1"/>
    </xf>
    <xf numFmtId="0" fontId="9" fillId="0" borderId="0" xfId="6" applyFont="1" applyFill="1" applyBorder="1" applyAlignment="1">
      <alignment horizontal="right" wrapText="1"/>
    </xf>
    <xf numFmtId="186" fontId="9" fillId="0" borderId="0" xfId="6" applyNumberFormat="1" applyFont="1" applyFill="1" applyBorder="1" applyAlignment="1">
      <alignment horizontal="center"/>
    </xf>
    <xf numFmtId="0" fontId="9" fillId="0" borderId="4" xfId="6" applyFont="1" applyFill="1" applyBorder="1" applyAlignment="1">
      <alignment horizontal="right" wrapText="1"/>
    </xf>
    <xf numFmtId="186" fontId="9" fillId="0" borderId="4" xfId="6" applyNumberFormat="1" applyFont="1" applyFill="1" applyBorder="1" applyAlignment="1"/>
    <xf numFmtId="186" fontId="9" fillId="0" borderId="4" xfId="6" applyNumberFormat="1" applyFont="1" applyFill="1" applyBorder="1" applyAlignment="1">
      <alignment horizontal="center"/>
    </xf>
    <xf numFmtId="0" fontId="7" fillId="0" borderId="0" xfId="6" applyFont="1" applyFill="1" applyBorder="1" applyAlignment="1"/>
    <xf numFmtId="0" fontId="7" fillId="0" borderId="0" xfId="6" applyFont="1" applyFill="1" applyAlignment="1">
      <alignment vertical="top"/>
    </xf>
    <xf numFmtId="0" fontId="9" fillId="0" borderId="13" xfId="6" applyFont="1" applyFill="1" applyBorder="1" applyAlignment="1">
      <alignment horizontal="left" vertical="top" wrapText="1"/>
    </xf>
    <xf numFmtId="186" fontId="9" fillId="0" borderId="6" xfId="6" applyNumberFormat="1" applyFont="1" applyFill="1" applyBorder="1" applyAlignment="1"/>
    <xf numFmtId="186" fontId="8" fillId="0" borderId="15" xfId="6" applyNumberFormat="1" applyFont="1" applyFill="1" applyBorder="1" applyAlignment="1"/>
    <xf numFmtId="165" fontId="9" fillId="0" borderId="10" xfId="6" applyNumberFormat="1" applyFont="1" applyFill="1" applyBorder="1"/>
    <xf numFmtId="165" fontId="9" fillId="0" borderId="4" xfId="6" applyNumberFormat="1" applyFont="1" applyFill="1" applyBorder="1"/>
    <xf numFmtId="0" fontId="55" fillId="0" borderId="0" xfId="6" applyFont="1" applyFill="1" applyBorder="1" applyAlignment="1">
      <alignment horizontal="right" vertical="top" wrapText="1"/>
    </xf>
    <xf numFmtId="0" fontId="8" fillId="0" borderId="5" xfId="6" applyFont="1" applyFill="1" applyBorder="1" applyAlignment="1">
      <alignment wrapText="1"/>
    </xf>
    <xf numFmtId="0" fontId="7" fillId="0" borderId="10" xfId="6" applyFont="1" applyFill="1" applyBorder="1"/>
    <xf numFmtId="0" fontId="7" fillId="0" borderId="8" xfId="6" applyFont="1" applyFill="1" applyBorder="1"/>
    <xf numFmtId="1" fontId="9" fillId="0" borderId="8" xfId="6" applyNumberFormat="1" applyFont="1" applyFill="1" applyBorder="1"/>
    <xf numFmtId="1" fontId="9" fillId="0" borderId="4" xfId="6" applyNumberFormat="1" applyFont="1" applyFill="1" applyBorder="1"/>
    <xf numFmtId="0" fontId="31" fillId="0" borderId="0" xfId="6" applyFont="1" applyFill="1" applyBorder="1" applyAlignment="1">
      <alignment wrapText="1"/>
    </xf>
    <xf numFmtId="0" fontId="31" fillId="0" borderId="0" xfId="6" applyFont="1" applyFill="1" applyBorder="1"/>
    <xf numFmtId="1" fontId="5" fillId="0" borderId="0" xfId="6" applyNumberFormat="1" applyFont="1" applyFill="1" applyBorder="1"/>
    <xf numFmtId="0" fontId="31" fillId="0" borderId="0" xfId="6" applyFont="1" applyFill="1" applyAlignment="1">
      <alignment vertical="top"/>
    </xf>
    <xf numFmtId="0" fontId="56" fillId="0" borderId="0" xfId="6" applyFont="1" applyFill="1" applyAlignment="1">
      <alignment horizontal="right"/>
    </xf>
    <xf numFmtId="186" fontId="9" fillId="0" borderId="4" xfId="6" applyNumberFormat="1" applyFont="1" applyFill="1" applyBorder="1" applyAlignment="1">
      <alignment horizontal="right"/>
    </xf>
    <xf numFmtId="2" fontId="9" fillId="0" borderId="0" xfId="16" applyNumberFormat="1" applyFont="1" applyFill="1" applyBorder="1" applyAlignment="1">
      <alignment horizontal="right"/>
    </xf>
    <xf numFmtId="0" fontId="8" fillId="0" borderId="51" xfId="6" applyFont="1" applyFill="1" applyBorder="1" applyAlignment="1">
      <alignment horizontal="right" wrapText="1"/>
    </xf>
    <xf numFmtId="0" fontId="8" fillId="0" borderId="81" xfId="6" applyFont="1" applyFill="1" applyBorder="1" applyAlignment="1">
      <alignment horizontal="right" wrapText="1"/>
    </xf>
    <xf numFmtId="186" fontId="9" fillId="0" borderId="10" xfId="6" applyNumberFormat="1" applyFont="1" applyFill="1" applyBorder="1" applyAlignment="1">
      <alignment horizontal="right"/>
    </xf>
    <xf numFmtId="0" fontId="9" fillId="0" borderId="45" xfId="15" applyFont="1" applyFill="1" applyBorder="1" applyAlignment="1">
      <alignment horizontal="right"/>
    </xf>
    <xf numFmtId="0" fontId="9" fillId="0" borderId="0" xfId="15" applyFont="1" applyFill="1" applyBorder="1" applyAlignment="1">
      <alignment horizontal="right"/>
    </xf>
    <xf numFmtId="0" fontId="9" fillId="0" borderId="8" xfId="15" applyFont="1" applyFill="1" applyBorder="1" applyAlignment="1">
      <alignment horizontal="right"/>
    </xf>
    <xf numFmtId="0" fontId="9" fillId="0" borderId="14" xfId="6" applyFont="1" applyFill="1" applyBorder="1" applyAlignment="1">
      <alignment wrapText="1"/>
    </xf>
    <xf numFmtId="2" fontId="9" fillId="0" borderId="15" xfId="16" applyNumberFormat="1" applyFont="1" applyFill="1" applyBorder="1" applyAlignment="1">
      <alignment horizontal="right"/>
    </xf>
    <xf numFmtId="2" fontId="9" fillId="0" borderId="14" xfId="16" applyNumberFormat="1" applyFont="1" applyFill="1" applyBorder="1" applyAlignment="1">
      <alignment horizontal="right"/>
    </xf>
    <xf numFmtId="2" fontId="9" fillId="0" borderId="83" xfId="16" applyNumberFormat="1" applyFont="1" applyFill="1" applyBorder="1" applyAlignment="1">
      <alignment horizontal="right"/>
    </xf>
    <xf numFmtId="0" fontId="9" fillId="0" borderId="20" xfId="15" applyFont="1" applyFill="1" applyBorder="1" applyAlignment="1">
      <alignment horizontal="right"/>
    </xf>
    <xf numFmtId="2" fontId="9" fillId="0" borderId="14" xfId="6" applyNumberFormat="1" applyFont="1" applyFill="1" applyBorder="1" applyAlignment="1">
      <alignment horizontal="right"/>
    </xf>
    <xf numFmtId="2" fontId="9" fillId="0" borderId="66" xfId="6" applyNumberFormat="1" applyFont="1" applyFill="1" applyBorder="1" applyAlignment="1">
      <alignment horizontal="right"/>
    </xf>
    <xf numFmtId="2" fontId="9" fillId="0" borderId="14" xfId="6" applyNumberFormat="1" applyFont="1" applyFill="1" applyBorder="1" applyAlignment="1">
      <alignment horizontal="right" wrapText="1"/>
    </xf>
    <xf numFmtId="2" fontId="9" fillId="0" borderId="66" xfId="6" applyNumberFormat="1" applyFont="1" applyFill="1" applyBorder="1" applyAlignment="1">
      <alignment horizontal="right" wrapText="1"/>
    </xf>
    <xf numFmtId="2" fontId="9" fillId="0" borderId="0" xfId="6" applyNumberFormat="1" applyFont="1" applyFill="1" applyBorder="1" applyAlignment="1">
      <alignment horizontal="right" wrapText="1"/>
    </xf>
    <xf numFmtId="2" fontId="9" fillId="0" borderId="10" xfId="6" applyNumberFormat="1" applyFont="1" applyFill="1" applyBorder="1" applyAlignment="1">
      <alignment horizontal="right" wrapText="1"/>
    </xf>
    <xf numFmtId="2" fontId="9" fillId="0" borderId="84" xfId="6" applyNumberFormat="1" applyFont="1" applyFill="1" applyBorder="1" applyAlignment="1">
      <alignment horizontal="right" wrapText="1"/>
    </xf>
    <xf numFmtId="2" fontId="9" fillId="0" borderId="20" xfId="6" applyNumberFormat="1" applyFont="1" applyFill="1" applyBorder="1" applyAlignment="1">
      <alignment horizontal="right" wrapText="1"/>
    </xf>
    <xf numFmtId="2" fontId="9" fillId="0" borderId="0" xfId="6" applyNumberFormat="1" applyFont="1" applyFill="1"/>
    <xf numFmtId="0" fontId="7" fillId="0" borderId="0" xfId="6" applyFont="1" applyFill="1" applyBorder="1" applyAlignment="1">
      <alignment horizontal="left" vertical="top" wrapText="1"/>
    </xf>
    <xf numFmtId="0" fontId="0" fillId="0" borderId="0" xfId="6" applyFont="1" applyFill="1" applyBorder="1" applyAlignment="1">
      <alignment vertical="top" wrapText="1"/>
    </xf>
    <xf numFmtId="186" fontId="5" fillId="0" borderId="0" xfId="6" applyNumberFormat="1" applyFont="1" applyFill="1" applyAlignment="1">
      <alignment vertical="top"/>
    </xf>
    <xf numFmtId="186" fontId="9" fillId="0" borderId="0" xfId="6" applyNumberFormat="1" applyFont="1" applyFill="1"/>
    <xf numFmtId="0" fontId="12" fillId="0" borderId="5" xfId="6" applyFont="1" applyFill="1" applyBorder="1"/>
    <xf numFmtId="2" fontId="15" fillId="0" borderId="0" xfId="6" applyNumberFormat="1" applyFont="1" applyFill="1" applyBorder="1" applyAlignment="1">
      <alignment horizontal="right" vertical="top"/>
    </xf>
    <xf numFmtId="2" fontId="15" fillId="0" borderId="4" xfId="6" applyNumberFormat="1" applyFont="1" applyFill="1" applyBorder="1" applyAlignment="1">
      <alignment horizontal="right" vertical="top"/>
    </xf>
    <xf numFmtId="0" fontId="41" fillId="0" borderId="5" xfId="6" applyFont="1" applyFill="1" applyBorder="1" applyAlignment="1">
      <alignment horizontal="center"/>
    </xf>
    <xf numFmtId="165" fontId="19" fillId="0" borderId="0" xfId="6" applyNumberFormat="1" applyFont="1" applyFill="1" applyBorder="1" applyAlignment="1">
      <alignment horizontal="center"/>
    </xf>
    <xf numFmtId="165" fontId="19" fillId="0" borderId="2" xfId="6" applyNumberFormat="1" applyFont="1" applyFill="1" applyBorder="1" applyAlignment="1">
      <alignment horizontal="center"/>
    </xf>
    <xf numFmtId="165" fontId="19" fillId="0" borderId="14" xfId="6" applyNumberFormat="1" applyFont="1" applyFill="1" applyBorder="1" applyAlignment="1">
      <alignment horizontal="center"/>
    </xf>
    <xf numFmtId="0" fontId="8" fillId="0" borderId="0" xfId="6" applyFont="1" applyFill="1" applyAlignment="1">
      <alignment vertical="top"/>
    </xf>
    <xf numFmtId="0" fontId="55" fillId="0" borderId="0" xfId="6" applyFont="1" applyFill="1" applyAlignment="1">
      <alignment vertical="top"/>
    </xf>
    <xf numFmtId="172" fontId="19" fillId="0" borderId="4" xfId="38" applyNumberFormat="1" applyFont="1" applyFill="1" applyBorder="1"/>
    <xf numFmtId="43" fontId="19" fillId="0" borderId="4" xfId="38" applyNumberFormat="1" applyFont="1" applyFill="1" applyBorder="1"/>
    <xf numFmtId="0" fontId="19" fillId="0" borderId="4" xfId="6" applyFont="1" applyFill="1" applyBorder="1"/>
    <xf numFmtId="172" fontId="9" fillId="0" borderId="0" xfId="38" applyNumberFormat="1" applyFont="1" applyFill="1" applyBorder="1"/>
    <xf numFmtId="43" fontId="9" fillId="0" borderId="0" xfId="38" applyNumberFormat="1" applyFont="1" applyFill="1" applyBorder="1"/>
    <xf numFmtId="0" fontId="9" fillId="0" borderId="5" xfId="6" applyFont="1" applyFill="1" applyBorder="1" applyAlignment="1">
      <alignment wrapText="1"/>
    </xf>
    <xf numFmtId="172" fontId="9" fillId="0" borderId="5" xfId="38" applyNumberFormat="1" applyFont="1" applyFill="1" applyBorder="1"/>
    <xf numFmtId="43" fontId="9" fillId="0" borderId="5" xfId="38" applyNumberFormat="1" applyFont="1" applyFill="1" applyBorder="1"/>
    <xf numFmtId="172" fontId="9" fillId="0" borderId="4" xfId="38" applyNumberFormat="1" applyFont="1" applyFill="1" applyBorder="1"/>
    <xf numFmtId="43" fontId="9" fillId="0" borderId="4" xfId="38" applyNumberFormat="1" applyFont="1" applyFill="1" applyBorder="1"/>
    <xf numFmtId="0" fontId="41" fillId="0" borderId="5" xfId="6" applyFont="1" applyFill="1" applyBorder="1" applyAlignment="1">
      <alignment horizontal="center" vertical="center"/>
    </xf>
    <xf numFmtId="172" fontId="9" fillId="0" borderId="0" xfId="38" applyNumberFormat="1" applyFont="1" applyFill="1" applyBorder="1" applyAlignment="1">
      <alignment vertical="center"/>
    </xf>
    <xf numFmtId="43" fontId="9" fillId="0" borderId="0" xfId="38" applyNumberFormat="1" applyFont="1" applyFill="1" applyBorder="1" applyAlignment="1">
      <alignment vertical="center"/>
    </xf>
    <xf numFmtId="0" fontId="9" fillId="0" borderId="0" xfId="6" applyFont="1" applyFill="1" applyBorder="1" applyAlignment="1">
      <alignment horizontal="right" vertical="center"/>
    </xf>
    <xf numFmtId="172" fontId="9" fillId="0" borderId="4" xfId="38" applyNumberFormat="1" applyFont="1" applyFill="1" applyBorder="1" applyAlignment="1">
      <alignment vertical="center"/>
    </xf>
    <xf numFmtId="43" fontId="9" fillId="0" borderId="4" xfId="38" applyNumberFormat="1" applyFont="1" applyFill="1" applyBorder="1" applyAlignment="1">
      <alignment vertical="center"/>
    </xf>
    <xf numFmtId="0" fontId="9" fillId="0" borderId="4" xfId="6" applyFont="1" applyFill="1" applyBorder="1" applyAlignment="1">
      <alignment horizontal="right" vertical="center"/>
    </xf>
    <xf numFmtId="10" fontId="9" fillId="0" borderId="0" xfId="6" applyNumberFormat="1" applyFont="1" applyFill="1" applyBorder="1"/>
    <xf numFmtId="0" fontId="41" fillId="0" borderId="5" xfId="6" applyFont="1" applyFill="1" applyBorder="1" applyAlignment="1">
      <alignment horizontal="right"/>
    </xf>
    <xf numFmtId="0" fontId="41" fillId="0" borderId="0" xfId="6" applyFont="1" applyFill="1" applyBorder="1" applyAlignment="1">
      <alignment horizontal="right"/>
    </xf>
    <xf numFmtId="186" fontId="18" fillId="0" borderId="0" xfId="6" applyNumberFormat="1" applyFont="1" applyFill="1" applyAlignment="1">
      <alignment vertical="top"/>
    </xf>
    <xf numFmtId="186" fontId="9" fillId="0" borderId="0" xfId="6" applyNumberFormat="1" applyFont="1" applyFill="1" applyAlignment="1">
      <alignment vertical="top"/>
    </xf>
    <xf numFmtId="186" fontId="19" fillId="0" borderId="0" xfId="6" applyNumberFormat="1" applyFont="1" applyFill="1" applyBorder="1" applyAlignment="1">
      <alignment horizontal="right"/>
    </xf>
    <xf numFmtId="0" fontId="19" fillId="0" borderId="0" xfId="6" applyFont="1" applyFill="1" applyBorder="1" applyAlignment="1">
      <alignment horizontal="right"/>
    </xf>
    <xf numFmtId="10" fontId="9" fillId="0" borderId="0" xfId="19" applyNumberFormat="1" applyFont="1" applyFill="1" applyBorder="1" applyAlignment="1">
      <alignment horizontal="right"/>
    </xf>
    <xf numFmtId="3" fontId="19" fillId="0" borderId="0" xfId="19" applyNumberFormat="1" applyFont="1" applyFill="1" applyBorder="1" applyAlignment="1">
      <alignment horizontal="right"/>
    </xf>
    <xf numFmtId="10" fontId="19" fillId="0" borderId="0" xfId="19" applyNumberFormat="1" applyFont="1" applyFill="1" applyBorder="1" applyAlignment="1">
      <alignment horizontal="right"/>
    </xf>
    <xf numFmtId="186" fontId="9" fillId="0" borderId="4" xfId="6" applyNumberFormat="1" applyFont="1" applyFill="1" applyBorder="1" applyAlignment="1">
      <alignment wrapText="1"/>
    </xf>
    <xf numFmtId="9" fontId="9" fillId="0" borderId="4" xfId="19" applyFont="1" applyFill="1" applyBorder="1"/>
    <xf numFmtId="3" fontId="19" fillId="0" borderId="4" xfId="19" applyNumberFormat="1" applyFont="1" applyFill="1" applyBorder="1"/>
    <xf numFmtId="9" fontId="9" fillId="0" borderId="0" xfId="19" applyFont="1" applyFill="1" applyBorder="1"/>
    <xf numFmtId="204" fontId="7" fillId="0" borderId="0" xfId="19" applyNumberFormat="1" applyFont="1" applyFill="1"/>
    <xf numFmtId="0" fontId="75" fillId="0" borderId="0" xfId="6" applyFont="1" applyFill="1" applyAlignment="1">
      <alignment vertical="top"/>
    </xf>
    <xf numFmtId="186" fontId="7" fillId="0" borderId="0" xfId="6" applyNumberFormat="1" applyFont="1" applyFill="1"/>
    <xf numFmtId="9" fontId="7" fillId="0" borderId="0" xfId="19" applyFont="1" applyFill="1"/>
    <xf numFmtId="173" fontId="7" fillId="0" borderId="0" xfId="19" applyNumberFormat="1" applyFont="1" applyFill="1"/>
    <xf numFmtId="0" fontId="7" fillId="0" borderId="0" xfId="6" applyFont="1" applyFill="1" applyBorder="1" applyAlignment="1">
      <alignment vertical="top"/>
    </xf>
    <xf numFmtId="0" fontId="24" fillId="0" borderId="0" xfId="17" applyFont="1" applyFill="1" applyBorder="1"/>
    <xf numFmtId="0" fontId="24" fillId="0" borderId="0" xfId="17" applyFont="1" applyFill="1" applyBorder="1" applyAlignment="1">
      <alignment horizontal="center" vertical="center"/>
    </xf>
    <xf numFmtId="0" fontId="5" fillId="0" borderId="0" xfId="17" applyFill="1" applyBorder="1"/>
    <xf numFmtId="0" fontId="5" fillId="0" borderId="0" xfId="17" applyFill="1" applyBorder="1" applyAlignment="1">
      <alignment horizontal="right"/>
    </xf>
    <xf numFmtId="186" fontId="92" fillId="0" borderId="0" xfId="6" applyNumberFormat="1" applyFont="1" applyFill="1" applyAlignment="1"/>
    <xf numFmtId="186" fontId="9" fillId="0" borderId="0" xfId="6" applyNumberFormat="1" applyFont="1" applyFill="1" applyBorder="1" applyAlignment="1">
      <alignment horizontal="left" wrapText="1"/>
    </xf>
    <xf numFmtId="1" fontId="9" fillId="0" borderId="0" xfId="6" applyNumberFormat="1" applyFont="1" applyFill="1" applyBorder="1" applyAlignment="1">
      <alignment horizontal="right"/>
    </xf>
    <xf numFmtId="1" fontId="9" fillId="0" borderId="4" xfId="6" applyNumberFormat="1" applyFont="1" applyFill="1" applyBorder="1" applyAlignment="1">
      <alignment horizontal="right"/>
    </xf>
    <xf numFmtId="186" fontId="8" fillId="0" borderId="0" xfId="6" applyNumberFormat="1" applyFont="1" applyFill="1" applyBorder="1" applyAlignment="1">
      <alignment wrapText="1"/>
    </xf>
    <xf numFmtId="186" fontId="8" fillId="0" borderId="0" xfId="6" applyNumberFormat="1" applyFont="1" applyFill="1" applyBorder="1" applyAlignment="1">
      <alignment horizontal="left"/>
    </xf>
    <xf numFmtId="205" fontId="9" fillId="0" borderId="0" xfId="6" applyNumberFormat="1" applyFont="1" applyFill="1" applyBorder="1" applyAlignment="1">
      <alignment horizontal="right"/>
    </xf>
    <xf numFmtId="186" fontId="50" fillId="0" borderId="0" xfId="6" applyNumberFormat="1" applyFont="1" applyFill="1" applyBorder="1" applyAlignment="1"/>
    <xf numFmtId="0" fontId="9" fillId="0" borderId="0" xfId="6" applyNumberFormat="1" applyFont="1" applyFill="1" applyBorder="1" applyAlignment="1">
      <alignment horizontal="right"/>
    </xf>
    <xf numFmtId="0" fontId="9" fillId="0" borderId="4" xfId="6" applyNumberFormat="1" applyFont="1" applyFill="1" applyBorder="1" applyAlignment="1">
      <alignment horizontal="right"/>
    </xf>
    <xf numFmtId="186" fontId="8" fillId="0" borderId="0" xfId="6" applyNumberFormat="1" applyFont="1" applyFill="1" applyBorder="1" applyAlignment="1">
      <alignment horizontal="right"/>
    </xf>
    <xf numFmtId="186" fontId="9" fillId="0" borderId="29" xfId="6" applyNumberFormat="1" applyFont="1" applyFill="1" applyBorder="1" applyAlignment="1"/>
    <xf numFmtId="186" fontId="9" fillId="0" borderId="29" xfId="6" applyNumberFormat="1" applyFont="1" applyFill="1" applyBorder="1" applyAlignment="1">
      <alignment horizontal="right"/>
    </xf>
    <xf numFmtId="186" fontId="50" fillId="0" borderId="0" xfId="6" applyNumberFormat="1" applyFont="1" applyFill="1" applyBorder="1" applyAlignment="1">
      <alignment horizontal="right" wrapText="1"/>
    </xf>
    <xf numFmtId="206" fontId="9" fillId="0" borderId="0" xfId="6" quotePrefix="1" applyNumberFormat="1" applyFont="1" applyFill="1" applyBorder="1" applyAlignment="1">
      <alignment horizontal="right"/>
    </xf>
    <xf numFmtId="186" fontId="9" fillId="0" borderId="0" xfId="6" quotePrefix="1" applyNumberFormat="1" applyFont="1" applyFill="1" applyBorder="1" applyAlignment="1">
      <alignment horizontal="right"/>
    </xf>
    <xf numFmtId="186" fontId="9" fillId="0" borderId="4" xfId="6" applyNumberFormat="1" applyFont="1" applyFill="1" applyBorder="1" applyAlignment="1">
      <alignment horizontal="right" wrapText="1"/>
    </xf>
    <xf numFmtId="206" fontId="9" fillId="0" borderId="4" xfId="6" quotePrefix="1" applyNumberFormat="1" applyFont="1" applyFill="1" applyBorder="1" applyAlignment="1">
      <alignment horizontal="right"/>
    </xf>
    <xf numFmtId="186" fontId="29" fillId="0" borderId="0" xfId="6" applyNumberFormat="1" applyFont="1" applyFill="1" applyBorder="1" applyAlignment="1">
      <alignment horizontal="right"/>
    </xf>
    <xf numFmtId="10" fontId="9" fillId="0" borderId="4" xfId="19" applyNumberFormat="1" applyFont="1" applyFill="1" applyBorder="1" applyAlignment="1">
      <alignment horizontal="right"/>
    </xf>
    <xf numFmtId="10" fontId="19" fillId="0" borderId="4" xfId="19" applyNumberFormat="1" applyFont="1" applyFill="1" applyBorder="1" applyAlignment="1">
      <alignment horizontal="right"/>
    </xf>
    <xf numFmtId="9" fontId="9" fillId="0" borderId="0" xfId="19" applyFont="1" applyFill="1"/>
    <xf numFmtId="0" fontId="24" fillId="0" borderId="24" xfId="17" applyFont="1" applyFill="1" applyBorder="1"/>
    <xf numFmtId="0" fontId="24" fillId="0" borderId="18" xfId="17" applyFont="1" applyFill="1" applyBorder="1"/>
    <xf numFmtId="0" fontId="24" fillId="0" borderId="38" xfId="17" applyFont="1" applyFill="1" applyBorder="1"/>
    <xf numFmtId="0" fontId="24" fillId="0" borderId="86" xfId="17" applyFont="1" applyFill="1" applyBorder="1"/>
    <xf numFmtId="0" fontId="24" fillId="0" borderId="87" xfId="17" applyFont="1" applyFill="1" applyBorder="1"/>
    <xf numFmtId="0" fontId="5" fillId="0" borderId="24" xfId="17" applyFill="1" applyBorder="1"/>
    <xf numFmtId="0" fontId="5" fillId="0" borderId="24" xfId="17" applyFill="1" applyBorder="1" applyAlignment="1">
      <alignment horizontal="right"/>
    </xf>
    <xf numFmtId="0" fontId="0" fillId="0" borderId="7" xfId="6" applyFont="1" applyFill="1" applyBorder="1" applyProtection="1"/>
    <xf numFmtId="0" fontId="28" fillId="0" borderId="7" xfId="7" applyFont="1" applyFill="1" applyBorder="1" applyAlignment="1" applyProtection="1"/>
    <xf numFmtId="0" fontId="28" fillId="0" borderId="0" xfId="7" applyFont="1" applyFill="1" applyBorder="1" applyAlignment="1" applyProtection="1"/>
    <xf numFmtId="0" fontId="28" fillId="0" borderId="0" xfId="7" applyFont="1" applyFill="1" applyBorder="1" applyAlignment="1"/>
    <xf numFmtId="0" fontId="7" fillId="0" borderId="0" xfId="6" applyFont="1" applyFill="1" applyBorder="1" applyAlignment="1" applyProtection="1">
      <alignment horizontal="left" vertical="top" wrapText="1"/>
    </xf>
    <xf numFmtId="173" fontId="5" fillId="0" borderId="0" xfId="19" applyNumberFormat="1" applyFont="1" applyFill="1" applyBorder="1" applyAlignment="1" applyProtection="1">
      <alignment vertical="top" wrapText="1"/>
    </xf>
    <xf numFmtId="186" fontId="8" fillId="0" borderId="0" xfId="6" applyNumberFormat="1" applyFont="1" applyFill="1" applyBorder="1" applyProtection="1"/>
    <xf numFmtId="173" fontId="5" fillId="0" borderId="0" xfId="19" applyNumberFormat="1" applyFont="1" applyFill="1" applyProtection="1"/>
    <xf numFmtId="0" fontId="5" fillId="0" borderId="7" xfId="6" applyFont="1" applyFill="1" applyBorder="1" applyAlignment="1" applyProtection="1"/>
    <xf numFmtId="0" fontId="5" fillId="0" borderId="0" xfId="6" applyFont="1" applyFill="1" applyBorder="1" applyAlignment="1" applyProtection="1"/>
    <xf numFmtId="183" fontId="9" fillId="0" borderId="0" xfId="6" applyNumberFormat="1" applyFont="1" applyFill="1" applyBorder="1" applyAlignment="1">
      <alignment horizontal="right" vertical="top" wrapText="1"/>
    </xf>
    <xf numFmtId="183" fontId="9" fillId="0" borderId="4" xfId="6" applyNumberFormat="1" applyFont="1" applyFill="1" applyBorder="1" applyAlignment="1">
      <alignment horizontal="right" vertical="top" wrapText="1"/>
    </xf>
    <xf numFmtId="183" fontId="9" fillId="0" borderId="0" xfId="6" applyNumberFormat="1" applyFont="1" applyFill="1" applyBorder="1" applyAlignment="1">
      <alignment vertical="top" wrapText="1"/>
    </xf>
    <xf numFmtId="173" fontId="9" fillId="0" borderId="0" xfId="19" applyNumberFormat="1" applyFont="1" applyFill="1" applyBorder="1" applyAlignment="1">
      <alignment horizontal="right" vertical="top" wrapText="1"/>
    </xf>
    <xf numFmtId="3" fontId="9" fillId="0" borderId="0" xfId="6" applyNumberFormat="1" applyFont="1" applyFill="1" applyBorder="1" applyAlignment="1">
      <alignment horizontal="right" vertical="top" wrapText="1"/>
    </xf>
    <xf numFmtId="165" fontId="8" fillId="0" borderId="5" xfId="6" quotePrefix="1" applyNumberFormat="1" applyFont="1" applyFill="1" applyBorder="1" applyAlignment="1">
      <alignment horizontal="right"/>
    </xf>
    <xf numFmtId="0" fontId="5" fillId="0" borderId="7" xfId="7" applyFont="1" applyFill="1" applyBorder="1" applyAlignment="1" applyProtection="1">
      <alignment vertical="top" wrapText="1"/>
    </xf>
    <xf numFmtId="0" fontId="5" fillId="0" borderId="0" xfId="7" applyFont="1" applyFill="1" applyBorder="1" applyAlignment="1" applyProtection="1">
      <alignment vertical="top" wrapText="1"/>
    </xf>
    <xf numFmtId="0" fontId="5" fillId="0" borderId="10" xfId="6" applyFont="1" applyFill="1" applyBorder="1" applyAlignment="1" applyProtection="1">
      <alignment vertical="top" wrapText="1"/>
    </xf>
    <xf numFmtId="171" fontId="0" fillId="0" borderId="0" xfId="6" applyNumberFormat="1" applyFont="1" applyFill="1" applyBorder="1" applyAlignment="1" applyProtection="1">
      <alignment horizontal="right"/>
    </xf>
    <xf numFmtId="0" fontId="21" fillId="0" borderId="7" xfId="7" applyFont="1" applyFill="1" applyBorder="1" applyAlignment="1" applyProtection="1"/>
    <xf numFmtId="0" fontId="21" fillId="0" borderId="0" xfId="7" applyFont="1" applyFill="1" applyBorder="1" applyAlignment="1" applyProtection="1"/>
    <xf numFmtId="0" fontId="21" fillId="0" borderId="0" xfId="7" applyFont="1" applyFill="1" applyBorder="1" applyAlignment="1"/>
    <xf numFmtId="0" fontId="5" fillId="0" borderId="0" xfId="6" applyFont="1" applyFill="1" applyBorder="1" applyAlignment="1">
      <alignment vertical="top"/>
    </xf>
    <xf numFmtId="0" fontId="5" fillId="0" borderId="0" xfId="6" applyFont="1" applyFill="1" applyBorder="1" applyAlignment="1">
      <alignment horizontal="left" vertical="top"/>
    </xf>
    <xf numFmtId="0" fontId="5" fillId="0" borderId="0" xfId="6" applyFont="1" applyFill="1" applyBorder="1" applyAlignment="1">
      <alignment horizontal="left" vertical="top" wrapText="1" shrinkToFit="1"/>
    </xf>
    <xf numFmtId="0" fontId="5" fillId="0" borderId="0" xfId="6" applyFont="1" applyFill="1" applyBorder="1" applyAlignment="1">
      <alignment vertical="top" wrapText="1" shrinkToFit="1"/>
    </xf>
    <xf numFmtId="0" fontId="55" fillId="0" borderId="0" xfId="6" applyFont="1" applyFill="1" applyBorder="1" applyAlignment="1">
      <alignment vertical="top"/>
    </xf>
    <xf numFmtId="0" fontId="5" fillId="0" borderId="4" xfId="6" applyFont="1" applyFill="1" applyBorder="1"/>
    <xf numFmtId="0" fontId="46" fillId="0" borderId="4" xfId="6" applyFont="1" applyFill="1" applyBorder="1"/>
    <xf numFmtId="173" fontId="9" fillId="0" borderId="0" xfId="24" applyNumberFormat="1" applyFont="1" applyFill="1" applyBorder="1" applyAlignment="1">
      <alignment horizontal="left"/>
    </xf>
    <xf numFmtId="49" fontId="8" fillId="0" borderId="0" xfId="6" applyNumberFormat="1" applyFont="1" applyFill="1" applyBorder="1" applyAlignment="1">
      <alignment horizontal="right"/>
    </xf>
    <xf numFmtId="0" fontId="8" fillId="0" borderId="5" xfId="6" applyFont="1" applyFill="1" applyBorder="1" applyAlignment="1">
      <alignment horizontal="right" wrapText="1"/>
    </xf>
    <xf numFmtId="0" fontId="55" fillId="0" borderId="0" xfId="6" applyFont="1" applyFill="1" applyAlignment="1">
      <alignment horizontal="right" vertical="top"/>
    </xf>
    <xf numFmtId="186" fontId="124" fillId="0" borderId="0" xfId="6" applyNumberFormat="1" applyFont="1" applyFill="1" applyBorder="1" applyAlignment="1">
      <alignment horizontal="right"/>
    </xf>
    <xf numFmtId="186" fontId="124" fillId="0" borderId="8" xfId="6" applyNumberFormat="1" applyFont="1" applyFill="1" applyBorder="1" applyAlignment="1">
      <alignment horizontal="right"/>
    </xf>
    <xf numFmtId="186" fontId="125" fillId="0" borderId="0" xfId="6" applyNumberFormat="1" applyFont="1" applyFill="1" applyBorder="1" applyAlignment="1">
      <alignment horizontal="right"/>
    </xf>
    <xf numFmtId="173" fontId="9" fillId="0" borderId="0" xfId="2" applyNumberFormat="1" applyFont="1" applyFill="1" applyBorder="1"/>
    <xf numFmtId="17" fontId="8" fillId="0" borderId="0" xfId="6" applyNumberFormat="1" applyFont="1" applyFill="1" applyBorder="1" applyAlignment="1">
      <alignment horizontal="right"/>
    </xf>
    <xf numFmtId="9" fontId="9" fillId="0" borderId="0" xfId="24" applyNumberFormat="1" applyFont="1" applyFill="1" applyBorder="1"/>
    <xf numFmtId="0" fontId="7" fillId="0" borderId="0" xfId="6" applyFont="1" applyFill="1" applyBorder="1" applyAlignment="1" applyProtection="1">
      <alignment horizontal="left" vertical="top" wrapText="1"/>
      <protection locked="0"/>
    </xf>
    <xf numFmtId="170" fontId="5" fillId="0" borderId="0" xfId="6" applyNumberFormat="1" applyFont="1" applyFill="1" applyBorder="1" applyAlignment="1" applyProtection="1">
      <alignment vertical="top" wrapText="1"/>
      <protection locked="0"/>
    </xf>
    <xf numFmtId="0" fontId="12" fillId="0" borderId="0" xfId="6" applyFont="1" applyFill="1" applyBorder="1" applyAlignment="1" applyProtection="1">
      <alignment horizontal="left"/>
    </xf>
    <xf numFmtId="207" fontId="0" fillId="0" borderId="0" xfId="6" applyNumberFormat="1" applyFont="1" applyFill="1" applyBorder="1" applyProtection="1"/>
    <xf numFmtId="0" fontId="8" fillId="0" borderId="4" xfId="6" applyFont="1" applyFill="1" applyBorder="1" applyAlignment="1" applyProtection="1">
      <alignment horizontal="left"/>
    </xf>
    <xf numFmtId="0" fontId="9" fillId="0" borderId="0" xfId="6" applyFont="1" applyFill="1" applyAlignment="1" applyProtection="1">
      <alignment horizontal="left"/>
    </xf>
    <xf numFmtId="0" fontId="41" fillId="0" borderId="0" xfId="6" applyFont="1" applyFill="1" applyBorder="1" applyAlignment="1" applyProtection="1">
      <alignment horizontal="left"/>
    </xf>
    <xf numFmtId="0" fontId="12" fillId="0" borderId="0" xfId="6" applyFont="1" applyFill="1" applyBorder="1" applyAlignment="1" applyProtection="1">
      <alignment horizontal="left" vertical="top"/>
    </xf>
    <xf numFmtId="0" fontId="12" fillId="0" borderId="0" xfId="6" applyFont="1" applyFill="1" applyBorder="1" applyAlignment="1" applyProtection="1">
      <alignment horizontal="center" vertical="top"/>
    </xf>
    <xf numFmtId="9" fontId="12" fillId="0" borderId="0" xfId="2" applyFont="1" applyFill="1" applyBorder="1" applyAlignment="1">
      <alignment horizontal="center" vertical="top"/>
    </xf>
    <xf numFmtId="0" fontId="7" fillId="0" borderId="0" xfId="6" quotePrefix="1" applyFont="1" applyFill="1" applyBorder="1" applyAlignment="1" applyProtection="1">
      <alignment horizontal="left" vertical="top" wrapText="1"/>
      <protection locked="0"/>
    </xf>
    <xf numFmtId="176" fontId="9" fillId="0" borderId="0" xfId="6" applyNumberFormat="1" applyFont="1" applyFill="1" applyBorder="1" applyAlignment="1" applyProtection="1">
      <alignment horizontal="right"/>
    </xf>
    <xf numFmtId="176" fontId="9" fillId="0" borderId="4" xfId="6" applyNumberFormat="1" applyFont="1" applyFill="1" applyBorder="1" applyAlignment="1" applyProtection="1">
      <alignment horizontal="right"/>
    </xf>
    <xf numFmtId="176" fontId="7" fillId="0" borderId="0" xfId="6" applyNumberFormat="1" applyFont="1" applyFill="1" applyProtection="1"/>
    <xf numFmtId="0" fontId="7" fillId="0" borderId="0" xfId="6" applyFont="1" applyFill="1" applyAlignment="1" applyProtection="1">
      <alignment horizontal="left"/>
    </xf>
    <xf numFmtId="0" fontId="7" fillId="0" borderId="0" xfId="6" applyFont="1" applyFill="1" applyBorder="1" applyAlignment="1" applyProtection="1">
      <alignment wrapText="1"/>
    </xf>
    <xf numFmtId="0" fontId="5" fillId="0" borderId="1" xfId="6" applyFont="1" applyFill="1" applyBorder="1" applyAlignment="1" applyProtection="1">
      <alignment vertical="top" wrapText="1"/>
    </xf>
    <xf numFmtId="0" fontId="5" fillId="0" borderId="2" xfId="6" applyFont="1" applyFill="1" applyBorder="1" applyAlignment="1" applyProtection="1">
      <alignment vertical="top" wrapText="1"/>
    </xf>
    <xf numFmtId="0" fontId="5" fillId="0" borderId="3" xfId="6" applyFont="1" applyFill="1" applyBorder="1" applyAlignment="1" applyProtection="1">
      <alignment vertical="top" wrapText="1"/>
    </xf>
    <xf numFmtId="0" fontId="1" fillId="0" borderId="26" xfId="6" applyFont="1" applyFill="1" applyBorder="1" applyAlignment="1" applyProtection="1">
      <alignment horizontal="center" vertical="top"/>
    </xf>
    <xf numFmtId="0" fontId="5" fillId="0" borderId="2" xfId="6" applyFont="1" applyFill="1" applyBorder="1" applyAlignment="1">
      <alignment horizontal="left" vertical="top" wrapText="1"/>
    </xf>
    <xf numFmtId="0" fontId="5" fillId="0" borderId="3" xfId="6" applyFont="1" applyFill="1" applyBorder="1" applyAlignment="1">
      <alignment horizontal="left" vertical="top" wrapText="1"/>
    </xf>
    <xf numFmtId="0" fontId="5" fillId="0" borderId="1" xfId="6" applyFont="1" applyFill="1" applyBorder="1" applyAlignment="1">
      <alignment vertical="top" wrapText="1"/>
    </xf>
    <xf numFmtId="0" fontId="5" fillId="0" borderId="2" xfId="6" applyFont="1" applyFill="1" applyBorder="1" applyAlignment="1">
      <alignment vertical="top" wrapText="1"/>
    </xf>
    <xf numFmtId="0" fontId="5" fillId="0" borderId="3" xfId="6" applyFont="1" applyFill="1" applyBorder="1" applyAlignment="1">
      <alignment vertical="top" wrapText="1"/>
    </xf>
    <xf numFmtId="0" fontId="5" fillId="0" borderId="0" xfId="6" applyFont="1" applyFill="1" applyBorder="1" applyAlignment="1" applyProtection="1">
      <alignment horizontal="left" vertical="top" wrapText="1"/>
      <protection locked="0"/>
    </xf>
    <xf numFmtId="0" fontId="1" fillId="0" borderId="0" xfId="6" applyFont="1" applyFill="1" applyBorder="1" applyAlignment="1" applyProtection="1">
      <alignment vertical="top" wrapText="1"/>
      <protection locked="0"/>
    </xf>
    <xf numFmtId="0" fontId="8" fillId="0" borderId="5" xfId="6" applyFont="1" applyFill="1" applyBorder="1" applyAlignment="1" applyProtection="1">
      <alignment horizontal="center"/>
    </xf>
    <xf numFmtId="0" fontId="8" fillId="0" borderId="0" xfId="6" applyFont="1" applyFill="1" applyBorder="1" applyAlignment="1">
      <alignment horizontal="center" wrapText="1"/>
    </xf>
    <xf numFmtId="0" fontId="8" fillId="0" borderId="5" xfId="6" applyFont="1" applyFill="1" applyBorder="1" applyAlignment="1">
      <alignment horizontal="center" wrapText="1"/>
    </xf>
    <xf numFmtId="0" fontId="8" fillId="0" borderId="0" xfId="6" applyFont="1" applyFill="1" applyBorder="1" applyAlignment="1" applyProtection="1">
      <alignment horizontal="center"/>
      <protection locked="0"/>
    </xf>
    <xf numFmtId="0" fontId="8" fillId="0" borderId="0" xfId="6" applyFont="1" applyFill="1" applyBorder="1" applyAlignment="1">
      <alignment horizontal="center" vertical="top" wrapText="1"/>
    </xf>
    <xf numFmtId="0" fontId="5" fillId="0" borderId="0" xfId="6" applyFont="1" applyFill="1" applyBorder="1" applyAlignment="1">
      <alignment horizontal="left" vertical="top" wrapText="1"/>
    </xf>
    <xf numFmtId="0" fontId="9" fillId="0" borderId="10" xfId="17" applyFont="1" applyFill="1" applyBorder="1" applyAlignment="1">
      <alignment wrapText="1"/>
    </xf>
    <xf numFmtId="0" fontId="9" fillId="0" borderId="0" xfId="6" applyFont="1" applyFill="1" applyBorder="1" applyAlignment="1" applyProtection="1">
      <alignment horizontal="left" vertical="top" wrapText="1"/>
    </xf>
    <xf numFmtId="0" fontId="24" fillId="0" borderId="16" xfId="17" applyFont="1" applyFill="1" applyBorder="1" applyAlignment="1">
      <alignment horizontal="center" vertical="center"/>
    </xf>
    <xf numFmtId="0" fontId="24" fillId="0" borderId="18" xfId="17" applyFont="1" applyFill="1" applyBorder="1" applyAlignment="1">
      <alignment horizontal="center" vertical="center"/>
    </xf>
    <xf numFmtId="0" fontId="7" fillId="0" borderId="0" xfId="6" applyFont="1" applyFill="1" applyBorder="1" applyAlignment="1" applyProtection="1">
      <alignment vertical="top" wrapText="1"/>
      <protection locked="0"/>
    </xf>
    <xf numFmtId="0" fontId="8" fillId="0" borderId="0" xfId="6" applyFont="1" applyFill="1" applyBorder="1" applyAlignment="1">
      <alignment horizontal="center" vertical="top"/>
    </xf>
    <xf numFmtId="0" fontId="5" fillId="0" borderId="1" xfId="6" applyFont="1" applyFill="1" applyBorder="1" applyAlignment="1">
      <alignment vertical="top"/>
    </xf>
    <xf numFmtId="0" fontId="5" fillId="0" borderId="8" xfId="6" applyFont="1" applyFill="1" applyBorder="1" applyAlignment="1">
      <alignment horizontal="left" vertical="top" wrapText="1"/>
    </xf>
    <xf numFmtId="165" fontId="19" fillId="0" borderId="14" xfId="6" applyNumberFormat="1" applyFont="1" applyFill="1" applyBorder="1" applyProtection="1">
      <protection locked="0"/>
    </xf>
    <xf numFmtId="0" fontId="5" fillId="0" borderId="2" xfId="6" applyFont="1" applyFill="1" applyBorder="1" applyAlignment="1" applyProtection="1">
      <alignment horizontal="left" vertical="top" wrapText="1"/>
    </xf>
    <xf numFmtId="0" fontId="5" fillId="0" borderId="3" xfId="6" applyFont="1" applyFill="1" applyBorder="1" applyAlignment="1" applyProtection="1">
      <alignment horizontal="left" vertical="top" wrapText="1"/>
    </xf>
    <xf numFmtId="0" fontId="5" fillId="0" borderId="0" xfId="6" applyFont="1" applyFill="1" applyBorder="1" applyAlignment="1" applyProtection="1">
      <alignment horizontal="left" vertical="top" wrapText="1"/>
      <protection locked="0"/>
    </xf>
    <xf numFmtId="0" fontId="5" fillId="0" borderId="2" xfId="6" applyFont="1" applyFill="1" applyBorder="1" applyAlignment="1">
      <alignment horizontal="left" wrapText="1"/>
    </xf>
    <xf numFmtId="0" fontId="5" fillId="0" borderId="3" xfId="6" applyFont="1" applyFill="1" applyBorder="1" applyAlignment="1">
      <alignment horizontal="left" wrapText="1"/>
    </xf>
    <xf numFmtId="165" fontId="57" fillId="0" borderId="0" xfId="17" applyNumberFormat="1" applyFont="1" applyFill="1" applyBorder="1" applyAlignment="1">
      <alignment horizontal="right"/>
    </xf>
    <xf numFmtId="165" fontId="57" fillId="0" borderId="4" xfId="17" applyNumberFormat="1" applyFont="1" applyFill="1" applyBorder="1" applyAlignment="1">
      <alignment horizontal="right"/>
    </xf>
    <xf numFmtId="3" fontId="15" fillId="0" borderId="0" xfId="6" applyNumberFormat="1" applyFont="1" applyFill="1" applyBorder="1" applyAlignment="1"/>
    <xf numFmtId="173" fontId="15" fillId="0" borderId="4" xfId="19" applyNumberFormat="1" applyFont="1" applyFill="1" applyBorder="1" applyAlignment="1" applyProtection="1">
      <alignment horizontal="right"/>
    </xf>
    <xf numFmtId="170" fontId="9" fillId="0" borderId="0" xfId="19" applyNumberFormat="1" applyFont="1" applyFill="1" applyBorder="1" applyAlignment="1" applyProtection="1">
      <alignment horizontal="right"/>
    </xf>
    <xf numFmtId="3" fontId="57" fillId="0" borderId="0" xfId="6" applyNumberFormat="1" applyFont="1" applyFill="1" applyBorder="1" applyAlignment="1"/>
    <xf numFmtId="170" fontId="15" fillId="0" borderId="0" xfId="19" applyNumberFormat="1" applyFont="1" applyFill="1" applyBorder="1" applyAlignment="1" applyProtection="1">
      <alignment horizontal="right"/>
    </xf>
    <xf numFmtId="170" fontId="15" fillId="0" borderId="0" xfId="6" applyNumberFormat="1" applyFont="1" applyFill="1" applyBorder="1" applyAlignment="1"/>
    <xf numFmtId="173" fontId="9" fillId="0" borderId="6" xfId="19" applyNumberFormat="1" applyFont="1" applyFill="1" applyBorder="1" applyAlignment="1" applyProtection="1">
      <alignment horizontal="right"/>
    </xf>
    <xf numFmtId="170" fontId="15" fillId="0" borderId="8" xfId="19" applyNumberFormat="1" applyFont="1" applyFill="1" applyBorder="1" applyAlignment="1" applyProtection="1">
      <alignment horizontal="right"/>
    </xf>
    <xf numFmtId="170" fontId="15" fillId="0" borderId="8" xfId="6" applyNumberFormat="1" applyFont="1" applyFill="1" applyBorder="1" applyAlignment="1"/>
    <xf numFmtId="3" fontId="27" fillId="0" borderId="0" xfId="17" applyNumberFormat="1" applyFont="1" applyFill="1" applyBorder="1"/>
    <xf numFmtId="169" fontId="27" fillId="0" borderId="0" xfId="32" applyNumberFormat="1" applyFont="1" applyFill="1" applyBorder="1" applyAlignment="1" applyProtection="1">
      <alignment horizontal="right"/>
    </xf>
    <xf numFmtId="169" fontId="27" fillId="0" borderId="4" xfId="32" applyNumberFormat="1" applyFont="1" applyFill="1" applyBorder="1" applyAlignment="1" applyProtection="1">
      <alignment horizontal="right"/>
    </xf>
    <xf numFmtId="172" fontId="27" fillId="0" borderId="4" xfId="1" applyNumberFormat="1" applyFont="1" applyFill="1" applyBorder="1" applyProtection="1">
      <protection locked="0"/>
    </xf>
    <xf numFmtId="0" fontId="15" fillId="0" borderId="0" xfId="6" applyFont="1" applyFill="1" applyBorder="1" applyAlignment="1"/>
    <xf numFmtId="0" fontId="9" fillId="0" borderId="0" xfId="6" applyFont="1" applyFill="1" applyAlignment="1">
      <alignment horizontal="left"/>
    </xf>
    <xf numFmtId="0" fontId="5" fillId="0" borderId="0" xfId="6" applyFont="1" applyFill="1" applyBorder="1" applyAlignment="1">
      <alignment horizontal="right" vertical="top" wrapText="1"/>
    </xf>
    <xf numFmtId="0" fontId="9" fillId="0" borderId="5" xfId="6" applyFont="1" applyFill="1" applyBorder="1" applyAlignment="1">
      <alignment horizontal="right"/>
    </xf>
    <xf numFmtId="0" fontId="8" fillId="0" borderId="0" xfId="17" applyFont="1" applyFill="1" applyBorder="1" applyAlignment="1">
      <alignment horizontal="right"/>
    </xf>
    <xf numFmtId="186" fontId="9" fillId="0" borderId="8" xfId="6" applyNumberFormat="1" applyFont="1" applyFill="1" applyBorder="1" applyAlignment="1">
      <alignment horizontal="left"/>
    </xf>
    <xf numFmtId="0" fontId="9" fillId="0" borderId="8" xfId="6" applyFont="1" applyFill="1" applyBorder="1" applyAlignment="1">
      <alignment horizontal="right" wrapText="1"/>
    </xf>
    <xf numFmtId="173" fontId="9" fillId="0" borderId="0" xfId="6" applyNumberFormat="1" applyFont="1" applyFill="1"/>
    <xf numFmtId="165" fontId="9" fillId="0" borderId="0" xfId="16" applyNumberFormat="1" applyFont="1" applyFill="1" applyBorder="1" applyAlignment="1">
      <alignment horizontal="right"/>
    </xf>
    <xf numFmtId="208" fontId="9" fillId="0" borderId="0" xfId="6" applyNumberFormat="1" applyFont="1" applyFill="1" applyBorder="1" applyAlignment="1">
      <alignment horizontal="right"/>
    </xf>
    <xf numFmtId="165" fontId="9" fillId="0" borderId="4" xfId="6" applyNumberFormat="1" applyFont="1" applyFill="1" applyBorder="1" applyAlignment="1">
      <alignment horizontal="right"/>
    </xf>
    <xf numFmtId="10" fontId="9" fillId="0" borderId="4" xfId="6" applyNumberFormat="1" applyFont="1" applyFill="1" applyBorder="1" applyAlignment="1">
      <alignment horizontal="right"/>
    </xf>
    <xf numFmtId="165" fontId="9" fillId="0" borderId="0" xfId="19" applyNumberFormat="1" applyFont="1" applyFill="1" applyBorder="1" applyAlignment="1">
      <alignment horizontal="right"/>
    </xf>
    <xf numFmtId="0" fontId="5" fillId="0" borderId="0" xfId="6" applyFont="1" applyFill="1" applyBorder="1"/>
    <xf numFmtId="0" fontId="8" fillId="0" borderId="5" xfId="6" quotePrefix="1" applyFont="1" applyFill="1" applyBorder="1" applyAlignment="1">
      <alignment horizontal="right"/>
    </xf>
    <xf numFmtId="0" fontId="8" fillId="0" borderId="14" xfId="6" applyFont="1" applyFill="1" applyBorder="1" applyAlignment="1">
      <alignment horizontal="left" wrapText="1"/>
    </xf>
    <xf numFmtId="0" fontId="8" fillId="0" borderId="0" xfId="6" quotePrefix="1" applyFont="1" applyFill="1" applyBorder="1" applyAlignment="1">
      <alignment horizontal="right"/>
    </xf>
    <xf numFmtId="1" fontId="9" fillId="0" borderId="0" xfId="6" quotePrefix="1" applyNumberFormat="1" applyFont="1" applyFill="1" applyBorder="1" applyAlignment="1">
      <alignment horizontal="right"/>
    </xf>
    <xf numFmtId="1" fontId="9" fillId="0" borderId="0" xfId="6" applyNumberFormat="1" applyFont="1" applyFill="1" applyBorder="1" applyAlignment="1">
      <alignment horizontal="left"/>
    </xf>
    <xf numFmtId="1" fontId="8" fillId="0" borderId="14" xfId="6" applyNumberFormat="1" applyFont="1" applyFill="1" applyBorder="1" applyAlignment="1">
      <alignment horizontal="left" wrapText="1"/>
    </xf>
    <xf numFmtId="1" fontId="8" fillId="0" borderId="14" xfId="6" applyNumberFormat="1" applyFont="1" applyFill="1" applyBorder="1" applyAlignment="1">
      <alignment horizontal="right" wrapText="1"/>
    </xf>
    <xf numFmtId="1" fontId="8" fillId="0" borderId="0" xfId="6" applyNumberFormat="1" applyFont="1" applyFill="1" applyBorder="1" applyAlignment="1">
      <alignment horizontal="right" wrapText="1"/>
    </xf>
    <xf numFmtId="170" fontId="15" fillId="0" borderId="4" xfId="6" applyNumberFormat="1" applyFont="1" applyFill="1" applyBorder="1" applyAlignment="1">
      <alignment horizontal="right"/>
    </xf>
    <xf numFmtId="165" fontId="127" fillId="0" borderId="4" xfId="6" applyNumberFormat="1" applyFont="1" applyFill="1" applyBorder="1" applyAlignment="1" applyProtection="1">
      <alignment horizontal="right"/>
      <protection locked="0"/>
    </xf>
    <xf numFmtId="171" fontId="15" fillId="0" borderId="0" xfId="9" applyNumberFormat="1" applyFont="1" applyFill="1" applyBorder="1" applyAlignment="1">
      <alignment horizontal="right"/>
    </xf>
    <xf numFmtId="165" fontId="15" fillId="0" borderId="0" xfId="6" applyNumberFormat="1" applyFont="1" applyFill="1" applyBorder="1" applyProtection="1">
      <protection locked="0"/>
    </xf>
    <xf numFmtId="171" fontId="15" fillId="0" borderId="4" xfId="9" applyNumberFormat="1" applyFont="1" applyFill="1" applyBorder="1" applyAlignment="1">
      <alignment horizontal="right"/>
    </xf>
    <xf numFmtId="165" fontId="15" fillId="0" borderId="4" xfId="6" applyNumberFormat="1" applyFont="1" applyFill="1" applyBorder="1" applyProtection="1">
      <protection locked="0"/>
    </xf>
    <xf numFmtId="4" fontId="27" fillId="0" borderId="4" xfId="6" applyNumberFormat="1" applyFont="1" applyFill="1" applyBorder="1" applyAlignment="1" applyProtection="1"/>
    <xf numFmtId="165" fontId="27" fillId="0" borderId="4" xfId="0" applyNumberFormat="1" applyFont="1" applyFill="1" applyBorder="1" applyAlignment="1">
      <alignment horizontal="right"/>
    </xf>
    <xf numFmtId="171" fontId="15" fillId="0" borderId="4" xfId="8" applyNumberFormat="1" applyFont="1" applyFill="1" applyBorder="1" applyProtection="1"/>
    <xf numFmtId="0" fontId="27" fillId="0" borderId="4" xfId="0" applyFont="1" applyFill="1" applyBorder="1"/>
    <xf numFmtId="165" fontId="15" fillId="0" borderId="4" xfId="0" applyNumberFormat="1" applyFont="1" applyFill="1" applyBorder="1"/>
    <xf numFmtId="165" fontId="15" fillId="0" borderId="4" xfId="6" applyNumberFormat="1" applyFont="1" applyFill="1" applyBorder="1" applyProtection="1"/>
    <xf numFmtId="1" fontId="15" fillId="0" borderId="4" xfId="0" applyNumberFormat="1" applyFont="1" applyFill="1" applyBorder="1" applyAlignment="1">
      <alignment horizontal="right"/>
    </xf>
    <xf numFmtId="170" fontId="15" fillId="0" borderId="0" xfId="10" applyNumberFormat="1" applyFont="1" applyFill="1" applyBorder="1" applyAlignment="1" applyProtection="1">
      <alignment horizontal="right"/>
    </xf>
    <xf numFmtId="170" fontId="15" fillId="0" borderId="28" xfId="10" applyNumberFormat="1" applyFont="1" applyFill="1" applyBorder="1" applyAlignment="1" applyProtection="1">
      <alignment horizontal="right"/>
    </xf>
    <xf numFmtId="170" fontId="12" fillId="0" borderId="0" xfId="10" applyNumberFormat="1" applyFont="1" applyFill="1" applyBorder="1" applyAlignment="1" applyProtection="1">
      <alignment horizontal="right"/>
    </xf>
    <xf numFmtId="0" fontId="15" fillId="0" borderId="0" xfId="10" applyFont="1" applyFill="1" applyBorder="1" applyAlignment="1" applyProtection="1">
      <alignment horizontal="right"/>
    </xf>
    <xf numFmtId="170" fontId="15" fillId="0" borderId="30" xfId="10" applyNumberFormat="1" applyFont="1" applyFill="1" applyBorder="1" applyAlignment="1" applyProtection="1">
      <alignment horizontal="right"/>
    </xf>
    <xf numFmtId="170" fontId="15" fillId="0" borderId="31" xfId="10" applyNumberFormat="1" applyFont="1" applyFill="1" applyBorder="1" applyAlignment="1" applyProtection="1">
      <alignment horizontal="right"/>
    </xf>
    <xf numFmtId="0" fontId="15" fillId="0" borderId="32" xfId="10" applyFont="1" applyFill="1" applyBorder="1" applyAlignment="1" applyProtection="1">
      <alignment horizontal="right"/>
    </xf>
    <xf numFmtId="0" fontId="0" fillId="0" borderId="0" xfId="7" applyFont="1" applyFill="1" applyBorder="1" applyProtection="1">
      <protection locked="0"/>
    </xf>
    <xf numFmtId="181" fontId="15" fillId="0" borderId="0" xfId="0" applyNumberFormat="1" applyFont="1" applyFill="1" applyBorder="1"/>
    <xf numFmtId="165" fontId="15" fillId="0" borderId="0" xfId="0" applyNumberFormat="1" applyFont="1" applyFill="1" applyBorder="1"/>
    <xf numFmtId="0" fontId="12" fillId="0" borderId="5" xfId="7" applyFont="1" applyFill="1" applyBorder="1" applyAlignment="1" applyProtection="1">
      <alignment horizontal="right"/>
      <protection locked="0"/>
    </xf>
    <xf numFmtId="1" fontId="15" fillId="0" borderId="4" xfId="7" applyNumberFormat="1" applyFont="1" applyFill="1" applyBorder="1" applyAlignment="1" applyProtection="1">
      <alignment horizontal="right"/>
      <protection locked="0"/>
    </xf>
    <xf numFmtId="179" fontId="15" fillId="0" borderId="0" xfId="6" applyNumberFormat="1" applyFont="1" applyFill="1" applyBorder="1" applyProtection="1"/>
    <xf numFmtId="0" fontId="9" fillId="0" borderId="0" xfId="6" quotePrefix="1" applyFont="1" applyFill="1" applyBorder="1" applyAlignment="1" applyProtection="1">
      <alignment horizontal="right"/>
    </xf>
    <xf numFmtId="181" fontId="15" fillId="0" borderId="0" xfId="15" applyNumberFormat="1" applyFont="1" applyFill="1" applyBorder="1" applyAlignment="1">
      <alignment horizontal="right" wrapText="1"/>
    </xf>
    <xf numFmtId="0" fontId="45" fillId="0" borderId="8" xfId="15" applyFont="1" applyFill="1" applyBorder="1" applyAlignment="1">
      <alignment horizontal="right" wrapText="1"/>
    </xf>
    <xf numFmtId="183" fontId="15" fillId="0" borderId="0" xfId="15" applyNumberFormat="1" applyFont="1" applyFill="1" applyBorder="1" applyAlignment="1">
      <alignment horizontal="right" wrapText="1"/>
    </xf>
    <xf numFmtId="0" fontId="45" fillId="0" borderId="4" xfId="15" applyFont="1" applyFill="1" applyBorder="1" applyAlignment="1">
      <alignment horizontal="right" wrapText="1"/>
    </xf>
    <xf numFmtId="165" fontId="19" fillId="0" borderId="0" xfId="0" applyNumberFormat="1" applyFont="1" applyFill="1"/>
    <xf numFmtId="165" fontId="19" fillId="0" borderId="0" xfId="6" applyNumberFormat="1" applyFont="1" applyFill="1" applyBorder="1"/>
    <xf numFmtId="165" fontId="19" fillId="0" borderId="2" xfId="6" applyNumberFormat="1" applyFont="1" applyFill="1" applyBorder="1"/>
    <xf numFmtId="0" fontId="8" fillId="0" borderId="0" xfId="17" applyFont="1" applyFill="1" applyBorder="1" applyAlignment="1" applyProtection="1">
      <alignment horizontal="right"/>
      <protection locked="0"/>
    </xf>
    <xf numFmtId="0" fontId="8" fillId="0" borderId="5" xfId="17" quotePrefix="1" applyFont="1" applyFill="1" applyBorder="1" applyAlignment="1" applyProtection="1">
      <alignment horizontal="center"/>
      <protection locked="0"/>
    </xf>
    <xf numFmtId="184" fontId="8" fillId="0" borderId="4" xfId="17" applyNumberFormat="1" applyFont="1" applyFill="1" applyBorder="1" applyAlignment="1" applyProtection="1">
      <alignment horizontal="right"/>
    </xf>
    <xf numFmtId="0" fontId="8" fillId="0" borderId="5" xfId="17" quotePrefix="1" applyFont="1" applyFill="1" applyBorder="1" applyAlignment="1" applyProtection="1">
      <alignment horizontal="center"/>
    </xf>
    <xf numFmtId="0" fontId="8" fillId="0" borderId="5" xfId="17" applyFont="1" applyFill="1" applyBorder="1" applyAlignment="1" applyProtection="1">
      <alignment horizontal="center"/>
    </xf>
    <xf numFmtId="165" fontId="9" fillId="0" borderId="0" xfId="17" applyNumberFormat="1" applyFont="1" applyFill="1" applyBorder="1" applyAlignment="1" applyProtection="1">
      <alignment horizontal="right" shrinkToFit="1"/>
    </xf>
    <xf numFmtId="165" fontId="9" fillId="0" borderId="0" xfId="17" applyNumberFormat="1" applyFont="1" applyFill="1" applyBorder="1" applyProtection="1"/>
    <xf numFmtId="165" fontId="8" fillId="0" borderId="4" xfId="17" applyNumberFormat="1" applyFont="1" applyFill="1" applyBorder="1" applyAlignment="1" applyProtection="1">
      <alignment horizontal="right"/>
    </xf>
    <xf numFmtId="0" fontId="5" fillId="0" borderId="0" xfId="17" applyFont="1" applyFill="1" applyBorder="1" applyProtection="1"/>
    <xf numFmtId="0" fontId="9" fillId="0" borderId="0" xfId="17" applyFont="1" applyFill="1" applyBorder="1" applyProtection="1"/>
    <xf numFmtId="1" fontId="8" fillId="0" borderId="0" xfId="17" applyNumberFormat="1" applyFont="1" applyFill="1" applyBorder="1" applyAlignment="1" applyProtection="1">
      <alignment horizontal="center"/>
    </xf>
    <xf numFmtId="3" fontId="62" fillId="0" borderId="0" xfId="0" applyNumberFormat="1" applyFont="1" applyFill="1" applyBorder="1"/>
    <xf numFmtId="0" fontId="8" fillId="0" borderId="5" xfId="9" quotePrefix="1" applyFont="1" applyFill="1" applyBorder="1" applyAlignment="1" applyProtection="1">
      <alignment horizontal="center"/>
    </xf>
    <xf numFmtId="1" fontId="8" fillId="0" borderId="5" xfId="9" applyNumberFormat="1" applyFont="1" applyFill="1" applyBorder="1" applyAlignment="1" applyProtection="1">
      <alignment horizontal="center"/>
    </xf>
    <xf numFmtId="3" fontId="63" fillId="0" borderId="4" xfId="0" applyNumberFormat="1" applyFont="1" applyFill="1" applyBorder="1"/>
    <xf numFmtId="176" fontId="9" fillId="0" borderId="0" xfId="1" applyNumberFormat="1" applyFont="1" applyFill="1" applyBorder="1" applyAlignment="1" applyProtection="1">
      <alignment horizontal="right"/>
    </xf>
    <xf numFmtId="176" fontId="8" fillId="0" borderId="4" xfId="1" applyNumberFormat="1" applyFont="1" applyFill="1" applyBorder="1" applyAlignment="1" applyProtection="1">
      <alignment horizontal="right"/>
    </xf>
    <xf numFmtId="0" fontId="8" fillId="0" borderId="5" xfId="9" applyFont="1" applyFill="1" applyBorder="1" applyAlignment="1" applyProtection="1">
      <alignment horizontal="center"/>
    </xf>
    <xf numFmtId="3" fontId="9" fillId="0" borderId="6" xfId="6" applyNumberFormat="1" applyFont="1" applyFill="1" applyBorder="1"/>
    <xf numFmtId="0" fontId="9" fillId="0" borderId="45" xfId="6" applyFont="1" applyFill="1" applyBorder="1"/>
    <xf numFmtId="3" fontId="9" fillId="0" borderId="43" xfId="6" applyNumberFormat="1" applyFont="1" applyFill="1" applyBorder="1"/>
    <xf numFmtId="0" fontId="9" fillId="0" borderId="53" xfId="6" applyFont="1" applyFill="1" applyBorder="1"/>
    <xf numFmtId="0" fontId="8" fillId="0" borderId="0" xfId="7" applyFont="1" applyFill="1" applyBorder="1" applyAlignment="1"/>
    <xf numFmtId="0" fontId="8" fillId="0" borderId="0" xfId="7" applyFont="1" applyFill="1" applyBorder="1" applyAlignment="1" applyProtection="1"/>
    <xf numFmtId="173" fontId="15" fillId="0" borderId="4" xfId="6" applyNumberFormat="1" applyFont="1" applyFill="1" applyBorder="1" applyAlignment="1"/>
    <xf numFmtId="169" fontId="9" fillId="0" borderId="45" xfId="6" applyNumberFormat="1" applyFont="1" applyFill="1" applyBorder="1" applyAlignment="1">
      <alignment horizontal="right"/>
    </xf>
    <xf numFmtId="169" fontId="9" fillId="0" borderId="42" xfId="6" applyNumberFormat="1" applyFont="1" applyFill="1" applyBorder="1" applyAlignment="1">
      <alignment horizontal="right"/>
    </xf>
    <xf numFmtId="169" fontId="9" fillId="0" borderId="43" xfId="6" applyNumberFormat="1" applyFont="1" applyFill="1" applyBorder="1" applyAlignment="1">
      <alignment horizontal="right"/>
    </xf>
    <xf numFmtId="169" fontId="9" fillId="0" borderId="50" xfId="6" applyNumberFormat="1" applyFont="1" applyFill="1" applyBorder="1" applyAlignment="1">
      <alignment horizontal="right"/>
    </xf>
    <xf numFmtId="169" fontId="9" fillId="0" borderId="53" xfId="6" applyNumberFormat="1" applyFont="1" applyFill="1" applyBorder="1" applyAlignment="1">
      <alignment horizontal="right"/>
    </xf>
    <xf numFmtId="169" fontId="9" fillId="0" borderId="6" xfId="6" applyNumberFormat="1" applyFont="1" applyFill="1" applyBorder="1" applyAlignment="1">
      <alignment horizontal="right"/>
    </xf>
    <xf numFmtId="176" fontId="50" fillId="0" borderId="0" xfId="16" applyNumberFormat="1" applyFont="1" applyFill="1" applyBorder="1" applyAlignment="1" applyProtection="1">
      <alignment horizontal="right"/>
    </xf>
    <xf numFmtId="3" fontId="9" fillId="0" borderId="0" xfId="17" applyNumberFormat="1" applyFont="1" applyFill="1"/>
    <xf numFmtId="9" fontId="9" fillId="0" borderId="0" xfId="17" applyNumberFormat="1" applyFont="1" applyFill="1"/>
    <xf numFmtId="0" fontId="4" fillId="0" borderId="0" xfId="0" applyFont="1" applyFill="1"/>
    <xf numFmtId="0" fontId="74" fillId="0" borderId="0" xfId="17" applyFont="1" applyFill="1"/>
    <xf numFmtId="1" fontId="9" fillId="0" borderId="0" xfId="17" applyNumberFormat="1" applyFont="1" applyFill="1" applyBorder="1" applyAlignment="1">
      <alignment horizontal="right"/>
    </xf>
    <xf numFmtId="1" fontId="9" fillId="0" borderId="8" xfId="17" applyNumberFormat="1" applyFont="1" applyFill="1" applyBorder="1" applyAlignment="1">
      <alignment horizontal="right"/>
    </xf>
    <xf numFmtId="1" fontId="8" fillId="0" borderId="14" xfId="17" applyNumberFormat="1" applyFont="1" applyFill="1" applyBorder="1" applyAlignment="1">
      <alignment horizontal="right"/>
    </xf>
    <xf numFmtId="3" fontId="9" fillId="0" borderId="2" xfId="16" applyNumberFormat="1" applyFont="1" applyFill="1" applyBorder="1" applyAlignment="1" applyProtection="1">
      <alignment horizontal="right"/>
    </xf>
    <xf numFmtId="3" fontId="15" fillId="0" borderId="0" xfId="0" applyNumberFormat="1" applyFont="1" applyFill="1"/>
    <xf numFmtId="165" fontId="15" fillId="0" borderId="8" xfId="0" applyNumberFormat="1" applyFont="1" applyFill="1" applyBorder="1"/>
    <xf numFmtId="0" fontId="15" fillId="0" borderId="0" xfId="0" applyFont="1" applyFill="1"/>
    <xf numFmtId="165" fontId="15" fillId="0" borderId="0" xfId="0" applyNumberFormat="1" applyFont="1" applyFill="1"/>
    <xf numFmtId="3" fontId="44" fillId="0" borderId="0" xfId="0" applyNumberFormat="1" applyFont="1" applyFill="1" applyAlignment="1">
      <alignment horizontal="right"/>
    </xf>
    <xf numFmtId="3" fontId="15" fillId="0" borderId="0" xfId="0" applyNumberFormat="1" applyFont="1" applyFill="1" applyBorder="1"/>
    <xf numFmtId="165" fontId="44" fillId="0" borderId="4" xfId="0" applyNumberFormat="1" applyFont="1" applyFill="1" applyBorder="1" applyAlignment="1">
      <alignment horizontal="right"/>
    </xf>
    <xf numFmtId="3" fontId="9" fillId="0" borderId="0" xfId="36" applyNumberFormat="1" applyFont="1" applyFill="1" applyBorder="1"/>
    <xf numFmtId="3" fontId="9" fillId="0" borderId="9" xfId="36" applyNumberFormat="1" applyFont="1" applyFill="1" applyBorder="1"/>
    <xf numFmtId="3" fontId="8" fillId="0" borderId="14" xfId="37" applyNumberFormat="1" applyFont="1" applyFill="1" applyBorder="1" applyAlignment="1">
      <alignment horizontal="right"/>
    </xf>
    <xf numFmtId="3" fontId="12" fillId="0" borderId="4" xfId="0" applyNumberFormat="1" applyFont="1" applyFill="1" applyBorder="1" applyAlignment="1">
      <alignment wrapText="1"/>
    </xf>
    <xf numFmtId="186" fontId="15" fillId="0" borderId="0" xfId="6" applyNumberFormat="1" applyFont="1" applyFill="1" applyBorder="1" applyAlignment="1" applyProtection="1">
      <alignment horizontal="right" vertical="top"/>
    </xf>
    <xf numFmtId="173" fontId="12" fillId="0" borderId="0" xfId="19" applyNumberFormat="1" applyFont="1" applyFill="1" applyBorder="1" applyAlignment="1" applyProtection="1">
      <alignment horizontal="right" vertical="top"/>
    </xf>
    <xf numFmtId="186" fontId="80" fillId="0" borderId="0" xfId="6" applyNumberFormat="1" applyFont="1" applyFill="1" applyBorder="1" applyAlignment="1" applyProtection="1">
      <alignment horizontal="right" vertical="top"/>
    </xf>
    <xf numFmtId="186" fontId="15" fillId="0" borderId="4" xfId="6" applyNumberFormat="1" applyFont="1" applyFill="1" applyBorder="1" applyAlignment="1" applyProtection="1">
      <alignment horizontal="right" vertical="top"/>
    </xf>
    <xf numFmtId="0" fontId="9" fillId="0" borderId="0" xfId="17" quotePrefix="1" applyFont="1" applyFill="1" applyBorder="1" applyAlignment="1">
      <alignment horizontal="right"/>
    </xf>
    <xf numFmtId="165" fontId="9" fillId="0" borderId="13" xfId="17" applyNumberFormat="1" applyFont="1" applyFill="1" applyBorder="1" applyAlignment="1">
      <alignment horizontal="right"/>
    </xf>
    <xf numFmtId="165" fontId="9" fillId="0" borderId="52" xfId="17" applyNumberFormat="1" applyFont="1" applyFill="1" applyBorder="1" applyAlignment="1">
      <alignment horizontal="right"/>
    </xf>
    <xf numFmtId="165" fontId="9" fillId="0" borderId="13" xfId="17" quotePrefix="1" applyNumberFormat="1" applyFont="1" applyFill="1" applyBorder="1" applyAlignment="1">
      <alignment horizontal="right"/>
    </xf>
    <xf numFmtId="165" fontId="9" fillId="0" borderId="52" xfId="17" quotePrefix="1" applyNumberFormat="1" applyFont="1" applyFill="1" applyBorder="1" applyAlignment="1">
      <alignment horizontal="right"/>
    </xf>
    <xf numFmtId="165" fontId="9" fillId="0" borderId="8" xfId="17" quotePrefix="1" applyNumberFormat="1" applyFont="1" applyFill="1" applyBorder="1" applyAlignment="1">
      <alignment horizontal="right"/>
    </xf>
    <xf numFmtId="186" fontId="8" fillId="0" borderId="7" xfId="6" applyNumberFormat="1" applyFont="1" applyFill="1" applyBorder="1" applyProtection="1"/>
    <xf numFmtId="0" fontId="24" fillId="0" borderId="0" xfId="6" applyFont="1" applyFill="1" applyAlignment="1" applyProtection="1">
      <alignment vertical="top"/>
    </xf>
    <xf numFmtId="0" fontId="24" fillId="0" borderId="0" xfId="6" applyFont="1" applyFill="1" applyBorder="1" applyProtection="1">
      <protection locked="0"/>
    </xf>
    <xf numFmtId="49" fontId="8" fillId="0" borderId="0" xfId="6" applyNumberFormat="1" applyFont="1" applyFill="1" applyBorder="1" applyAlignment="1" applyProtection="1">
      <alignment vertical="top"/>
    </xf>
    <xf numFmtId="0" fontId="0" fillId="0" borderId="6" xfId="6" applyFont="1" applyFill="1" applyBorder="1" applyAlignment="1" applyProtection="1">
      <alignment vertical="top"/>
    </xf>
    <xf numFmtId="0" fontId="24" fillId="0" borderId="0" xfId="17" applyFont="1" applyFill="1" applyBorder="1" applyAlignment="1"/>
    <xf numFmtId="0" fontId="9" fillId="0" borderId="0" xfId="17" applyFont="1" applyFill="1" applyBorder="1" applyAlignment="1">
      <alignment horizontal="left"/>
    </xf>
    <xf numFmtId="165" fontId="9" fillId="0" borderId="0" xfId="17" applyNumberFormat="1" applyFont="1" applyFill="1" applyBorder="1" applyAlignment="1">
      <alignment horizontal="right"/>
    </xf>
    <xf numFmtId="165" fontId="9" fillId="0" borderId="4" xfId="17" applyNumberFormat="1" applyFont="1" applyFill="1" applyBorder="1" applyAlignment="1">
      <alignment horizontal="right"/>
    </xf>
    <xf numFmtId="0" fontId="9" fillId="0" borderId="4" xfId="17" quotePrefix="1" applyFont="1" applyFill="1" applyBorder="1" applyAlignment="1">
      <alignment horizontal="right"/>
    </xf>
    <xf numFmtId="0" fontId="9" fillId="0" borderId="0" xfId="17" quotePrefix="1" applyFont="1" applyFill="1" applyBorder="1" applyAlignment="1"/>
    <xf numFmtId="0" fontId="9" fillId="0" borderId="5" xfId="17" applyFont="1" applyFill="1" applyBorder="1" applyAlignment="1">
      <alignment horizontal="left"/>
    </xf>
    <xf numFmtId="0" fontId="9" fillId="0" borderId="3" xfId="17" applyFont="1" applyFill="1" applyBorder="1" applyAlignment="1">
      <alignment horizontal="right"/>
    </xf>
    <xf numFmtId="0" fontId="9" fillId="0" borderId="23" xfId="17" applyFont="1" applyFill="1" applyBorder="1" applyAlignment="1">
      <alignment horizontal="right"/>
    </xf>
    <xf numFmtId="0" fontId="9" fillId="0" borderId="3" xfId="17" applyFont="1" applyFill="1" applyBorder="1" applyAlignment="1">
      <alignment horizontal="right" wrapText="1"/>
    </xf>
    <xf numFmtId="0" fontId="9" fillId="0" borderId="2" xfId="17" applyFont="1" applyFill="1" applyBorder="1" applyAlignment="1">
      <alignment horizontal="right" wrapText="1"/>
    </xf>
    <xf numFmtId="165" fontId="9" fillId="0" borderId="6" xfId="17" applyNumberFormat="1" applyFont="1" applyFill="1" applyBorder="1" applyAlignment="1">
      <alignment horizontal="right"/>
    </xf>
    <xf numFmtId="165" fontId="9" fillId="0" borderId="45" xfId="17" applyNumberFormat="1" applyFont="1" applyFill="1" applyBorder="1" applyAlignment="1">
      <alignment horizontal="right"/>
    </xf>
    <xf numFmtId="165" fontId="9" fillId="0" borderId="6" xfId="17" quotePrefix="1" applyNumberFormat="1" applyFont="1" applyFill="1" applyBorder="1" applyAlignment="1">
      <alignment horizontal="right"/>
    </xf>
    <xf numFmtId="165" fontId="9" fillId="0" borderId="45" xfId="17" quotePrefix="1" applyNumberFormat="1" applyFont="1" applyFill="1" applyBorder="1" applyAlignment="1">
      <alignment horizontal="right"/>
    </xf>
    <xf numFmtId="165" fontId="9" fillId="0" borderId="0" xfId="17" quotePrefix="1" applyNumberFormat="1" applyFont="1" applyFill="1" applyBorder="1" applyAlignment="1">
      <alignment horizontal="right"/>
    </xf>
    <xf numFmtId="0" fontId="8" fillId="0" borderId="4" xfId="17" applyFont="1" applyFill="1" applyBorder="1" applyAlignment="1">
      <alignment horizontal="left"/>
    </xf>
    <xf numFmtId="165" fontId="8" fillId="0" borderId="43" xfId="17" applyNumberFormat="1" applyFont="1" applyFill="1" applyBorder="1" applyAlignment="1">
      <alignment horizontal="right"/>
    </xf>
    <xf numFmtId="165" fontId="8" fillId="0" borderId="53" xfId="17" applyNumberFormat="1" applyFont="1" applyFill="1" applyBorder="1" applyAlignment="1">
      <alignment horizontal="right"/>
    </xf>
    <xf numFmtId="165" fontId="8" fillId="0" borderId="43" xfId="17" quotePrefix="1" applyNumberFormat="1" applyFont="1" applyFill="1" applyBorder="1" applyAlignment="1">
      <alignment horizontal="right"/>
    </xf>
    <xf numFmtId="165" fontId="8" fillId="0" borderId="53" xfId="17" quotePrefix="1" applyNumberFormat="1" applyFont="1" applyFill="1" applyBorder="1" applyAlignment="1">
      <alignment horizontal="right"/>
    </xf>
    <xf numFmtId="165" fontId="8" fillId="0" borderId="4" xfId="17" applyNumberFormat="1" applyFont="1" applyFill="1" applyBorder="1" applyAlignment="1">
      <alignment horizontal="right"/>
    </xf>
    <xf numFmtId="0" fontId="5" fillId="0" borderId="0" xfId="17" applyFill="1" applyBorder="1" applyAlignment="1">
      <alignment horizontal="left"/>
    </xf>
    <xf numFmtId="0" fontId="5" fillId="0" borderId="0" xfId="17" applyFont="1" applyFill="1" applyBorder="1" applyAlignment="1">
      <alignment horizontal="right"/>
    </xf>
    <xf numFmtId="0" fontId="5" fillId="0" borderId="0" xfId="17" quotePrefix="1" applyFont="1" applyFill="1" applyBorder="1" applyAlignment="1">
      <alignment horizontal="right"/>
    </xf>
    <xf numFmtId="0" fontId="24" fillId="0" borderId="4" xfId="17" applyFont="1" applyFill="1" applyBorder="1" applyAlignment="1">
      <alignment vertical="top" wrapText="1"/>
    </xf>
    <xf numFmtId="0" fontId="24" fillId="0" borderId="0" xfId="17" applyFont="1" applyFill="1" applyBorder="1" applyAlignment="1">
      <alignment vertical="top"/>
    </xf>
    <xf numFmtId="0" fontId="24" fillId="0" borderId="0" xfId="17" applyFont="1" applyFill="1" applyBorder="1" applyAlignment="1">
      <alignment vertical="top" wrapText="1"/>
    </xf>
    <xf numFmtId="0" fontId="5" fillId="0" borderId="0" xfId="17" applyFont="1" applyFill="1" applyBorder="1" applyAlignment="1">
      <alignment horizontal="right" wrapText="1"/>
    </xf>
    <xf numFmtId="0" fontId="5" fillId="0" borderId="0" xfId="17" applyFont="1" applyFill="1" applyBorder="1" applyAlignment="1">
      <alignment horizontal="left"/>
    </xf>
    <xf numFmtId="0" fontId="9" fillId="0" borderId="8" xfId="17" applyFont="1" applyFill="1" applyBorder="1" applyAlignment="1">
      <alignment horizontal="left"/>
    </xf>
    <xf numFmtId="165" fontId="9" fillId="0" borderId="8" xfId="17" applyNumberFormat="1" applyFont="1" applyFill="1" applyBorder="1" applyAlignment="1">
      <alignment horizontal="right"/>
    </xf>
    <xf numFmtId="165" fontId="8" fillId="0" borderId="0" xfId="17" applyNumberFormat="1" applyFont="1" applyFill="1" applyBorder="1" applyAlignment="1">
      <alignment horizontal="right"/>
    </xf>
    <xf numFmtId="0" fontId="24" fillId="0" borderId="4" xfId="17" applyFont="1" applyFill="1" applyBorder="1" applyAlignment="1">
      <alignment vertical="top"/>
    </xf>
    <xf numFmtId="0" fontId="0" fillId="0" borderId="4" xfId="6" applyFont="1" applyFill="1" applyBorder="1" applyProtection="1">
      <protection locked="0"/>
    </xf>
    <xf numFmtId="186" fontId="24" fillId="0" borderId="0" xfId="6" applyNumberFormat="1" applyFont="1" applyFill="1" applyAlignment="1" applyProtection="1">
      <alignment vertical="top"/>
    </xf>
    <xf numFmtId="186" fontId="24" fillId="0" borderId="0" xfId="6" applyNumberFormat="1" applyFont="1" applyFill="1" applyBorder="1" applyProtection="1">
      <protection locked="0"/>
    </xf>
    <xf numFmtId="186" fontId="24" fillId="0" borderId="0" xfId="6" applyNumberFormat="1" applyFont="1" applyFill="1" applyProtection="1">
      <protection locked="0"/>
    </xf>
    <xf numFmtId="0" fontId="0" fillId="0" borderId="0" xfId="6" applyFont="1" applyFill="1" applyAlignment="1" applyProtection="1">
      <alignment vertical="top"/>
      <protection locked="0"/>
    </xf>
    <xf numFmtId="207" fontId="0" fillId="0" borderId="0" xfId="6" applyNumberFormat="1" applyFont="1" applyFill="1" applyProtection="1">
      <protection locked="0"/>
    </xf>
    <xf numFmtId="0" fontId="0" fillId="0" borderId="0" xfId="6" applyFont="1" applyFill="1" applyAlignment="1">
      <alignment vertical="top"/>
    </xf>
    <xf numFmtId="0" fontId="5" fillId="0" borderId="0" xfId="17" applyFill="1"/>
    <xf numFmtId="0" fontId="107" fillId="0" borderId="0" xfId="6" applyFont="1" applyFill="1" applyAlignment="1">
      <alignment horizontal="right"/>
    </xf>
    <xf numFmtId="0" fontId="0" fillId="0" borderId="0" xfId="6" applyFont="1" applyFill="1" applyAlignment="1">
      <alignment horizontal="right"/>
    </xf>
    <xf numFmtId="0" fontId="24" fillId="0" borderId="0" xfId="6" applyFont="1" applyFill="1" applyAlignment="1">
      <alignment vertical="top"/>
    </xf>
    <xf numFmtId="0" fontId="24" fillId="0" borderId="0" xfId="6" applyFont="1" applyFill="1"/>
    <xf numFmtId="0" fontId="24" fillId="0" borderId="0" xfId="6" quotePrefix="1" applyFont="1" applyFill="1"/>
    <xf numFmtId="17" fontId="24" fillId="0" borderId="0" xfId="6" quotePrefix="1" applyNumberFormat="1" applyFont="1" applyFill="1"/>
    <xf numFmtId="0" fontId="24" fillId="0" borderId="0" xfId="6" quotePrefix="1" applyFont="1" applyFill="1" applyAlignment="1">
      <alignment horizontal="right"/>
    </xf>
    <xf numFmtId="165" fontId="0" fillId="0" borderId="0" xfId="6" applyNumberFormat="1" applyFont="1" applyFill="1" applyAlignment="1">
      <alignment vertical="top"/>
    </xf>
    <xf numFmtId="0" fontId="0" fillId="0" borderId="0" xfId="6" quotePrefix="1" applyFont="1" applyFill="1"/>
    <xf numFmtId="17" fontId="0" fillId="0" borderId="0" xfId="6" quotePrefix="1" applyNumberFormat="1" applyFont="1" applyFill="1"/>
    <xf numFmtId="167" fontId="14" fillId="0" borderId="5" xfId="3" applyNumberFormat="1" applyFont="1" applyFill="1" applyBorder="1" applyAlignment="1" applyProtection="1">
      <alignment horizontal="right"/>
    </xf>
    <xf numFmtId="168" fontId="15" fillId="0" borderId="6" xfId="3" applyNumberFormat="1" applyFont="1" applyFill="1" applyBorder="1" applyAlignment="1" applyProtection="1">
      <alignment horizontal="right"/>
    </xf>
    <xf numFmtId="167" fontId="14" fillId="0" borderId="0" xfId="3" applyNumberFormat="1" applyFont="1" applyFill="1" applyBorder="1" applyAlignment="1" applyProtection="1">
      <alignment horizontal="right"/>
    </xf>
    <xf numFmtId="167" fontId="14" fillId="0" borderId="8" xfId="3" applyNumberFormat="1" applyFont="1" applyFill="1" applyBorder="1" applyAlignment="1" applyProtection="1">
      <alignment horizontal="right"/>
    </xf>
    <xf numFmtId="169" fontId="9" fillId="0" borderId="0" xfId="3" applyNumberFormat="1" applyFont="1" applyFill="1" applyBorder="1"/>
    <xf numFmtId="169" fontId="9" fillId="0" borderId="6" xfId="3" applyNumberFormat="1" applyFont="1" applyFill="1" applyBorder="1"/>
    <xf numFmtId="169" fontId="17" fillId="0" borderId="7" xfId="3" applyNumberFormat="1" applyFont="1" applyFill="1" applyBorder="1"/>
    <xf numFmtId="169" fontId="17" fillId="0" borderId="6" xfId="3" applyNumberFormat="1" applyFont="1" applyFill="1" applyBorder="1"/>
    <xf numFmtId="170" fontId="9" fillId="0" borderId="11" xfId="3" applyNumberFormat="1" applyFont="1" applyFill="1" applyBorder="1" applyAlignment="1" applyProtection="1">
      <alignment horizontal="right"/>
    </xf>
    <xf numFmtId="165" fontId="9" fillId="0" borderId="13" xfId="3" applyNumberFormat="1" applyFont="1" applyFill="1" applyBorder="1" applyAlignment="1" applyProtection="1">
      <alignment horizontal="right"/>
    </xf>
    <xf numFmtId="169" fontId="9" fillId="0" borderId="15" xfId="3" applyNumberFormat="1" applyFont="1" applyFill="1" applyBorder="1"/>
    <xf numFmtId="169" fontId="19" fillId="0" borderId="15" xfId="3" applyNumberFormat="1" applyFont="1" applyFill="1" applyBorder="1"/>
    <xf numFmtId="0" fontId="33" fillId="0" borderId="0" xfId="6" applyFont="1" applyFill="1" applyAlignment="1">
      <alignment vertical="top"/>
    </xf>
    <xf numFmtId="0" fontId="16" fillId="0" borderId="0" xfId="6" applyFont="1" applyFill="1" applyAlignment="1">
      <alignment vertical="top"/>
    </xf>
    <xf numFmtId="0" fontId="8" fillId="0" borderId="5" xfId="6" applyFont="1" applyFill="1" applyBorder="1" applyAlignment="1">
      <alignment horizontal="right" vertical="center"/>
    </xf>
    <xf numFmtId="0" fontId="56" fillId="0" borderId="0" xfId="6" applyFont="1" applyFill="1" applyAlignment="1">
      <alignment vertical="top"/>
    </xf>
    <xf numFmtId="10" fontId="9" fillId="0" borderId="0" xfId="2" applyNumberFormat="1" applyFont="1" applyFill="1" applyBorder="1"/>
    <xf numFmtId="0" fontId="110" fillId="0" borderId="0" xfId="6" applyFont="1" applyFill="1"/>
    <xf numFmtId="10" fontId="110" fillId="0" borderId="0" xfId="2" applyNumberFormat="1" applyFont="1" applyFill="1"/>
    <xf numFmtId="0" fontId="74" fillId="0" borderId="0" xfId="6" applyFont="1" applyFill="1"/>
    <xf numFmtId="0" fontId="109" fillId="0" borderId="0" xfId="6" applyFont="1" applyFill="1"/>
    <xf numFmtId="0" fontId="5" fillId="0" borderId="0" xfId="6" applyFont="1" applyFill="1" applyBorder="1" applyAlignment="1"/>
    <xf numFmtId="0" fontId="0" fillId="0" borderId="0" xfId="6" applyFont="1" applyFill="1" applyBorder="1" applyAlignment="1"/>
    <xf numFmtId="0" fontId="0" fillId="0" borderId="0" xfId="6" applyFont="1" applyFill="1" applyBorder="1" applyAlignment="1">
      <alignment wrapText="1"/>
    </xf>
    <xf numFmtId="0" fontId="8" fillId="0" borderId="5" xfId="6" applyFont="1" applyFill="1" applyBorder="1" applyAlignment="1">
      <alignment horizontal="right" vertical="top" wrapText="1"/>
    </xf>
    <xf numFmtId="176" fontId="9" fillId="0" borderId="0" xfId="16" quotePrefix="1" applyNumberFormat="1" applyFont="1" applyFill="1" applyBorder="1" applyAlignment="1">
      <alignment horizontal="right"/>
    </xf>
    <xf numFmtId="176" fontId="8" fillId="0" borderId="0" xfId="16" quotePrefix="1" applyNumberFormat="1" applyFont="1" applyFill="1" applyBorder="1" applyAlignment="1">
      <alignment horizontal="right"/>
    </xf>
    <xf numFmtId="0" fontId="9" fillId="0" borderId="8" xfId="6" applyFont="1" applyFill="1" applyBorder="1" applyAlignment="1">
      <alignment horizontal="left"/>
    </xf>
    <xf numFmtId="0" fontId="9" fillId="0" borderId="14" xfId="6" applyFont="1" applyFill="1" applyBorder="1"/>
    <xf numFmtId="0" fontId="16" fillId="0" borderId="0" xfId="6" applyFont="1" applyFill="1" applyAlignment="1" applyProtection="1">
      <alignment vertical="top"/>
      <protection hidden="1"/>
    </xf>
    <xf numFmtId="0" fontId="0" fillId="0" borderId="2" xfId="6" applyFont="1" applyFill="1" applyBorder="1" applyAlignment="1">
      <alignment wrapText="1"/>
    </xf>
    <xf numFmtId="0" fontId="0" fillId="0" borderId="3" xfId="6" applyFont="1" applyFill="1" applyBorder="1" applyAlignment="1">
      <alignment wrapText="1"/>
    </xf>
    <xf numFmtId="0" fontId="70" fillId="0" borderId="0" xfId="6" applyFont="1" applyFill="1"/>
    <xf numFmtId="0" fontId="18" fillId="0" borderId="0" xfId="6" applyFont="1" applyFill="1" applyAlignment="1">
      <alignment horizontal="right" vertical="top"/>
    </xf>
    <xf numFmtId="0" fontId="9" fillId="0" borderId="0" xfId="6" applyFont="1" applyFill="1" applyAlignment="1">
      <alignment horizontal="right" vertical="top"/>
    </xf>
    <xf numFmtId="0" fontId="8" fillId="0" borderId="6" xfId="6" applyFont="1" applyFill="1" applyBorder="1" applyAlignment="1">
      <alignment horizontal="right"/>
    </xf>
    <xf numFmtId="17" fontId="41" fillId="0" borderId="0" xfId="6" applyNumberFormat="1" applyFont="1" applyFill="1" applyBorder="1" applyAlignment="1">
      <alignment horizontal="right"/>
    </xf>
    <xf numFmtId="0" fontId="41" fillId="0" borderId="6" xfId="6" applyFont="1" applyFill="1" applyBorder="1" applyAlignment="1">
      <alignment horizontal="right"/>
    </xf>
    <xf numFmtId="176" fontId="31" fillId="0" borderId="0" xfId="16" applyNumberFormat="1" applyFont="1" applyFill="1" applyAlignment="1">
      <alignment horizontal="right" vertical="top"/>
    </xf>
    <xf numFmtId="176" fontId="9" fillId="0" borderId="0" xfId="16" applyNumberFormat="1" applyFont="1" applyFill="1" applyAlignment="1">
      <alignment horizontal="right" vertical="top"/>
    </xf>
    <xf numFmtId="176" fontId="19" fillId="0" borderId="4" xfId="16" applyNumberFormat="1" applyFont="1" applyFill="1" applyBorder="1" applyAlignment="1">
      <alignment horizontal="right"/>
    </xf>
    <xf numFmtId="0" fontId="19" fillId="0" borderId="5" xfId="6" applyFont="1" applyFill="1" applyBorder="1"/>
    <xf numFmtId="0" fontId="19" fillId="0" borderId="0" xfId="6" applyFont="1" applyFill="1" applyBorder="1"/>
    <xf numFmtId="0" fontId="33" fillId="0" borderId="0" xfId="6" applyFont="1" applyFill="1" applyBorder="1" applyAlignment="1">
      <alignment vertical="top"/>
    </xf>
    <xf numFmtId="0" fontId="8" fillId="0" borderId="77" xfId="6" applyFont="1" applyFill="1" applyBorder="1" applyAlignment="1"/>
    <xf numFmtId="0" fontId="9" fillId="0" borderId="77" xfId="6" applyFont="1" applyFill="1" applyBorder="1" applyAlignment="1"/>
    <xf numFmtId="0" fontId="9" fillId="0" borderId="76" xfId="6" applyFont="1" applyFill="1" applyBorder="1" applyAlignment="1"/>
    <xf numFmtId="0" fontId="8" fillId="0" borderId="71" xfId="6" applyFont="1" applyFill="1" applyBorder="1" applyAlignment="1">
      <alignment vertical="top"/>
    </xf>
    <xf numFmtId="0" fontId="9" fillId="0" borderId="70" xfId="6" applyFont="1" applyFill="1" applyBorder="1" applyAlignment="1">
      <alignment vertical="top"/>
    </xf>
    <xf numFmtId="0" fontId="8" fillId="0" borderId="71" xfId="6" applyFont="1" applyFill="1" applyBorder="1" applyAlignment="1">
      <alignment vertical="top" wrapText="1"/>
    </xf>
    <xf numFmtId="0" fontId="9" fillId="0" borderId="72" xfId="6" applyFont="1" applyFill="1" applyBorder="1" applyAlignment="1">
      <alignment vertical="top"/>
    </xf>
    <xf numFmtId="0" fontId="9" fillId="0" borderId="10" xfId="6" applyFont="1" applyFill="1" applyBorder="1" applyAlignment="1">
      <alignment vertical="top"/>
    </xf>
    <xf numFmtId="0" fontId="9" fillId="0" borderId="73" xfId="6" applyFont="1" applyFill="1" applyBorder="1" applyAlignment="1">
      <alignment vertical="top"/>
    </xf>
    <xf numFmtId="0" fontId="9" fillId="0" borderId="10" xfId="6" applyFont="1" applyFill="1" applyBorder="1" applyAlignment="1">
      <alignment vertical="top" wrapText="1"/>
    </xf>
    <xf numFmtId="0" fontId="9" fillId="0" borderId="75" xfId="6" applyFont="1" applyFill="1" applyBorder="1" applyAlignment="1">
      <alignment vertical="top"/>
    </xf>
    <xf numFmtId="0" fontId="9" fillId="0" borderId="8" xfId="6" applyFont="1" applyFill="1" applyBorder="1" applyAlignment="1">
      <alignment vertical="top"/>
    </xf>
    <xf numFmtId="0" fontId="9" fillId="0" borderId="74" xfId="6" applyFont="1" applyFill="1" applyBorder="1" applyAlignment="1">
      <alignment vertical="top"/>
    </xf>
    <xf numFmtId="0" fontId="9" fillId="0" borderId="75" xfId="6" applyFont="1" applyFill="1" applyBorder="1" applyAlignment="1">
      <alignment vertical="top" wrapText="1"/>
    </xf>
    <xf numFmtId="0" fontId="0" fillId="0" borderId="8" xfId="6" applyFont="1" applyFill="1" applyBorder="1" applyAlignment="1">
      <alignment vertical="top" wrapText="1"/>
    </xf>
    <xf numFmtId="0" fontId="9" fillId="0" borderId="8" xfId="6" applyFont="1" applyFill="1" applyBorder="1" applyAlignment="1">
      <alignment vertical="top" wrapText="1"/>
    </xf>
    <xf numFmtId="0" fontId="9" fillId="0" borderId="74" xfId="6" applyFont="1" applyFill="1" applyBorder="1" applyAlignment="1">
      <alignment vertical="top" wrapText="1"/>
    </xf>
    <xf numFmtId="0" fontId="9" fillId="0" borderId="71" xfId="6" applyFont="1" applyFill="1" applyBorder="1" applyAlignment="1">
      <alignment vertical="top" wrapText="1"/>
    </xf>
    <xf numFmtId="0" fontId="9" fillId="0" borderId="70" xfId="6" applyFont="1" applyFill="1" applyBorder="1" applyAlignment="1">
      <alignment vertical="top" wrapText="1"/>
    </xf>
    <xf numFmtId="0" fontId="9" fillId="0" borderId="71" xfId="6" applyFont="1" applyFill="1" applyBorder="1" applyAlignment="1">
      <alignment vertical="top"/>
    </xf>
    <xf numFmtId="0" fontId="8" fillId="0" borderId="71" xfId="6" applyFont="1" applyFill="1" applyBorder="1" applyAlignment="1">
      <alignment horizontal="left" vertical="top"/>
    </xf>
    <xf numFmtId="0" fontId="9" fillId="0" borderId="72" xfId="6" applyFont="1" applyFill="1" applyBorder="1" applyAlignment="1">
      <alignment horizontal="left" vertical="top"/>
    </xf>
    <xf numFmtId="0" fontId="9" fillId="0" borderId="73" xfId="6" applyFont="1" applyFill="1" applyBorder="1" applyAlignment="1">
      <alignment vertical="top" wrapText="1"/>
    </xf>
    <xf numFmtId="0" fontId="9" fillId="0" borderId="71" xfId="6" applyFont="1" applyFill="1" applyBorder="1" applyAlignment="1">
      <alignment horizontal="left" vertical="top"/>
    </xf>
    <xf numFmtId="0" fontId="9" fillId="0" borderId="75" xfId="6" applyFont="1" applyFill="1" applyBorder="1" applyAlignment="1">
      <alignment horizontal="left" vertical="top"/>
    </xf>
    <xf numFmtId="0" fontId="0" fillId="0" borderId="71" xfId="6" applyFont="1" applyFill="1" applyBorder="1" applyAlignment="1">
      <alignment vertical="top"/>
    </xf>
    <xf numFmtId="0" fontId="0" fillId="0" borderId="70" xfId="6" applyFont="1" applyFill="1" applyBorder="1" applyAlignment="1">
      <alignment vertical="top"/>
    </xf>
    <xf numFmtId="0" fontId="0" fillId="0" borderId="69" xfId="6" applyFont="1" applyFill="1" applyBorder="1" applyAlignment="1">
      <alignment vertical="top"/>
    </xf>
    <xf numFmtId="0" fontId="0" fillId="0" borderId="68" xfId="6" applyFont="1" applyFill="1" applyBorder="1" applyAlignment="1">
      <alignment vertical="top"/>
    </xf>
    <xf numFmtId="0" fontId="0" fillId="0" borderId="67" xfId="6" applyFont="1" applyFill="1" applyBorder="1" applyAlignment="1">
      <alignment vertical="top"/>
    </xf>
    <xf numFmtId="0" fontId="9" fillId="0" borderId="69" xfId="6" applyFont="1" applyFill="1" applyBorder="1" applyAlignment="1">
      <alignment vertical="top" wrapText="1"/>
    </xf>
    <xf numFmtId="0" fontId="9" fillId="0" borderId="68" xfId="6" applyFont="1" applyFill="1" applyBorder="1" applyAlignment="1">
      <alignment vertical="top" wrapText="1"/>
    </xf>
    <xf numFmtId="0" fontId="0" fillId="0" borderId="68" xfId="6" applyFont="1" applyFill="1" applyBorder="1" applyAlignment="1">
      <alignment vertical="top" wrapText="1"/>
    </xf>
    <xf numFmtId="0" fontId="9" fillId="0" borderId="67" xfId="6" applyFont="1" applyFill="1" applyBorder="1" applyAlignment="1">
      <alignment vertical="top"/>
    </xf>
    <xf numFmtId="0" fontId="5" fillId="0" borderId="68" xfId="6" applyFont="1" applyFill="1" applyBorder="1" applyAlignment="1">
      <alignment vertical="top" wrapText="1"/>
    </xf>
    <xf numFmtId="0" fontId="105" fillId="0" borderId="0" xfId="17" applyFont="1" applyFill="1"/>
    <xf numFmtId="0" fontId="12" fillId="0" borderId="5" xfId="0" applyFont="1" applyFill="1" applyBorder="1" applyAlignment="1">
      <alignment horizontal="right" vertical="center"/>
    </xf>
    <xf numFmtId="0" fontId="12" fillId="0" borderId="5" xfId="0" applyFont="1" applyFill="1" applyBorder="1" applyAlignment="1">
      <alignment horizontal="right" vertical="center" wrapText="1"/>
    </xf>
    <xf numFmtId="0" fontId="15" fillId="0" borderId="0" xfId="0" applyFont="1" applyFill="1" applyBorder="1" applyAlignment="1">
      <alignment horizontal="right" vertical="center"/>
    </xf>
    <xf numFmtId="0" fontId="15" fillId="0" borderId="0" xfId="0" applyFont="1" applyFill="1" applyBorder="1" applyAlignment="1">
      <alignment horizontal="right" vertical="center" wrapText="1"/>
    </xf>
    <xf numFmtId="0" fontId="15" fillId="0" borderId="4" xfId="0" applyFont="1" applyFill="1" applyBorder="1" applyAlignment="1">
      <alignment horizontal="right" vertical="center"/>
    </xf>
    <xf numFmtId="0" fontId="15" fillId="0" borderId="4" xfId="0" applyFont="1" applyFill="1" applyBorder="1" applyAlignment="1">
      <alignment horizontal="right" vertical="center" wrapText="1"/>
    </xf>
    <xf numFmtId="0" fontId="7" fillId="0" borderId="0" xfId="6" applyFont="1" applyFill="1" applyAlignment="1">
      <alignment horizontal="right"/>
    </xf>
    <xf numFmtId="0" fontId="7" fillId="0" borderId="0" xfId="6" applyFont="1" applyFill="1" applyAlignment="1"/>
    <xf numFmtId="0" fontId="24" fillId="0" borderId="4" xfId="6" applyFont="1" applyFill="1" applyBorder="1" applyAlignment="1">
      <alignment horizontal="right"/>
    </xf>
    <xf numFmtId="0" fontId="49" fillId="0" borderId="0" xfId="6" applyFont="1" applyFill="1" applyAlignment="1">
      <alignment vertical="top"/>
    </xf>
    <xf numFmtId="0" fontId="50" fillId="0" borderId="0" xfId="6" applyFont="1" applyFill="1" applyAlignment="1">
      <alignment vertical="top"/>
    </xf>
    <xf numFmtId="0" fontId="50" fillId="0" borderId="0" xfId="6" applyFont="1" applyFill="1"/>
    <xf numFmtId="173" fontId="14" fillId="0" borderId="0" xfId="6" applyNumberFormat="1" applyFont="1" applyFill="1" applyBorder="1" applyAlignment="1">
      <alignment horizontal="right"/>
    </xf>
    <xf numFmtId="0" fontId="6" fillId="0" borderId="0" xfId="6" applyFont="1" applyFill="1"/>
    <xf numFmtId="0" fontId="5" fillId="0" borderId="0" xfId="6" applyFont="1" applyFill="1" applyAlignment="1">
      <alignment horizontal="right"/>
    </xf>
    <xf numFmtId="0" fontId="32" fillId="0" borderId="0" xfId="6" applyFont="1" applyFill="1" applyAlignment="1">
      <alignment vertical="top"/>
    </xf>
    <xf numFmtId="9" fontId="16" fillId="0" borderId="0" xfId="19" applyFont="1" applyFill="1" applyBorder="1"/>
    <xf numFmtId="176" fontId="16" fillId="0" borderId="0" xfId="6" applyNumberFormat="1" applyFont="1" applyFill="1"/>
    <xf numFmtId="0" fontId="24" fillId="0" borderId="4" xfId="6" applyFont="1" applyFill="1" applyBorder="1" applyAlignment="1"/>
    <xf numFmtId="186" fontId="8" fillId="0" borderId="4" xfId="6" applyNumberFormat="1" applyFont="1" applyFill="1" applyBorder="1" applyAlignment="1"/>
    <xf numFmtId="176" fontId="8" fillId="0" borderId="4" xfId="6" applyNumberFormat="1" applyFont="1" applyFill="1" applyBorder="1" applyAlignment="1"/>
    <xf numFmtId="0" fontId="8" fillId="0" borderId="4" xfId="6" applyNumberFormat="1" applyFont="1" applyFill="1" applyBorder="1" applyAlignment="1"/>
    <xf numFmtId="202" fontId="8" fillId="0" borderId="0" xfId="6" applyNumberFormat="1" applyFont="1" applyFill="1" applyBorder="1" applyAlignment="1">
      <alignment horizontal="right"/>
    </xf>
    <xf numFmtId="196" fontId="8" fillId="0" borderId="0" xfId="6" applyNumberFormat="1" applyFont="1" applyFill="1" applyBorder="1" applyAlignment="1">
      <alignment horizontal="right"/>
    </xf>
    <xf numFmtId="196" fontId="9" fillId="0" borderId="0" xfId="6" applyNumberFormat="1" applyFont="1" applyFill="1" applyBorder="1" applyAlignment="1">
      <alignment horizontal="right"/>
    </xf>
    <xf numFmtId="9" fontId="9" fillId="0" borderId="0" xfId="2" applyFont="1" applyFill="1"/>
    <xf numFmtId="196" fontId="9" fillId="0" borderId="0" xfId="1" applyNumberFormat="1" applyFont="1" applyFill="1" applyBorder="1"/>
    <xf numFmtId="196" fontId="9" fillId="0" borderId="8" xfId="6" applyNumberFormat="1" applyFont="1" applyFill="1" applyBorder="1" applyAlignment="1">
      <alignment horizontal="right"/>
    </xf>
    <xf numFmtId="196" fontId="9" fillId="0" borderId="8" xfId="1" applyNumberFormat="1" applyFont="1" applyFill="1" applyBorder="1"/>
    <xf numFmtId="0" fontId="8" fillId="0" borderId="14" xfId="6" applyFont="1" applyFill="1" applyBorder="1" applyAlignment="1">
      <alignment horizontal="right"/>
    </xf>
    <xf numFmtId="173" fontId="16" fillId="0" borderId="0" xfId="2" applyNumberFormat="1" applyFont="1" applyFill="1"/>
    <xf numFmtId="9" fontId="16" fillId="0" borderId="0" xfId="2" applyFont="1" applyFill="1"/>
    <xf numFmtId="172" fontId="16" fillId="0" borderId="0" xfId="2" applyNumberFormat="1" applyFont="1" applyFill="1"/>
    <xf numFmtId="186" fontId="16" fillId="0" borderId="0" xfId="2" applyNumberFormat="1" applyFont="1" applyFill="1"/>
    <xf numFmtId="176" fontId="16" fillId="0" borderId="0" xfId="2" applyNumberFormat="1" applyFont="1" applyFill="1"/>
    <xf numFmtId="43" fontId="16" fillId="0" borderId="0" xfId="1" applyFont="1" applyFill="1"/>
    <xf numFmtId="0" fontId="5" fillId="0" borderId="0" xfId="6" applyFont="1" applyFill="1" applyAlignment="1">
      <alignment vertical="top"/>
    </xf>
    <xf numFmtId="0" fontId="126" fillId="0" borderId="0" xfId="6" applyFont="1" applyFill="1" applyAlignment="1">
      <alignment vertical="top"/>
    </xf>
    <xf numFmtId="0" fontId="12" fillId="0" borderId="0" xfId="6" applyFont="1" applyFill="1" applyBorder="1" applyAlignment="1">
      <alignment horizontal="right"/>
    </xf>
    <xf numFmtId="0" fontId="15" fillId="0" borderId="4" xfId="6" applyFont="1" applyFill="1" applyBorder="1" applyAlignment="1">
      <alignment horizontal="right"/>
    </xf>
    <xf numFmtId="0" fontId="9" fillId="0" borderId="4" xfId="6" applyFont="1" applyFill="1" applyBorder="1" applyAlignment="1">
      <alignment wrapText="1"/>
    </xf>
    <xf numFmtId="17" fontId="8" fillId="0" borderId="0" xfId="6" quotePrefix="1" applyNumberFormat="1" applyFont="1" applyFill="1" applyBorder="1"/>
    <xf numFmtId="1" fontId="9" fillId="0" borderId="0" xfId="6" quotePrefix="1" applyNumberFormat="1" applyFont="1" applyFill="1" applyBorder="1"/>
    <xf numFmtId="17" fontId="9" fillId="0" borderId="0" xfId="6" quotePrefix="1" applyNumberFormat="1" applyFont="1" applyFill="1"/>
    <xf numFmtId="0" fontId="13" fillId="0" borderId="4" xfId="6" applyFont="1" applyFill="1" applyBorder="1"/>
    <xf numFmtId="0" fontId="6" fillId="0" borderId="0" xfId="6" applyFont="1" applyFill="1" applyBorder="1" applyAlignment="1">
      <alignment wrapText="1"/>
    </xf>
    <xf numFmtId="0" fontId="24" fillId="0" borderId="0" xfId="6" applyFont="1" applyFill="1" applyBorder="1" applyAlignment="1">
      <alignment horizontal="right"/>
    </xf>
    <xf numFmtId="0" fontId="5" fillId="0" borderId="0" xfId="6" applyFont="1" applyFill="1" applyBorder="1" applyAlignment="1">
      <alignment horizontal="right"/>
    </xf>
    <xf numFmtId="0" fontId="18" fillId="0" borderId="0" xfId="6" applyFont="1" applyFill="1" applyAlignment="1">
      <alignment horizontal="left" vertical="top"/>
    </xf>
    <xf numFmtId="0" fontId="9" fillId="0" borderId="0" xfId="6" applyFont="1" applyFill="1" applyAlignment="1">
      <alignment horizontal="left" vertical="top"/>
    </xf>
    <xf numFmtId="0" fontId="56" fillId="0" borderId="0" xfId="6" applyFont="1" applyFill="1" applyAlignment="1"/>
    <xf numFmtId="0" fontId="9" fillId="0" borderId="91" xfId="17" applyFont="1" applyFill="1" applyBorder="1" applyAlignment="1">
      <alignment wrapText="1"/>
    </xf>
    <xf numFmtId="0" fontId="8" fillId="0" borderId="0" xfId="6" applyFont="1" applyFill="1" applyAlignment="1">
      <alignment horizontal="left" vertical="top"/>
    </xf>
    <xf numFmtId="0" fontId="9" fillId="0" borderId="0" xfId="17" applyFont="1" applyFill="1" applyBorder="1" applyAlignment="1">
      <alignment horizontal="right" wrapText="1"/>
    </xf>
    <xf numFmtId="0" fontId="31" fillId="0" borderId="0" xfId="6" applyFont="1" applyFill="1" applyBorder="1" applyAlignment="1">
      <alignment vertical="top"/>
    </xf>
    <xf numFmtId="1" fontId="9" fillId="0" borderId="8" xfId="6" applyNumberFormat="1" applyFont="1" applyFill="1" applyBorder="1" applyAlignment="1">
      <alignment horizontal="right"/>
    </xf>
    <xf numFmtId="0" fontId="13" fillId="0" borderId="0" xfId="6" applyFont="1" applyFill="1" applyAlignment="1"/>
    <xf numFmtId="173" fontId="9" fillId="0" borderId="0" xfId="6" applyNumberFormat="1" applyFont="1" applyFill="1" applyAlignment="1">
      <alignment horizontal="right"/>
    </xf>
    <xf numFmtId="165" fontId="9" fillId="0" borderId="0" xfId="21" applyNumberFormat="1" applyFont="1" applyFill="1" applyBorder="1" applyAlignment="1" applyProtection="1">
      <alignment horizontal="right"/>
      <protection locked="0"/>
    </xf>
    <xf numFmtId="0" fontId="14" fillId="0" borderId="0" xfId="6" applyFont="1" applyFill="1" applyAlignment="1">
      <alignment vertical="top"/>
    </xf>
    <xf numFmtId="17" fontId="12" fillId="0" borderId="0" xfId="6" quotePrefix="1" applyNumberFormat="1" applyFont="1" applyFill="1" applyBorder="1" applyAlignment="1">
      <alignment horizontal="right"/>
    </xf>
    <xf numFmtId="0" fontId="12" fillId="0" borderId="0" xfId="6" quotePrefix="1" applyFont="1" applyFill="1" applyBorder="1" applyAlignment="1">
      <alignment horizontal="right"/>
    </xf>
    <xf numFmtId="0" fontId="15" fillId="0" borderId="0" xfId="6" applyFont="1" applyFill="1"/>
    <xf numFmtId="164" fontId="9" fillId="0" borderId="0" xfId="6" applyNumberFormat="1" applyFont="1" applyFill="1" applyProtection="1">
      <protection locked="0"/>
    </xf>
    <xf numFmtId="164" fontId="9" fillId="0" borderId="0" xfId="6" applyNumberFormat="1" applyFont="1" applyFill="1" applyBorder="1" applyProtection="1">
      <protection locked="0"/>
    </xf>
    <xf numFmtId="176" fontId="9" fillId="0" borderId="0" xfId="6" applyNumberFormat="1" applyFont="1" applyFill="1" applyProtection="1"/>
    <xf numFmtId="0" fontId="24" fillId="0" borderId="0" xfId="6" applyFont="1" applyFill="1" applyBorder="1" applyProtection="1"/>
    <xf numFmtId="0" fontId="67" fillId="0" borderId="0" xfId="6" applyFont="1" applyFill="1" applyAlignment="1" applyProtection="1">
      <alignment vertical="top"/>
    </xf>
    <xf numFmtId="0" fontId="67" fillId="0" borderId="0" xfId="6" applyFont="1" applyFill="1" applyProtection="1"/>
    <xf numFmtId="0" fontId="67" fillId="0" borderId="0" xfId="6" applyFont="1" applyFill="1" applyProtection="1">
      <protection locked="0"/>
    </xf>
    <xf numFmtId="0" fontId="67" fillId="0" borderId="0" xfId="6" applyFont="1" applyFill="1" applyBorder="1" applyAlignment="1" applyProtection="1">
      <alignment horizontal="center" vertical="top"/>
    </xf>
    <xf numFmtId="0" fontId="67" fillId="0" borderId="0" xfId="6" applyFont="1" applyFill="1" applyBorder="1" applyAlignment="1" applyProtection="1">
      <alignment horizontal="center"/>
      <protection locked="0"/>
    </xf>
    <xf numFmtId="0" fontId="12" fillId="0" borderId="0" xfId="6" applyFont="1" applyFill="1" applyBorder="1" applyAlignment="1" applyProtection="1">
      <alignment horizontal="center"/>
    </xf>
    <xf numFmtId="0" fontId="15" fillId="0" borderId="0" xfId="6" applyFont="1" applyFill="1" applyBorder="1" applyAlignment="1" applyProtection="1">
      <alignment horizontal="center"/>
    </xf>
    <xf numFmtId="0" fontId="15" fillId="0" borderId="0" xfId="6" applyFont="1" applyFill="1" applyBorder="1" applyAlignment="1" applyProtection="1">
      <alignment horizontal="center"/>
      <protection locked="0"/>
    </xf>
    <xf numFmtId="0" fontId="114" fillId="0" borderId="0" xfId="6" applyFont="1" applyFill="1" applyBorder="1" applyAlignment="1" applyProtection="1">
      <alignment vertical="top"/>
    </xf>
    <xf numFmtId="0" fontId="96" fillId="0" borderId="0" xfId="6" applyFont="1" applyFill="1" applyBorder="1" applyAlignment="1" applyProtection="1">
      <alignment vertical="top"/>
    </xf>
    <xf numFmtId="0" fontId="12" fillId="0" borderId="5" xfId="6" quotePrefix="1" applyFont="1" applyFill="1" applyBorder="1" applyAlignment="1">
      <alignment horizontal="center" vertical="top" wrapText="1"/>
    </xf>
    <xf numFmtId="17" fontId="12" fillId="0" borderId="5" xfId="6" quotePrefix="1" applyNumberFormat="1" applyFont="1" applyFill="1" applyBorder="1" applyAlignment="1">
      <alignment horizontal="center" vertical="top" wrapText="1"/>
    </xf>
    <xf numFmtId="0" fontId="12" fillId="0" borderId="5" xfId="6" applyFont="1" applyFill="1" applyBorder="1" applyAlignment="1" applyProtection="1">
      <alignment horizontal="center" vertical="top" wrapText="1"/>
      <protection locked="0"/>
    </xf>
    <xf numFmtId="0" fontId="96" fillId="0" borderId="0" xfId="6" applyFont="1" applyFill="1" applyBorder="1" applyProtection="1">
      <protection locked="0"/>
    </xf>
    <xf numFmtId="169" fontId="15" fillId="0" borderId="0" xfId="6" applyNumberFormat="1" applyFont="1" applyFill="1" applyBorder="1" applyAlignment="1">
      <alignment horizontal="left" vertical="top" wrapText="1"/>
    </xf>
    <xf numFmtId="169" fontId="15" fillId="0" borderId="0" xfId="6" applyNumberFormat="1" applyFont="1" applyFill="1" applyBorder="1" applyAlignment="1">
      <alignment horizontal="right"/>
    </xf>
    <xf numFmtId="169" fontId="15" fillId="0" borderId="0" xfId="6" applyNumberFormat="1" applyFont="1" applyFill="1" applyBorder="1" applyAlignment="1">
      <alignment horizontal="center" vertical="top"/>
    </xf>
    <xf numFmtId="0" fontId="67" fillId="0" borderId="0" xfId="6" applyFont="1" applyFill="1" applyBorder="1" applyAlignment="1" applyProtection="1">
      <alignment vertical="top"/>
    </xf>
    <xf numFmtId="0" fontId="67" fillId="0" borderId="0" xfId="6" applyFont="1" applyFill="1" applyBorder="1" applyProtection="1">
      <protection locked="0"/>
    </xf>
    <xf numFmtId="169" fontId="15" fillId="0" borderId="14" xfId="6" applyNumberFormat="1" applyFont="1" applyFill="1" applyBorder="1" applyAlignment="1">
      <alignment horizontal="right"/>
    </xf>
    <xf numFmtId="9" fontId="12" fillId="0" borderId="14" xfId="2" applyFont="1" applyFill="1" applyBorder="1" applyAlignment="1">
      <alignment horizontal="center" vertical="top"/>
    </xf>
    <xf numFmtId="169" fontId="12" fillId="0" borderId="0" xfId="6" applyNumberFormat="1" applyFont="1" applyFill="1" applyBorder="1" applyAlignment="1">
      <alignment horizontal="center" vertical="top"/>
    </xf>
    <xf numFmtId="169" fontId="12" fillId="0" borderId="0" xfId="6" applyNumberFormat="1" applyFont="1" applyFill="1" applyBorder="1" applyAlignment="1">
      <alignment horizontal="left" vertical="top" wrapText="1"/>
    </xf>
    <xf numFmtId="169" fontId="15" fillId="0" borderId="0" xfId="6" applyNumberFormat="1" applyFont="1" applyFill="1" applyBorder="1" applyAlignment="1">
      <alignment horizontal="center"/>
    </xf>
    <xf numFmtId="169" fontId="12" fillId="0" borderId="14" xfId="6" applyNumberFormat="1" applyFont="1" applyFill="1" applyBorder="1" applyAlignment="1">
      <alignment horizontal="right"/>
    </xf>
    <xf numFmtId="169" fontId="12" fillId="0" borderId="0" xfId="6" applyNumberFormat="1" applyFont="1" applyFill="1" applyBorder="1" applyAlignment="1">
      <alignment horizontal="right"/>
    </xf>
    <xf numFmtId="207" fontId="67" fillId="0" borderId="0" xfId="6" applyNumberFormat="1" applyFont="1" applyFill="1" applyBorder="1" applyProtection="1"/>
    <xf numFmtId="207" fontId="67" fillId="0" borderId="0" xfId="6" applyNumberFormat="1" applyFont="1" applyFill="1" applyBorder="1" applyProtection="1">
      <protection locked="0"/>
    </xf>
    <xf numFmtId="0" fontId="0" fillId="0" borderId="0" xfId="6" applyFont="1" applyFill="1" applyAlignment="1" applyProtection="1">
      <alignment horizontal="center" vertical="top"/>
    </xf>
    <xf numFmtId="0" fontId="41" fillId="0" borderId="4" xfId="6" applyFont="1" applyFill="1" applyBorder="1" applyAlignment="1" applyProtection="1"/>
    <xf numFmtId="0" fontId="19" fillId="0" borderId="0" xfId="6" applyFont="1" applyFill="1" applyBorder="1" applyAlignment="1" applyProtection="1">
      <alignment horizontal="center"/>
    </xf>
    <xf numFmtId="0" fontId="123" fillId="0" borderId="0" xfId="6" applyFont="1" applyFill="1" applyBorder="1" applyAlignment="1" applyProtection="1">
      <alignment horizontal="center"/>
    </xf>
    <xf numFmtId="0" fontId="19" fillId="0" borderId="0" xfId="6" applyFont="1" applyFill="1" applyAlignment="1" applyProtection="1">
      <alignment horizontal="center"/>
    </xf>
    <xf numFmtId="0" fontId="123" fillId="0" borderId="0" xfId="6" applyFont="1" applyFill="1" applyAlignment="1" applyProtection="1">
      <alignment horizontal="center"/>
      <protection locked="0"/>
    </xf>
    <xf numFmtId="0" fontId="0" fillId="0" borderId="0" xfId="6" applyFont="1" applyFill="1" applyAlignment="1" applyProtection="1">
      <alignment horizontal="center"/>
      <protection locked="0"/>
    </xf>
    <xf numFmtId="0" fontId="41" fillId="0" borderId="5" xfId="6" quotePrefix="1" applyFont="1" applyFill="1" applyBorder="1" applyAlignment="1">
      <alignment horizontal="right"/>
    </xf>
    <xf numFmtId="17" fontId="41" fillId="0" borderId="5" xfId="6" quotePrefix="1" applyNumberFormat="1" applyFont="1" applyFill="1" applyBorder="1" applyAlignment="1">
      <alignment horizontal="right"/>
    </xf>
    <xf numFmtId="207" fontId="19" fillId="0" borderId="8" xfId="6" applyNumberFormat="1" applyFont="1" applyFill="1" applyBorder="1" applyAlignment="1" applyProtection="1">
      <alignment horizontal="right"/>
    </xf>
    <xf numFmtId="0" fontId="19" fillId="0" borderId="8" xfId="6" applyFont="1" applyFill="1" applyBorder="1" applyProtection="1">
      <protection locked="0"/>
    </xf>
    <xf numFmtId="207" fontId="41" fillId="0" borderId="0" xfId="6" applyNumberFormat="1" applyFont="1" applyFill="1" applyBorder="1" applyAlignment="1" applyProtection="1">
      <alignment horizontal="right"/>
    </xf>
    <xf numFmtId="207" fontId="19" fillId="0" borderId="0" xfId="6" applyNumberFormat="1" applyFont="1" applyFill="1" applyBorder="1" applyAlignment="1" applyProtection="1">
      <alignment horizontal="right"/>
    </xf>
    <xf numFmtId="0" fontId="19" fillId="0" borderId="0" xfId="6" applyFont="1" applyFill="1" applyProtection="1">
      <protection locked="0"/>
    </xf>
    <xf numFmtId="0" fontId="19" fillId="0" borderId="0" xfId="6" applyFont="1" applyFill="1" applyBorder="1" applyAlignment="1">
      <alignment horizontal="left"/>
    </xf>
    <xf numFmtId="0" fontId="41" fillId="0" borderId="0" xfId="6" quotePrefix="1" applyFont="1" applyFill="1" applyBorder="1" applyAlignment="1">
      <alignment horizontal="right"/>
    </xf>
    <xf numFmtId="169" fontId="19" fillId="0" borderId="0" xfId="6" applyNumberFormat="1" applyFont="1" applyFill="1" applyBorder="1" applyAlignment="1">
      <alignment horizontal="right"/>
    </xf>
    <xf numFmtId="169" fontId="19" fillId="0" borderId="8" xfId="6" applyNumberFormat="1" applyFont="1" applyFill="1" applyBorder="1" applyAlignment="1">
      <alignment horizontal="right"/>
    </xf>
    <xf numFmtId="169" fontId="19" fillId="0" borderId="4" xfId="6" applyNumberFormat="1" applyFont="1" applyFill="1" applyBorder="1" applyAlignment="1">
      <alignment horizontal="right"/>
    </xf>
    <xf numFmtId="0" fontId="3" fillId="0" borderId="0" xfId="6" applyFont="1" applyFill="1" applyAlignment="1" applyProtection="1">
      <alignment vertical="top"/>
    </xf>
    <xf numFmtId="169" fontId="41" fillId="0" borderId="4" xfId="6" applyNumberFormat="1" applyFont="1" applyFill="1" applyBorder="1" applyAlignment="1">
      <alignment horizontal="right"/>
    </xf>
    <xf numFmtId="0" fontId="3" fillId="0" borderId="0" xfId="6" applyFont="1" applyFill="1" applyProtection="1">
      <protection locked="0"/>
    </xf>
    <xf numFmtId="0" fontId="41" fillId="0" borderId="0" xfId="6" applyFont="1" applyFill="1" applyBorder="1" applyAlignment="1">
      <alignment horizontal="left"/>
    </xf>
    <xf numFmtId="169" fontId="41" fillId="0" borderId="0" xfId="6" applyNumberFormat="1" applyFont="1" applyFill="1" applyBorder="1" applyAlignment="1">
      <alignment horizontal="center"/>
    </xf>
    <xf numFmtId="0" fontId="68" fillId="0" borderId="0" xfId="6" applyFont="1" applyFill="1" applyAlignment="1" applyProtection="1">
      <alignment horizontal="center"/>
      <protection locked="0"/>
    </xf>
    <xf numFmtId="207" fontId="0" fillId="0" borderId="0" xfId="6" applyNumberFormat="1" applyFont="1" applyFill="1" applyBorder="1" applyProtection="1">
      <protection locked="0"/>
    </xf>
    <xf numFmtId="170" fontId="0" fillId="0" borderId="0" xfId="6" applyNumberFormat="1" applyFont="1" applyFill="1" applyProtection="1">
      <protection locked="0"/>
    </xf>
    <xf numFmtId="0" fontId="9" fillId="0" borderId="0" xfId="6" applyFont="1" applyFill="1" applyBorder="1" applyAlignment="1" applyProtection="1">
      <alignment horizontal="center"/>
    </xf>
    <xf numFmtId="0" fontId="0" fillId="0" borderId="0" xfId="6" applyFont="1" applyFill="1" applyBorder="1" applyAlignment="1" applyProtection="1">
      <alignment horizontal="center"/>
    </xf>
    <xf numFmtId="207" fontId="9" fillId="0" borderId="0" xfId="6" applyNumberFormat="1" applyFont="1" applyFill="1" applyAlignment="1" applyProtection="1">
      <alignment horizontal="center"/>
    </xf>
    <xf numFmtId="170" fontId="9" fillId="0" borderId="8" xfId="6" applyNumberFormat="1" applyFont="1" applyFill="1" applyBorder="1" applyAlignment="1" applyProtection="1">
      <alignment horizontal="right"/>
    </xf>
    <xf numFmtId="170" fontId="9" fillId="0" borderId="8" xfId="6" applyNumberFormat="1" applyFont="1" applyFill="1" applyBorder="1" applyProtection="1">
      <protection locked="0"/>
    </xf>
    <xf numFmtId="170" fontId="9" fillId="0" borderId="0" xfId="6" applyNumberFormat="1" applyFont="1" applyFill="1" applyBorder="1" applyProtection="1">
      <protection locked="0"/>
    </xf>
    <xf numFmtId="0" fontId="9" fillId="0" borderId="0" xfId="6" applyFont="1" applyFill="1" applyAlignment="1" applyProtection="1">
      <alignment horizontal="right"/>
    </xf>
    <xf numFmtId="170" fontId="9" fillId="0" borderId="0" xfId="6" applyNumberFormat="1" applyFont="1" applyFill="1" applyProtection="1">
      <protection locked="0"/>
    </xf>
    <xf numFmtId="170" fontId="8" fillId="0" borderId="14" xfId="6" applyNumberFormat="1" applyFont="1" applyFill="1" applyBorder="1" applyAlignment="1" applyProtection="1">
      <alignment horizontal="right"/>
    </xf>
    <xf numFmtId="170" fontId="8" fillId="0" borderId="0" xfId="6" applyNumberFormat="1" applyFont="1" applyFill="1" applyBorder="1" applyAlignment="1" applyProtection="1">
      <alignment horizontal="right"/>
    </xf>
    <xf numFmtId="207" fontId="0" fillId="0" borderId="0" xfId="6" applyNumberFormat="1" applyFont="1" applyFill="1" applyBorder="1" applyAlignment="1" applyProtection="1">
      <alignment vertical="top"/>
    </xf>
    <xf numFmtId="0" fontId="9" fillId="0" borderId="4" xfId="6" applyFont="1" applyFill="1" applyBorder="1" applyAlignment="1" applyProtection="1">
      <alignment horizontal="center"/>
    </xf>
    <xf numFmtId="0" fontId="8" fillId="0" borderId="4" xfId="6" applyFont="1" applyFill="1" applyBorder="1" applyAlignment="1" applyProtection="1">
      <alignment horizontal="center"/>
    </xf>
    <xf numFmtId="0" fontId="0" fillId="0" borderId="4" xfId="6" applyFont="1" applyFill="1" applyBorder="1" applyAlignment="1" applyProtection="1">
      <alignment horizontal="center"/>
    </xf>
    <xf numFmtId="207" fontId="9" fillId="0" borderId="4" xfId="6" applyNumberFormat="1" applyFont="1" applyFill="1" applyBorder="1" applyAlignment="1" applyProtection="1">
      <alignment horizontal="center"/>
    </xf>
    <xf numFmtId="207" fontId="9" fillId="0" borderId="0" xfId="6" applyNumberFormat="1" applyFont="1" applyFill="1" applyBorder="1" applyAlignment="1" applyProtection="1">
      <alignment horizontal="center"/>
    </xf>
    <xf numFmtId="17" fontId="8" fillId="0" borderId="0" xfId="6" quotePrefix="1" applyNumberFormat="1" applyFont="1" applyFill="1" applyBorder="1" applyAlignment="1">
      <alignment horizontal="right"/>
    </xf>
    <xf numFmtId="170" fontId="9" fillId="0" borderId="4" xfId="6" applyNumberFormat="1" applyFont="1" applyFill="1" applyBorder="1" applyProtection="1">
      <protection locked="0"/>
    </xf>
    <xf numFmtId="17" fontId="41" fillId="0" borderId="0" xfId="6" quotePrefix="1" applyNumberFormat="1" applyFont="1" applyFill="1" applyBorder="1" applyAlignment="1">
      <alignment horizontal="right"/>
    </xf>
    <xf numFmtId="0" fontId="5" fillId="0" borderId="0" xfId="40" applyFill="1"/>
    <xf numFmtId="0" fontId="5" fillId="0" borderId="0" xfId="40" applyFill="1" applyBorder="1"/>
    <xf numFmtId="0" fontId="9" fillId="0" borderId="0" xfId="6" applyFont="1" applyFill="1" applyBorder="1" applyAlignment="1">
      <alignment horizontal="left" indent="1"/>
    </xf>
    <xf numFmtId="0" fontId="9" fillId="0" borderId="12" xfId="6" applyFont="1" applyFill="1" applyBorder="1" applyAlignment="1">
      <alignment horizontal="left" indent="2"/>
    </xf>
    <xf numFmtId="0" fontId="9" fillId="0" borderId="7" xfId="6" applyFont="1" applyFill="1" applyBorder="1" applyAlignment="1">
      <alignment horizontal="left" indent="1"/>
    </xf>
    <xf numFmtId="0" fontId="9" fillId="0" borderId="9" xfId="6" applyFont="1" applyFill="1" applyBorder="1" applyAlignment="1">
      <alignment horizontal="left" indent="1"/>
    </xf>
    <xf numFmtId="0" fontId="9" fillId="0" borderId="1" xfId="6" applyFont="1" applyFill="1" applyBorder="1" applyAlignment="1">
      <alignment horizontal="left" indent="2"/>
    </xf>
    <xf numFmtId="186" fontId="9" fillId="0" borderId="2" xfId="6" applyNumberFormat="1" applyFont="1" applyFill="1" applyBorder="1" applyAlignment="1">
      <alignment horizontal="right"/>
    </xf>
    <xf numFmtId="173" fontId="5" fillId="0" borderId="0" xfId="40" applyNumberFormat="1" applyFill="1"/>
    <xf numFmtId="0" fontId="9" fillId="0" borderId="0" xfId="40" applyFont="1" applyFill="1"/>
    <xf numFmtId="0" fontId="18" fillId="0" borderId="0" xfId="6" applyFont="1" applyFill="1" applyAlignment="1">
      <alignment vertical="top" wrapText="1"/>
    </xf>
    <xf numFmtId="186" fontId="5" fillId="0" borderId="0" xfId="40" applyNumberFormat="1" applyFill="1"/>
    <xf numFmtId="3" fontId="15" fillId="0" borderId="0" xfId="17" applyNumberFormat="1" applyFont="1" applyFill="1" applyBorder="1" applyAlignment="1">
      <alignment horizontal="right"/>
    </xf>
    <xf numFmtId="0" fontId="5" fillId="0" borderId="0" xfId="42" applyFill="1"/>
    <xf numFmtId="3" fontId="12" fillId="0" borderId="4" xfId="17" applyNumberFormat="1" applyFont="1" applyFill="1" applyBorder="1" applyAlignment="1">
      <alignment horizontal="right"/>
    </xf>
    <xf numFmtId="3" fontId="12" fillId="0" borderId="0" xfId="17" applyNumberFormat="1" applyFont="1" applyFill="1" applyBorder="1" applyAlignment="1">
      <alignment horizontal="right"/>
    </xf>
    <xf numFmtId="0" fontId="8" fillId="0" borderId="29" xfId="6" quotePrefix="1" applyFont="1" applyFill="1" applyBorder="1" applyAlignment="1">
      <alignment horizontal="right"/>
    </xf>
    <xf numFmtId="0" fontId="15" fillId="0" borderId="0" xfId="17" applyFont="1" applyFill="1" applyBorder="1" applyAlignment="1">
      <alignment horizontal="right"/>
    </xf>
    <xf numFmtId="0" fontId="120" fillId="0" borderId="0" xfId="6" applyFont="1" applyFill="1" applyBorder="1" applyAlignment="1" applyProtection="1">
      <alignment horizontal="right" vertical="top" textRotation="90" wrapText="1"/>
    </xf>
    <xf numFmtId="0" fontId="121" fillId="0" borderId="0" xfId="6" applyFont="1" applyFill="1" applyBorder="1" applyAlignment="1" applyProtection="1">
      <alignment horizontal="right" vertical="top" textRotation="90" wrapText="1"/>
    </xf>
    <xf numFmtId="171" fontId="9" fillId="0" borderId="0" xfId="41" applyNumberFormat="1" applyFont="1" applyFill="1" applyBorder="1" applyAlignment="1">
      <alignment horizontal="right"/>
    </xf>
    <xf numFmtId="0" fontId="12" fillId="0" borderId="4" xfId="17" applyFont="1" applyFill="1" applyBorder="1" applyAlignment="1">
      <alignment horizontal="right"/>
    </xf>
    <xf numFmtId="0" fontId="12" fillId="0" borderId="29" xfId="17" applyFont="1" applyFill="1" applyBorder="1" applyAlignment="1">
      <alignment horizontal="right" wrapText="1"/>
    </xf>
    <xf numFmtId="0" fontId="12" fillId="0" borderId="0" xfId="17" applyFont="1" applyFill="1" applyBorder="1" applyAlignment="1">
      <alignment horizontal="right" wrapText="1"/>
    </xf>
    <xf numFmtId="10" fontId="15" fillId="0" borderId="0" xfId="17" applyNumberFormat="1" applyFont="1" applyFill="1" applyBorder="1" applyAlignment="1">
      <alignment horizontal="right"/>
    </xf>
    <xf numFmtId="10" fontId="8" fillId="0" borderId="0" xfId="2" applyNumberFormat="1" applyFont="1" applyFill="1" applyBorder="1" applyAlignment="1">
      <alignment horizontal="right"/>
    </xf>
    <xf numFmtId="173" fontId="12" fillId="0" borderId="4" xfId="17" applyNumberFormat="1" applyFont="1" applyFill="1" applyBorder="1" applyAlignment="1">
      <alignment horizontal="right"/>
    </xf>
    <xf numFmtId="173" fontId="5" fillId="0" borderId="0" xfId="19" applyNumberFormat="1" applyFont="1" applyFill="1" applyProtection="1">
      <protection locked="0"/>
    </xf>
    <xf numFmtId="3" fontId="15" fillId="0" borderId="0" xfId="17" applyNumberFormat="1" applyFont="1" applyFill="1" applyBorder="1"/>
    <xf numFmtId="3" fontId="12" fillId="0" borderId="4" xfId="17" applyNumberFormat="1" applyFont="1" applyFill="1" applyBorder="1"/>
    <xf numFmtId="3" fontId="12" fillId="0" borderId="0" xfId="17" applyNumberFormat="1" applyFont="1" applyFill="1" applyBorder="1"/>
    <xf numFmtId="0" fontId="15" fillId="0" borderId="0" xfId="17" applyFont="1" applyFill="1" applyBorder="1"/>
    <xf numFmtId="0" fontId="12" fillId="0" borderId="4" xfId="17" applyFont="1" applyFill="1" applyBorder="1"/>
    <xf numFmtId="0" fontId="92" fillId="0" borderId="0" xfId="6" applyFont="1" applyFill="1" applyBorder="1" applyAlignment="1" applyProtection="1">
      <alignment horizontal="right" vertical="top" textRotation="90" wrapText="1"/>
    </xf>
    <xf numFmtId="0" fontId="122" fillId="0" borderId="0" xfId="6" applyFont="1" applyFill="1" applyBorder="1" applyAlignment="1" applyProtection="1">
      <alignment horizontal="right" vertical="top" textRotation="90" wrapText="1"/>
    </xf>
    <xf numFmtId="173" fontId="15" fillId="0" borderId="0" xfId="17" applyNumberFormat="1" applyFont="1" applyFill="1" applyBorder="1" applyAlignment="1">
      <alignment horizontal="right"/>
    </xf>
    <xf numFmtId="0" fontId="9" fillId="0" borderId="4" xfId="6" applyFont="1" applyFill="1" applyBorder="1" applyAlignment="1">
      <alignment vertical="top" wrapText="1"/>
    </xf>
    <xf numFmtId="173" fontId="5" fillId="0" borderId="0" xfId="2" applyNumberFormat="1" applyFont="1" applyFill="1"/>
    <xf numFmtId="165" fontId="5" fillId="0" borderId="0" xfId="17" applyNumberFormat="1" applyFill="1"/>
    <xf numFmtId="173" fontId="9" fillId="0" borderId="0" xfId="19" applyNumberFormat="1" applyFont="1" applyFill="1" applyProtection="1"/>
    <xf numFmtId="171" fontId="9" fillId="0" borderId="8" xfId="41" applyNumberFormat="1" applyFont="1" applyFill="1" applyBorder="1" applyAlignment="1">
      <alignment horizontal="right"/>
    </xf>
    <xf numFmtId="171" fontId="8" fillId="0" borderId="14" xfId="6" applyNumberFormat="1" applyFont="1" applyFill="1" applyBorder="1" applyAlignment="1">
      <alignment horizontal="right"/>
    </xf>
    <xf numFmtId="0" fontId="0" fillId="0" borderId="0" xfId="6" applyFont="1" applyFill="1" applyBorder="1" applyAlignment="1" applyProtection="1">
      <alignment wrapText="1"/>
    </xf>
    <xf numFmtId="1" fontId="9" fillId="0" borderId="50" xfId="6" applyNumberFormat="1" applyFont="1" applyFill="1" applyBorder="1" applyProtection="1"/>
    <xf numFmtId="1" fontId="9" fillId="0" borderId="4" xfId="6" applyNumberFormat="1" applyFont="1" applyFill="1" applyBorder="1" applyProtection="1"/>
    <xf numFmtId="1" fontId="9" fillId="0" borderId="43" xfId="6" applyNumberFormat="1" applyFont="1" applyFill="1" applyBorder="1" applyProtection="1"/>
    <xf numFmtId="0" fontId="38" fillId="0" borderId="0" xfId="6" applyFont="1" applyFill="1" applyBorder="1" applyAlignment="1" applyProtection="1">
      <alignment vertical="top"/>
    </xf>
    <xf numFmtId="17" fontId="8" fillId="0" borderId="0" xfId="6" quotePrefix="1" applyNumberFormat="1" applyFont="1" applyFill="1" applyBorder="1" applyAlignment="1" applyProtection="1"/>
    <xf numFmtId="17" fontId="66" fillId="0" borderId="0" xfId="6" quotePrefix="1" applyNumberFormat="1" applyFont="1" applyFill="1" applyBorder="1" applyAlignment="1" applyProtection="1"/>
    <xf numFmtId="0" fontId="28" fillId="0" borderId="0" xfId="6" applyFont="1" applyFill="1" applyBorder="1" applyProtection="1">
      <protection locked="0"/>
    </xf>
    <xf numFmtId="1" fontId="28" fillId="0" borderId="0" xfId="6" applyNumberFormat="1" applyFont="1" applyFill="1" applyBorder="1" applyProtection="1">
      <protection locked="0"/>
    </xf>
    <xf numFmtId="0" fontId="66" fillId="0" borderId="0" xfId="6" applyFont="1" applyFill="1" applyBorder="1" applyAlignment="1" applyProtection="1">
      <alignment horizontal="right"/>
    </xf>
    <xf numFmtId="0" fontId="38" fillId="0" borderId="0" xfId="6" applyFont="1" applyFill="1" applyAlignment="1" applyProtection="1">
      <alignment vertical="top"/>
    </xf>
    <xf numFmtId="0" fontId="65" fillId="0" borderId="4" xfId="6" applyFont="1" applyFill="1" applyBorder="1" applyProtection="1"/>
    <xf numFmtId="0" fontId="5" fillId="0" borderId="0" xfId="6" applyFont="1" applyFill="1" applyAlignment="1" applyProtection="1">
      <alignment vertical="top"/>
    </xf>
    <xf numFmtId="0" fontId="101" fillId="0" borderId="0" xfId="6" applyFont="1" applyFill="1" applyBorder="1" applyProtection="1">
      <protection locked="0"/>
    </xf>
    <xf numFmtId="0" fontId="103" fillId="0" borderId="0" xfId="6" applyFont="1" applyFill="1" applyBorder="1" applyProtection="1">
      <protection locked="0"/>
    </xf>
    <xf numFmtId="0" fontId="26" fillId="0" borderId="0" xfId="6" applyFont="1" applyFill="1" applyBorder="1" applyProtection="1">
      <protection locked="0"/>
    </xf>
    <xf numFmtId="0" fontId="101" fillId="0" borderId="0" xfId="6" applyFont="1" applyFill="1" applyProtection="1"/>
    <xf numFmtId="0" fontId="101" fillId="0" borderId="0" xfId="6" applyFont="1" applyFill="1" applyBorder="1" applyProtection="1"/>
    <xf numFmtId="0" fontId="101" fillId="0" borderId="0" xfId="6" applyFont="1" applyFill="1" applyBorder="1" applyAlignment="1" applyProtection="1">
      <alignment wrapText="1"/>
      <protection locked="0"/>
    </xf>
    <xf numFmtId="0" fontId="101" fillId="0" borderId="0" xfId="6" applyFont="1" applyFill="1" applyBorder="1" applyAlignment="1" applyProtection="1">
      <protection locked="0"/>
    </xf>
    <xf numFmtId="0" fontId="24" fillId="0" borderId="4" xfId="6" applyFont="1" applyFill="1" applyBorder="1" applyProtection="1">
      <protection locked="0"/>
    </xf>
    <xf numFmtId="186" fontId="101" fillId="0" borderId="0" xfId="6" applyNumberFormat="1" applyFont="1" applyFill="1" applyBorder="1" applyAlignment="1" applyProtection="1">
      <alignment wrapText="1"/>
      <protection locked="0"/>
    </xf>
    <xf numFmtId="9" fontId="101" fillId="0" borderId="0" xfId="2" applyFont="1" applyFill="1" applyBorder="1" applyAlignment="1" applyProtection="1">
      <alignment wrapText="1"/>
      <protection locked="0"/>
    </xf>
    <xf numFmtId="17" fontId="8" fillId="0" borderId="7" xfId="6" applyNumberFormat="1" applyFont="1" applyFill="1" applyBorder="1" applyAlignment="1">
      <alignment horizontal="right"/>
    </xf>
    <xf numFmtId="0" fontId="8" fillId="0" borderId="11" xfId="6" applyFont="1" applyFill="1" applyBorder="1" applyAlignment="1">
      <alignment horizontal="right"/>
    </xf>
    <xf numFmtId="0" fontId="9" fillId="0" borderId="50" xfId="6" applyFont="1" applyFill="1" applyBorder="1" applyAlignment="1">
      <alignment horizontal="right"/>
    </xf>
    <xf numFmtId="0" fontId="9" fillId="0" borderId="50" xfId="6" applyFont="1" applyFill="1" applyBorder="1"/>
    <xf numFmtId="0" fontId="9" fillId="0" borderId="43" xfId="6" applyFont="1" applyFill="1" applyBorder="1"/>
    <xf numFmtId="1" fontId="9" fillId="0" borderId="43" xfId="6" applyNumberFormat="1" applyFont="1" applyFill="1" applyBorder="1"/>
    <xf numFmtId="1" fontId="0" fillId="0" borderId="0" xfId="6" applyNumberFormat="1" applyFont="1" applyFill="1" applyProtection="1">
      <protection locked="0"/>
    </xf>
    <xf numFmtId="0" fontId="8" fillId="0" borderId="8" xfId="6" applyFont="1" applyFill="1" applyBorder="1"/>
    <xf numFmtId="0" fontId="8" fillId="0" borderId="8" xfId="6" applyFont="1" applyFill="1" applyBorder="1" applyAlignment="1">
      <alignment horizontal="center"/>
    </xf>
    <xf numFmtId="0" fontId="8" fillId="0" borderId="9" xfId="6" applyFont="1" applyFill="1" applyBorder="1" applyAlignment="1">
      <alignment horizontal="center"/>
    </xf>
    <xf numFmtId="0" fontId="8" fillId="0" borderId="13" xfId="6" applyFont="1" applyFill="1" applyBorder="1" applyAlignment="1">
      <alignment horizontal="center"/>
    </xf>
    <xf numFmtId="0" fontId="8" fillId="0" borderId="2" xfId="6" applyFont="1" applyFill="1" applyBorder="1" applyAlignment="1">
      <alignment wrapText="1"/>
    </xf>
    <xf numFmtId="0" fontId="8" fillId="0" borderId="3" xfId="6" applyFont="1" applyFill="1" applyBorder="1" applyAlignment="1">
      <alignment wrapText="1"/>
    </xf>
    <xf numFmtId="0" fontId="16" fillId="0" borderId="4" xfId="6" applyFont="1" applyFill="1" applyBorder="1"/>
    <xf numFmtId="0" fontId="60" fillId="0" borderId="0" xfId="6" applyFont="1" applyFill="1"/>
    <xf numFmtId="173" fontId="16" fillId="0" borderId="0" xfId="19" applyNumberFormat="1" applyFont="1" applyFill="1"/>
    <xf numFmtId="0" fontId="98" fillId="0" borderId="0" xfId="6" applyFont="1" applyFill="1"/>
    <xf numFmtId="0" fontId="0" fillId="0" borderId="2" xfId="6" applyFont="1" applyFill="1" applyBorder="1" applyAlignment="1"/>
    <xf numFmtId="0" fontId="0" fillId="0" borderId="3" xfId="6" applyFont="1" applyFill="1" applyBorder="1" applyAlignment="1"/>
    <xf numFmtId="173" fontId="16" fillId="0" borderId="0" xfId="19" applyNumberFormat="1" applyFont="1" applyFill="1" applyBorder="1"/>
    <xf numFmtId="173" fontId="100" fillId="0" borderId="4" xfId="19" applyNumberFormat="1" applyFont="1" applyFill="1" applyBorder="1" applyAlignment="1"/>
    <xf numFmtId="173" fontId="50" fillId="0" borderId="4" xfId="19" applyNumberFormat="1" applyFont="1" applyFill="1" applyBorder="1"/>
    <xf numFmtId="0" fontId="8" fillId="0" borderId="5" xfId="6" applyFont="1" applyFill="1" applyBorder="1" applyAlignment="1">
      <alignment horizontal="center"/>
    </xf>
    <xf numFmtId="0" fontId="8" fillId="0" borderId="7" xfId="6" applyFont="1" applyFill="1" applyBorder="1" applyAlignment="1">
      <alignment vertical="top" wrapText="1"/>
    </xf>
    <xf numFmtId="173" fontId="8" fillId="0" borderId="6" xfId="19" applyNumberFormat="1" applyFont="1" applyFill="1" applyBorder="1" applyAlignment="1">
      <alignment horizontal="center" vertical="top" wrapText="1"/>
    </xf>
    <xf numFmtId="173" fontId="8" fillId="0" borderId="0" xfId="19" applyNumberFormat="1" applyFont="1" applyFill="1" applyBorder="1" applyAlignment="1">
      <alignment horizontal="center" vertical="top"/>
    </xf>
    <xf numFmtId="173" fontId="8" fillId="0" borderId="6" xfId="19" applyNumberFormat="1" applyFont="1" applyFill="1" applyBorder="1" applyAlignment="1">
      <alignment horizontal="center" vertical="top"/>
    </xf>
    <xf numFmtId="173" fontId="9" fillId="0" borderId="13" xfId="19" applyNumberFormat="1" applyFont="1" applyFill="1" applyBorder="1" applyAlignment="1">
      <alignment horizontal="right"/>
    </xf>
    <xf numFmtId="9" fontId="8" fillId="0" borderId="4" xfId="6" applyNumberFormat="1" applyFont="1" applyFill="1" applyBorder="1" applyAlignment="1">
      <alignment horizontal="right"/>
    </xf>
    <xf numFmtId="176" fontId="8" fillId="0" borderId="50" xfId="16" applyNumberFormat="1" applyFont="1" applyFill="1" applyBorder="1" applyAlignment="1">
      <alignment horizontal="right"/>
    </xf>
    <xf numFmtId="176" fontId="8" fillId="0" borderId="4" xfId="16" applyNumberFormat="1" applyFont="1" applyFill="1" applyBorder="1" applyAlignment="1">
      <alignment horizontal="right"/>
    </xf>
    <xf numFmtId="173" fontId="8" fillId="0" borderId="43" xfId="19" applyNumberFormat="1" applyFont="1" applyFill="1" applyBorder="1" applyAlignment="1">
      <alignment horizontal="right"/>
    </xf>
    <xf numFmtId="173" fontId="8" fillId="0" borderId="4" xfId="19" applyNumberFormat="1" applyFont="1" applyFill="1" applyBorder="1" applyAlignment="1">
      <alignment horizontal="right"/>
    </xf>
    <xf numFmtId="9" fontId="8" fillId="0" borderId="0" xfId="6" applyNumberFormat="1" applyFont="1" applyFill="1" applyBorder="1" applyAlignment="1">
      <alignment horizontal="right"/>
    </xf>
    <xf numFmtId="173" fontId="8" fillId="0" borderId="0" xfId="19" applyNumberFormat="1" applyFont="1" applyFill="1" applyBorder="1" applyAlignment="1">
      <alignment horizontal="right"/>
    </xf>
    <xf numFmtId="173" fontId="93" fillId="0" borderId="4" xfId="19" applyNumberFormat="1" applyFont="1" applyFill="1" applyBorder="1" applyAlignment="1"/>
    <xf numFmtId="0" fontId="8" fillId="0" borderId="8" xfId="6" applyFont="1" applyFill="1" applyBorder="1" applyAlignment="1">
      <alignment horizontal="center" vertical="top"/>
    </xf>
    <xf numFmtId="0" fontId="8" fillId="0" borderId="9" xfId="6" applyFont="1" applyFill="1" applyBorder="1" applyAlignment="1">
      <alignment vertical="top" wrapText="1"/>
    </xf>
    <xf numFmtId="173" fontId="8" fillId="0" borderId="13" xfId="19" applyNumberFormat="1" applyFont="1" applyFill="1" applyBorder="1" applyAlignment="1">
      <alignment horizontal="center" vertical="top" wrapText="1"/>
    </xf>
    <xf numFmtId="0" fontId="8" fillId="0" borderId="8" xfId="6" applyFont="1" applyFill="1" applyBorder="1" applyAlignment="1">
      <alignment vertical="top" wrapText="1"/>
    </xf>
    <xf numFmtId="173" fontId="8" fillId="0" borderId="13" xfId="19" applyNumberFormat="1" applyFont="1" applyFill="1" applyBorder="1" applyAlignment="1">
      <alignment horizontal="center" vertical="top"/>
    </xf>
    <xf numFmtId="173" fontId="14" fillId="0" borderId="6" xfId="19" applyNumberFormat="1" applyFont="1" applyFill="1" applyBorder="1"/>
    <xf numFmtId="0" fontId="32" fillId="0" borderId="0" xfId="6" applyFont="1" applyFill="1" applyBorder="1" applyAlignment="1">
      <alignment vertical="top"/>
    </xf>
    <xf numFmtId="0" fontId="32" fillId="0" borderId="0" xfId="6" applyFont="1" applyFill="1" applyBorder="1" applyAlignment="1">
      <alignment horizontal="left"/>
    </xf>
    <xf numFmtId="176" fontId="32" fillId="0" borderId="0" xfId="16" applyNumberFormat="1" applyFont="1" applyFill="1" applyBorder="1" applyAlignment="1">
      <alignment horizontal="right"/>
    </xf>
    <xf numFmtId="173" fontId="32" fillId="0" borderId="0" xfId="19" applyNumberFormat="1" applyFont="1" applyFill="1" applyBorder="1" applyAlignment="1">
      <alignment horizontal="right"/>
    </xf>
    <xf numFmtId="176" fontId="99" fillId="0" borderId="0" xfId="16" applyNumberFormat="1" applyFont="1" applyFill="1" applyBorder="1" applyAlignment="1">
      <alignment horizontal="right"/>
    </xf>
    <xf numFmtId="173" fontId="32" fillId="0" borderId="0" xfId="19" applyNumberFormat="1" applyFont="1" applyFill="1" applyBorder="1"/>
    <xf numFmtId="0" fontId="16" fillId="0" borderId="0" xfId="6" applyFont="1" applyFill="1" applyBorder="1" applyAlignment="1">
      <alignment wrapText="1"/>
    </xf>
    <xf numFmtId="0" fontId="16" fillId="0" borderId="0" xfId="6" applyFont="1" applyFill="1" applyAlignment="1">
      <alignment wrapText="1"/>
    </xf>
    <xf numFmtId="0" fontId="50" fillId="0" borderId="0" xfId="6" applyFont="1" applyFill="1" applyAlignment="1">
      <alignment horizontal="left"/>
    </xf>
    <xf numFmtId="0" fontId="50" fillId="0" borderId="0" xfId="6" applyFont="1" applyFill="1" applyAlignment="1">
      <alignment horizontal="left" vertical="top"/>
    </xf>
    <xf numFmtId="0" fontId="50" fillId="0" borderId="0" xfId="6" applyFont="1" applyFill="1" applyAlignment="1">
      <alignment wrapText="1"/>
    </xf>
    <xf numFmtId="10" fontId="9" fillId="0" borderId="0" xfId="6" applyNumberFormat="1" applyFont="1" applyFill="1" applyAlignment="1">
      <alignment horizontal="right"/>
    </xf>
    <xf numFmtId="173" fontId="15" fillId="0" borderId="20" xfId="0" applyNumberFormat="1" applyFont="1" applyFill="1" applyBorder="1" applyAlignment="1">
      <alignment horizontal="right"/>
    </xf>
    <xf numFmtId="173" fontId="9" fillId="0" borderId="22" xfId="19" applyNumberFormat="1" applyFont="1" applyFill="1" applyBorder="1" applyAlignment="1">
      <alignment horizontal="right"/>
    </xf>
    <xf numFmtId="173" fontId="15" fillId="0" borderId="22" xfId="0" applyNumberFormat="1" applyFont="1" applyFill="1" applyBorder="1" applyAlignment="1">
      <alignment horizontal="right"/>
    </xf>
    <xf numFmtId="0" fontId="32" fillId="0" borderId="0" xfId="6" applyFont="1" applyFill="1" applyBorder="1"/>
    <xf numFmtId="0" fontId="5" fillId="0" borderId="0" xfId="17" applyFont="1" applyFill="1"/>
    <xf numFmtId="0" fontId="67" fillId="0" borderId="0" xfId="6" applyFont="1" applyFill="1" applyAlignment="1" applyProtection="1">
      <protection locked="0"/>
    </xf>
    <xf numFmtId="0" fontId="8" fillId="0" borderId="4" xfId="6" applyFont="1" applyFill="1" applyBorder="1" applyAlignment="1" applyProtection="1">
      <alignment horizontal="left" vertical="center"/>
      <protection locked="0"/>
    </xf>
    <xf numFmtId="0" fontId="8" fillId="0" borderId="0" xfId="6" applyFont="1" applyFill="1" applyBorder="1" applyAlignment="1" applyProtection="1">
      <alignment horizontal="left" vertical="center"/>
      <protection locked="0"/>
    </xf>
    <xf numFmtId="0" fontId="8" fillId="0" borderId="0" xfId="6" applyFont="1" applyFill="1" applyBorder="1" applyAlignment="1" applyProtection="1">
      <alignment horizontal="left" vertical="top" wrapText="1"/>
      <protection locked="0"/>
    </xf>
    <xf numFmtId="0" fontId="97" fillId="0" borderId="0" xfId="17" applyFont="1" applyFill="1"/>
    <xf numFmtId="0" fontId="67" fillId="0" borderId="0" xfId="6" applyFont="1" applyFill="1" applyBorder="1" applyProtection="1"/>
    <xf numFmtId="0" fontId="5" fillId="0" borderId="5" xfId="17" applyFont="1" applyFill="1" applyBorder="1"/>
    <xf numFmtId="172" fontId="67" fillId="0" borderId="0" xfId="6" applyNumberFormat="1" applyFont="1" applyFill="1" applyProtection="1">
      <protection locked="0"/>
    </xf>
    <xf numFmtId="165" fontId="8" fillId="0" borderId="0" xfId="6" applyNumberFormat="1" applyFont="1" applyFill="1" applyProtection="1">
      <protection locked="0"/>
    </xf>
    <xf numFmtId="3" fontId="9" fillId="0" borderId="0" xfId="6" applyNumberFormat="1" applyFont="1" applyFill="1" applyBorder="1" applyAlignment="1" applyProtection="1">
      <alignment horizontal="right" vertical="center"/>
      <protection locked="0"/>
    </xf>
    <xf numFmtId="172" fontId="67" fillId="0" borderId="0" xfId="6" applyNumberFormat="1" applyFont="1" applyFill="1" applyBorder="1" applyProtection="1">
      <protection locked="0"/>
    </xf>
    <xf numFmtId="0" fontId="9" fillId="0" borderId="0" xfId="6" applyFont="1" applyFill="1" applyBorder="1" applyAlignment="1" applyProtection="1">
      <alignment horizontal="left" vertical="center"/>
      <protection locked="0"/>
    </xf>
    <xf numFmtId="3" fontId="9" fillId="0" borderId="0" xfId="6" applyNumberFormat="1" applyFont="1" applyFill="1" applyBorder="1" applyAlignment="1" applyProtection="1">
      <alignment horizontal="right" wrapText="1"/>
      <protection locked="0"/>
    </xf>
    <xf numFmtId="0" fontId="8" fillId="0" borderId="0" xfId="6" applyFont="1" applyFill="1" applyBorder="1" applyAlignment="1" applyProtection="1">
      <alignment vertical="center" wrapText="1"/>
      <protection locked="0"/>
    </xf>
    <xf numFmtId="0" fontId="5" fillId="0" borderId="0" xfId="17" applyFont="1" applyFill="1" applyBorder="1"/>
    <xf numFmtId="0" fontId="9" fillId="0" borderId="8" xfId="6" applyFont="1" applyFill="1" applyBorder="1" applyAlignment="1" applyProtection="1">
      <alignment horizontal="left" vertical="center"/>
      <protection locked="0"/>
    </xf>
    <xf numFmtId="3" fontId="8" fillId="0" borderId="0" xfId="6" applyNumberFormat="1" applyFont="1" applyFill="1" applyBorder="1" applyAlignment="1" applyProtection="1"/>
    <xf numFmtId="0" fontId="67" fillId="0" borderId="0" xfId="6" applyFont="1" applyFill="1" applyBorder="1" applyAlignment="1" applyProtection="1">
      <alignment vertical="top" wrapText="1"/>
    </xf>
    <xf numFmtId="0" fontId="9" fillId="0" borderId="4" xfId="6" applyFont="1" applyFill="1" applyBorder="1" applyAlignment="1" applyProtection="1">
      <alignment horizontal="left" vertical="center"/>
      <protection locked="0"/>
    </xf>
    <xf numFmtId="3" fontId="8" fillId="0" borderId="4" xfId="6" applyNumberFormat="1" applyFont="1" applyFill="1" applyBorder="1" applyAlignment="1" applyProtection="1">
      <alignment horizontal="right" wrapText="1"/>
    </xf>
    <xf numFmtId="0" fontId="8" fillId="0" borderId="0" xfId="6" applyFont="1" applyFill="1" applyBorder="1" applyAlignment="1" applyProtection="1">
      <alignment horizontal="right" wrapText="1"/>
    </xf>
    <xf numFmtId="173" fontId="8" fillId="0" borderId="0" xfId="6" applyNumberFormat="1" applyFont="1" applyFill="1" applyBorder="1" applyAlignment="1" applyProtection="1">
      <alignment horizontal="right" wrapText="1"/>
    </xf>
    <xf numFmtId="0" fontId="5" fillId="0" borderId="0" xfId="17" applyFont="1" applyFill="1" applyBorder="1" applyAlignment="1">
      <alignment wrapText="1"/>
    </xf>
    <xf numFmtId="9" fontId="9" fillId="0" borderId="0" xfId="19" applyFont="1" applyFill="1" applyBorder="1" applyAlignment="1">
      <alignment horizontal="right"/>
    </xf>
    <xf numFmtId="9" fontId="8" fillId="0" borderId="0" xfId="19" applyFont="1" applyFill="1" applyBorder="1" applyAlignment="1">
      <alignment horizontal="left"/>
    </xf>
    <xf numFmtId="9" fontId="8" fillId="0" borderId="5" xfId="19" quotePrefix="1" applyFont="1" applyFill="1" applyBorder="1" applyAlignment="1">
      <alignment horizontal="right"/>
    </xf>
    <xf numFmtId="170" fontId="9" fillId="0" borderId="0" xfId="19" applyNumberFormat="1" applyFont="1" applyFill="1" applyBorder="1" applyAlignment="1">
      <alignment horizontal="right"/>
    </xf>
    <xf numFmtId="173" fontId="8" fillId="0" borderId="14" xfId="19" applyNumberFormat="1" applyFont="1" applyFill="1" applyBorder="1" applyAlignment="1">
      <alignment horizontal="right"/>
    </xf>
    <xf numFmtId="9" fontId="8" fillId="0" borderId="0" xfId="19" applyFont="1" applyFill="1" applyBorder="1" applyAlignment="1">
      <alignment horizontal="right"/>
    </xf>
    <xf numFmtId="17" fontId="9" fillId="0" borderId="8" xfId="19" applyNumberFormat="1" applyFont="1" applyFill="1" applyBorder="1" applyAlignment="1">
      <alignment horizontal="right"/>
    </xf>
    <xf numFmtId="0" fontId="9" fillId="0" borderId="8" xfId="19" applyNumberFormat="1" applyFont="1" applyFill="1" applyBorder="1" applyAlignment="1">
      <alignment horizontal="right"/>
    </xf>
    <xf numFmtId="0" fontId="9" fillId="0" borderId="13" xfId="19" applyNumberFormat="1" applyFont="1" applyFill="1" applyBorder="1" applyAlignment="1">
      <alignment horizontal="right" wrapText="1"/>
    </xf>
    <xf numFmtId="17" fontId="9" fillId="0" borderId="0" xfId="19" applyNumberFormat="1" applyFont="1" applyFill="1" applyBorder="1" applyAlignment="1">
      <alignment horizontal="right"/>
    </xf>
    <xf numFmtId="0" fontId="9" fillId="0" borderId="6" xfId="19" applyNumberFormat="1" applyFont="1" applyFill="1" applyBorder="1" applyAlignment="1">
      <alignment horizontal="right" wrapText="1"/>
    </xf>
    <xf numFmtId="9" fontId="8" fillId="0" borderId="0" xfId="19" applyFont="1" applyFill="1" applyBorder="1" applyAlignment="1" applyProtection="1">
      <alignment horizontal="right"/>
    </xf>
    <xf numFmtId="173" fontId="9" fillId="0" borderId="6" xfId="19" applyNumberFormat="1" applyFont="1" applyFill="1" applyBorder="1" applyAlignment="1">
      <alignment horizontal="right"/>
    </xf>
    <xf numFmtId="0" fontId="26" fillId="0" borderId="0" xfId="6" applyNumberFormat="1" applyFont="1" applyFill="1" applyAlignment="1" applyProtection="1">
      <alignment vertical="top"/>
    </xf>
    <xf numFmtId="0" fontId="67" fillId="0" borderId="0" xfId="6" applyNumberFormat="1" applyFont="1" applyFill="1" applyAlignment="1" applyProtection="1">
      <alignment vertical="top"/>
    </xf>
    <xf numFmtId="170" fontId="9" fillId="0" borderId="4" xfId="19" applyNumberFormat="1" applyFont="1" applyFill="1" applyBorder="1" applyAlignment="1">
      <alignment horizontal="right"/>
    </xf>
    <xf numFmtId="173" fontId="9" fillId="0" borderId="43" xfId="19" applyNumberFormat="1" applyFont="1" applyFill="1" applyBorder="1" applyAlignment="1">
      <alignment horizontal="right"/>
    </xf>
    <xf numFmtId="0" fontId="67" fillId="0" borderId="0" xfId="6" applyNumberFormat="1" applyFont="1" applyFill="1" applyBorder="1" applyProtection="1"/>
    <xf numFmtId="0" fontId="67" fillId="0" borderId="0" xfId="6" applyNumberFormat="1" applyFont="1" applyFill="1" applyProtection="1"/>
    <xf numFmtId="0" fontId="67" fillId="0" borderId="0" xfId="6" applyNumberFormat="1" applyFont="1" applyFill="1" applyProtection="1">
      <protection locked="0"/>
    </xf>
    <xf numFmtId="0" fontId="5" fillId="0" borderId="0" xfId="17" applyNumberFormat="1" applyFont="1" applyFill="1"/>
    <xf numFmtId="0" fontId="67" fillId="0" borderId="0" xfId="6" applyFont="1" applyFill="1" applyAlignment="1" applyProtection="1">
      <alignment vertical="top"/>
      <protection locked="0"/>
    </xf>
    <xf numFmtId="0" fontId="67" fillId="0" borderId="6" xfId="6" applyFont="1" applyFill="1" applyBorder="1" applyProtection="1">
      <protection locked="0"/>
    </xf>
    <xf numFmtId="170" fontId="0" fillId="0" borderId="0" xfId="6" applyNumberFormat="1" applyFont="1" applyFill="1" applyProtection="1"/>
    <xf numFmtId="0" fontId="0" fillId="0" borderId="10" xfId="6" applyFont="1" applyFill="1" applyBorder="1" applyProtection="1">
      <protection locked="0"/>
    </xf>
    <xf numFmtId="170" fontId="8" fillId="0" borderId="4" xfId="6" applyNumberFormat="1" applyFont="1" applyFill="1" applyBorder="1" applyAlignment="1" applyProtection="1"/>
    <xf numFmtId="0" fontId="9" fillId="0" borderId="6" xfId="6" quotePrefix="1" applyFont="1" applyFill="1" applyBorder="1" applyAlignment="1" applyProtection="1">
      <alignment horizontal="right" wrapText="1"/>
    </xf>
    <xf numFmtId="3" fontId="9" fillId="0" borderId="6" xfId="6" quotePrefix="1" applyNumberFormat="1" applyFont="1" applyFill="1" applyBorder="1" applyAlignment="1">
      <alignment horizontal="right"/>
    </xf>
    <xf numFmtId="3" fontId="9" fillId="0" borderId="6" xfId="6" quotePrefix="1" applyNumberFormat="1" applyFont="1" applyFill="1" applyBorder="1" applyAlignment="1">
      <alignment horizontal="center"/>
    </xf>
    <xf numFmtId="0" fontId="8" fillId="0" borderId="4" xfId="6" applyFont="1" applyFill="1" applyBorder="1" applyAlignment="1" applyProtection="1">
      <alignment horizontal="right"/>
    </xf>
    <xf numFmtId="3" fontId="8" fillId="0" borderId="43" xfId="6" quotePrefix="1" applyNumberFormat="1" applyFont="1" applyFill="1" applyBorder="1" applyAlignment="1">
      <alignment horizontal="center"/>
    </xf>
    <xf numFmtId="0" fontId="3" fillId="0" borderId="0" xfId="6" applyFont="1" applyFill="1" applyBorder="1" applyAlignment="1" applyProtection="1">
      <alignment vertical="top"/>
    </xf>
    <xf numFmtId="0" fontId="3" fillId="0" borderId="0" xfId="6" applyFont="1" applyFill="1" applyBorder="1" applyProtection="1"/>
    <xf numFmtId="170" fontId="9" fillId="0" borderId="10" xfId="6" applyNumberFormat="1" applyFont="1" applyFill="1" applyBorder="1" applyAlignment="1" applyProtection="1">
      <alignment horizontal="right"/>
    </xf>
    <xf numFmtId="0" fontId="9" fillId="0" borderId="11" xfId="6" applyFont="1" applyFill="1" applyBorder="1" applyAlignment="1" applyProtection="1">
      <alignment horizontal="right" wrapText="1"/>
    </xf>
    <xf numFmtId="0" fontId="9" fillId="0" borderId="10" xfId="6" applyFont="1" applyFill="1" applyBorder="1" applyAlignment="1" applyProtection="1">
      <alignment horizontal="right" wrapText="1"/>
    </xf>
    <xf numFmtId="0" fontId="9" fillId="0" borderId="11" xfId="6" applyFont="1" applyFill="1" applyBorder="1" applyAlignment="1" applyProtection="1">
      <alignment horizontal="right"/>
    </xf>
    <xf numFmtId="3" fontId="9" fillId="0" borderId="43" xfId="6" applyNumberFormat="1" applyFont="1" applyFill="1" applyBorder="1" applyAlignment="1">
      <alignment horizontal="right"/>
    </xf>
    <xf numFmtId="3" fontId="9" fillId="0" borderId="4" xfId="6" applyNumberFormat="1" applyFont="1" applyFill="1" applyBorder="1" applyAlignment="1">
      <alignment horizontal="right"/>
    </xf>
    <xf numFmtId="176" fontId="9" fillId="0" borderId="43" xfId="6" applyNumberFormat="1" applyFont="1" applyFill="1" applyBorder="1" applyAlignment="1">
      <alignment horizontal="right"/>
    </xf>
    <xf numFmtId="170" fontId="8" fillId="0" borderId="0" xfId="6" applyNumberFormat="1" applyFont="1" applyFill="1" applyBorder="1" applyAlignment="1" applyProtection="1"/>
    <xf numFmtId="0" fontId="8" fillId="0" borderId="8" xfId="6" applyFont="1" applyFill="1" applyBorder="1" applyProtection="1"/>
    <xf numFmtId="0" fontId="8" fillId="0" borderId="8" xfId="6" applyNumberFormat="1" applyFont="1" applyFill="1" applyBorder="1" applyAlignment="1" applyProtection="1">
      <alignment horizontal="right" wrapText="1"/>
    </xf>
    <xf numFmtId="0" fontId="15" fillId="0" borderId="6" xfId="6" applyFont="1" applyFill="1" applyBorder="1" applyAlignment="1" applyProtection="1">
      <alignment horizontal="center"/>
      <protection locked="0"/>
    </xf>
    <xf numFmtId="0" fontId="15" fillId="0" borderId="43" xfId="6" applyFont="1" applyFill="1" applyBorder="1" applyAlignment="1" applyProtection="1">
      <alignment horizontal="center"/>
      <protection locked="0"/>
    </xf>
    <xf numFmtId="172" fontId="0" fillId="0" borderId="0" xfId="6" applyNumberFormat="1" applyFont="1" applyFill="1" applyBorder="1" applyProtection="1">
      <protection locked="0"/>
    </xf>
    <xf numFmtId="0" fontId="0" fillId="0" borderId="0" xfId="6" applyFont="1" applyFill="1" applyBorder="1" applyAlignment="1" applyProtection="1">
      <alignment horizontal="center"/>
      <protection locked="0"/>
    </xf>
    <xf numFmtId="0" fontId="8" fillId="0" borderId="29" xfId="6" applyFont="1" applyFill="1" applyBorder="1" applyAlignment="1" applyProtection="1">
      <alignment horizontal="left" vertical="center"/>
      <protection locked="0"/>
    </xf>
    <xf numFmtId="0" fontId="8" fillId="0" borderId="6" xfId="6" applyFont="1" applyFill="1" applyBorder="1" applyAlignment="1" applyProtection="1">
      <alignment vertical="center"/>
      <protection locked="0"/>
    </xf>
    <xf numFmtId="0" fontId="8" fillId="0" borderId="0" xfId="6" applyFont="1" applyFill="1" applyBorder="1" applyAlignment="1" applyProtection="1">
      <alignment vertical="center"/>
      <protection locked="0"/>
    </xf>
    <xf numFmtId="0" fontId="8" fillId="0" borderId="0" xfId="6" applyFont="1" applyFill="1" applyBorder="1" applyAlignment="1" applyProtection="1">
      <alignment vertical="center" wrapText="1"/>
    </xf>
    <xf numFmtId="0" fontId="8" fillId="0" borderId="0" xfId="6" applyFont="1" applyFill="1" applyBorder="1" applyAlignment="1" applyProtection="1">
      <alignment horizontal="left" vertical="center"/>
    </xf>
    <xf numFmtId="0" fontId="8" fillId="0" borderId="0" xfId="6" applyFont="1" applyFill="1" applyBorder="1" applyAlignment="1" applyProtection="1">
      <alignment horizontal="right" vertical="center"/>
      <protection locked="0"/>
    </xf>
    <xf numFmtId="0" fontId="8" fillId="0" borderId="0" xfId="6" applyFont="1" applyFill="1" applyBorder="1" applyAlignment="1" applyProtection="1">
      <alignment horizontal="right" vertical="center" wrapText="1"/>
    </xf>
    <xf numFmtId="0" fontId="8" fillId="0" borderId="6" xfId="6" applyFont="1" applyFill="1" applyBorder="1" applyAlignment="1" applyProtection="1">
      <alignment horizontal="right" vertical="center" wrapText="1"/>
    </xf>
    <xf numFmtId="2" fontId="9" fillId="0" borderId="0" xfId="6" applyNumberFormat="1" applyFont="1" applyFill="1" applyBorder="1" applyAlignment="1" applyProtection="1">
      <alignment horizontal="right"/>
      <protection locked="0"/>
    </xf>
    <xf numFmtId="2" fontId="9" fillId="0" borderId="6" xfId="6" applyNumberFormat="1" applyFont="1" applyFill="1" applyBorder="1" applyAlignment="1" applyProtection="1">
      <alignment horizontal="right"/>
      <protection locked="0"/>
    </xf>
    <xf numFmtId="0" fontId="8" fillId="0" borderId="43" xfId="6" applyFont="1" applyFill="1" applyBorder="1" applyAlignment="1" applyProtection="1">
      <alignment horizontal="right"/>
    </xf>
    <xf numFmtId="2" fontId="8" fillId="0" borderId="4" xfId="6" applyNumberFormat="1" applyFont="1" applyFill="1" applyBorder="1" applyAlignment="1" applyProtection="1">
      <alignment horizontal="right"/>
    </xf>
    <xf numFmtId="2" fontId="8" fillId="0" borderId="4" xfId="6" applyNumberFormat="1" applyFont="1" applyFill="1" applyBorder="1" applyAlignment="1" applyProtection="1">
      <alignment horizontal="right"/>
      <protection locked="0"/>
    </xf>
    <xf numFmtId="2" fontId="8" fillId="0" borderId="43" xfId="6" applyNumberFormat="1" applyFont="1" applyFill="1" applyBorder="1" applyAlignment="1" applyProtection="1">
      <alignment horizontal="right"/>
    </xf>
    <xf numFmtId="2" fontId="8" fillId="0" borderId="0" xfId="6" applyNumberFormat="1" applyFont="1" applyFill="1" applyBorder="1" applyAlignment="1" applyProtection="1">
      <alignment horizontal="right"/>
    </xf>
    <xf numFmtId="165" fontId="8" fillId="0" borderId="0" xfId="6" applyNumberFormat="1" applyFont="1" applyFill="1" applyBorder="1" applyAlignment="1" applyProtection="1">
      <alignment horizontal="right"/>
      <protection locked="0"/>
    </xf>
    <xf numFmtId="172" fontId="0" fillId="0" borderId="0" xfId="6" applyNumberFormat="1" applyFont="1" applyFill="1" applyProtection="1">
      <protection locked="0"/>
    </xf>
    <xf numFmtId="0" fontId="8" fillId="0" borderId="4" xfId="6" applyFont="1" applyFill="1" applyBorder="1" applyProtection="1">
      <protection locked="0"/>
    </xf>
    <xf numFmtId="0" fontId="8" fillId="0" borderId="47" xfId="6" applyFont="1" applyFill="1" applyBorder="1" applyProtection="1"/>
    <xf numFmtId="0" fontId="92" fillId="0" borderId="0" xfId="6" applyFont="1" applyFill="1" applyAlignment="1" applyProtection="1">
      <alignment horizontal="right" vertical="top"/>
    </xf>
    <xf numFmtId="0" fontId="89" fillId="0" borderId="0" xfId="6" applyFont="1" applyFill="1" applyProtection="1">
      <protection locked="0"/>
    </xf>
    <xf numFmtId="0" fontId="8" fillId="0" borderId="0" xfId="6" applyFont="1" applyFill="1" applyAlignment="1" applyProtection="1">
      <alignment vertical="top"/>
    </xf>
    <xf numFmtId="0" fontId="92" fillId="0" borderId="0" xfId="6" applyFont="1" applyFill="1" applyBorder="1" applyAlignment="1" applyProtection="1">
      <alignment horizontal="right" vertical="top"/>
    </xf>
    <xf numFmtId="0" fontId="9" fillId="0" borderId="8" xfId="6" applyFont="1" applyFill="1" applyBorder="1" applyAlignment="1" applyProtection="1">
      <alignment horizontal="left" wrapText="1"/>
    </xf>
    <xf numFmtId="0" fontId="9" fillId="0" borderId="8" xfId="6" applyFont="1" applyFill="1" applyBorder="1" applyAlignment="1" applyProtection="1">
      <alignment horizontal="right" wrapText="1"/>
    </xf>
    <xf numFmtId="0" fontId="9" fillId="0" borderId="4" xfId="6" applyFont="1" applyFill="1" applyBorder="1" applyAlignment="1" applyProtection="1">
      <alignment horizontal="left" wrapText="1"/>
    </xf>
    <xf numFmtId="0" fontId="9" fillId="0" borderId="0" xfId="2" applyNumberFormat="1" applyFont="1" applyFill="1" applyBorder="1" applyAlignment="1" applyProtection="1">
      <alignment horizontal="right" wrapText="1"/>
    </xf>
    <xf numFmtId="173" fontId="9" fillId="0" borderId="0" xfId="2" applyNumberFormat="1" applyFont="1" applyFill="1" applyBorder="1" applyAlignment="1" applyProtection="1">
      <alignment horizontal="right" wrapText="1"/>
    </xf>
    <xf numFmtId="9" fontId="9" fillId="0" borderId="0" xfId="2" applyFont="1" applyFill="1" applyBorder="1" applyAlignment="1" applyProtection="1">
      <alignment horizontal="right"/>
      <protection locked="0"/>
    </xf>
    <xf numFmtId="0" fontId="9" fillId="0" borderId="8" xfId="2" applyNumberFormat="1" applyFont="1" applyFill="1" applyBorder="1" applyAlignment="1" applyProtection="1">
      <alignment horizontal="right"/>
    </xf>
    <xf numFmtId="173" fontId="9" fillId="0" borderId="8" xfId="2" applyNumberFormat="1" applyFont="1" applyFill="1" applyBorder="1" applyAlignment="1" applyProtection="1">
      <alignment horizontal="right" wrapText="1"/>
    </xf>
    <xf numFmtId="0" fontId="9" fillId="0" borderId="4" xfId="2" applyNumberFormat="1" applyFont="1" applyFill="1" applyBorder="1" applyAlignment="1" applyProtection="1">
      <alignment horizontal="right"/>
    </xf>
    <xf numFmtId="173" fontId="9" fillId="0" borderId="4" xfId="2" applyNumberFormat="1" applyFont="1" applyFill="1" applyBorder="1" applyAlignment="1" applyProtection="1">
      <alignment horizontal="right" wrapText="1"/>
    </xf>
    <xf numFmtId="173" fontId="8" fillId="0" borderId="0" xfId="19" applyNumberFormat="1" applyFont="1" applyFill="1" applyBorder="1" applyAlignment="1" applyProtection="1">
      <alignment horizontal="right"/>
    </xf>
    <xf numFmtId="173" fontId="8" fillId="0" borderId="0" xfId="2" applyNumberFormat="1" applyFont="1" applyFill="1" applyBorder="1" applyAlignment="1" applyProtection="1">
      <alignment horizontal="right" wrapText="1"/>
    </xf>
    <xf numFmtId="9" fontId="8" fillId="0" borderId="0" xfId="2" applyFont="1" applyFill="1" applyBorder="1" applyAlignment="1" applyProtection="1">
      <alignment horizontal="right" wrapText="1"/>
    </xf>
    <xf numFmtId="0" fontId="25" fillId="0" borderId="0" xfId="6" applyFont="1" applyFill="1" applyAlignment="1" applyProtection="1">
      <alignment vertical="top"/>
      <protection locked="0"/>
    </xf>
    <xf numFmtId="9" fontId="7" fillId="0" borderId="0" xfId="19" applyFont="1" applyFill="1" applyProtection="1">
      <protection locked="0"/>
    </xf>
    <xf numFmtId="3" fontId="7" fillId="0" borderId="0" xfId="6" applyNumberFormat="1" applyFont="1" applyFill="1" applyProtection="1">
      <protection locked="0"/>
    </xf>
    <xf numFmtId="0" fontId="91" fillId="0" borderId="0" xfId="17" applyFont="1" applyFill="1"/>
    <xf numFmtId="173" fontId="7" fillId="0" borderId="0" xfId="19" applyNumberFormat="1" applyFont="1" applyFill="1" applyProtection="1">
      <protection locked="0"/>
    </xf>
    <xf numFmtId="0" fontId="19" fillId="0" borderId="5" xfId="6" applyFont="1" applyFill="1" applyBorder="1" applyProtection="1"/>
    <xf numFmtId="0" fontId="41" fillId="0" borderId="0" xfId="6" applyFont="1" applyFill="1" applyAlignment="1" applyProtection="1">
      <alignment horizontal="right"/>
    </xf>
    <xf numFmtId="169" fontId="9" fillId="0" borderId="0" xfId="32" applyNumberFormat="1" applyFont="1" applyFill="1" applyBorder="1" applyAlignment="1" applyProtection="1">
      <alignment horizontal="right"/>
    </xf>
    <xf numFmtId="3" fontId="9" fillId="0" borderId="0" xfId="17" applyNumberFormat="1" applyFont="1" applyFill="1" applyBorder="1"/>
    <xf numFmtId="165" fontId="9" fillId="0" borderId="0" xfId="17" applyNumberFormat="1" applyFont="1" applyFill="1" applyBorder="1"/>
    <xf numFmtId="169" fontId="19" fillId="0" borderId="0" xfId="32" applyNumberFormat="1" applyFont="1" applyFill="1" applyBorder="1" applyAlignment="1" applyProtection="1">
      <alignment horizontal="right"/>
    </xf>
    <xf numFmtId="0" fontId="13" fillId="0" borderId="0" xfId="6" applyFont="1" applyFill="1" applyAlignment="1" applyProtection="1">
      <alignment vertical="top"/>
    </xf>
    <xf numFmtId="0" fontId="14" fillId="0" borderId="0" xfId="6" applyFont="1" applyFill="1" applyAlignment="1" applyProtection="1">
      <alignment vertical="top"/>
    </xf>
    <xf numFmtId="0" fontId="15" fillId="0" borderId="0" xfId="6" applyFont="1" applyFill="1" applyBorder="1" applyAlignment="1" applyProtection="1">
      <alignment horizontal="right" wrapText="1"/>
    </xf>
    <xf numFmtId="169" fontId="14" fillId="0" borderId="0" xfId="32" applyNumberFormat="1" applyFont="1" applyFill="1" applyBorder="1" applyAlignment="1" applyProtection="1">
      <alignment horizontal="right"/>
    </xf>
    <xf numFmtId="0" fontId="14" fillId="0" borderId="0" xfId="17" applyFont="1" applyFill="1" applyBorder="1"/>
    <xf numFmtId="3" fontId="14" fillId="0" borderId="0" xfId="17" applyNumberFormat="1" applyFont="1" applyFill="1" applyBorder="1"/>
    <xf numFmtId="0" fontId="14" fillId="0" borderId="0" xfId="6" applyFont="1" applyFill="1" applyBorder="1" applyProtection="1">
      <protection locked="0"/>
    </xf>
    <xf numFmtId="165" fontId="14" fillId="0" borderId="0" xfId="17" applyNumberFormat="1" applyFont="1" applyFill="1" applyBorder="1"/>
    <xf numFmtId="0" fontId="14" fillId="0" borderId="0" xfId="6" applyFont="1" applyFill="1" applyProtection="1">
      <protection locked="0"/>
    </xf>
    <xf numFmtId="169" fontId="19" fillId="0" borderId="0" xfId="6" applyNumberFormat="1" applyFont="1" applyFill="1" applyBorder="1" applyAlignment="1" applyProtection="1">
      <alignment horizontal="right"/>
    </xf>
    <xf numFmtId="0" fontId="15" fillId="0" borderId="4" xfId="6" applyFont="1" applyFill="1" applyBorder="1" applyAlignment="1" applyProtection="1">
      <alignment horizontal="right" wrapText="1"/>
    </xf>
    <xf numFmtId="169" fontId="14" fillId="0" borderId="4" xfId="6" applyNumberFormat="1" applyFont="1" applyFill="1" applyBorder="1" applyAlignment="1" applyProtection="1">
      <alignment horizontal="right"/>
    </xf>
    <xf numFmtId="0" fontId="14" fillId="0" borderId="4" xfId="17" applyFont="1" applyFill="1" applyBorder="1"/>
    <xf numFmtId="3" fontId="14" fillId="0" borderId="4" xfId="17" applyNumberFormat="1" applyFont="1" applyFill="1" applyBorder="1"/>
    <xf numFmtId="0" fontId="14" fillId="0" borderId="4" xfId="6" applyFont="1" applyFill="1" applyBorder="1" applyProtection="1">
      <protection locked="0"/>
    </xf>
    <xf numFmtId="165" fontId="14" fillId="0" borderId="4" xfId="17" applyNumberFormat="1" applyFont="1" applyFill="1" applyBorder="1"/>
    <xf numFmtId="3" fontId="19" fillId="0" borderId="0" xfId="17" applyNumberFormat="1" applyFont="1" applyFill="1" applyBorder="1"/>
    <xf numFmtId="169" fontId="19" fillId="0" borderId="4" xfId="6" applyNumberFormat="1" applyFont="1" applyFill="1" applyBorder="1" applyAlignment="1" applyProtection="1">
      <alignment horizontal="right"/>
    </xf>
    <xf numFmtId="3" fontId="19" fillId="0" borderId="4" xfId="17" applyNumberFormat="1" applyFont="1" applyFill="1" applyBorder="1"/>
    <xf numFmtId="0" fontId="90" fillId="0" borderId="0" xfId="6" applyFont="1" applyFill="1" applyProtection="1">
      <protection locked="0"/>
    </xf>
    <xf numFmtId="0" fontId="9" fillId="0" borderId="5" xfId="6" applyFont="1" applyFill="1" applyBorder="1" applyAlignment="1" applyProtection="1">
      <alignment horizontal="left"/>
    </xf>
    <xf numFmtId="0" fontId="12" fillId="0" borderId="5" xfId="6" applyFont="1" applyFill="1" applyBorder="1" applyAlignment="1" applyProtection="1">
      <alignment horizontal="right"/>
    </xf>
    <xf numFmtId="171" fontId="13" fillId="0" borderId="0" xfId="6" applyNumberFormat="1" applyFont="1" applyFill="1" applyBorder="1" applyAlignment="1"/>
    <xf numFmtId="171" fontId="57" fillId="0" borderId="0" xfId="6" applyNumberFormat="1" applyFont="1" applyFill="1" applyBorder="1" applyAlignment="1"/>
    <xf numFmtId="173" fontId="9" fillId="0" borderId="8" xfId="19" applyNumberFormat="1" applyFont="1" applyFill="1" applyBorder="1" applyAlignment="1" applyProtection="1">
      <alignment horizontal="right" wrapText="1"/>
    </xf>
    <xf numFmtId="173" fontId="9" fillId="0" borderId="13" xfId="19" applyNumberFormat="1" applyFont="1" applyFill="1" applyBorder="1" applyAlignment="1" applyProtection="1">
      <alignment horizontal="right"/>
    </xf>
    <xf numFmtId="173" fontId="15" fillId="0" borderId="8" xfId="19" applyNumberFormat="1" applyFont="1" applyFill="1" applyBorder="1" applyAlignment="1" applyProtection="1">
      <alignment horizontal="right" wrapText="1"/>
    </xf>
    <xf numFmtId="173" fontId="15" fillId="0" borderId="13" xfId="19" applyNumberFormat="1" applyFont="1" applyFill="1" applyBorder="1" applyAlignment="1" applyProtection="1">
      <alignment horizontal="right"/>
    </xf>
    <xf numFmtId="170" fontId="57" fillId="0" borderId="0" xfId="6" applyNumberFormat="1" applyFont="1" applyFill="1" applyBorder="1" applyAlignment="1"/>
    <xf numFmtId="173" fontId="15" fillId="0" borderId="6" xfId="19" applyNumberFormat="1" applyFont="1" applyFill="1" applyBorder="1" applyAlignment="1" applyProtection="1">
      <alignment horizontal="right"/>
    </xf>
    <xf numFmtId="170" fontId="9" fillId="0" borderId="8" xfId="19" applyNumberFormat="1" applyFont="1" applyFill="1" applyBorder="1" applyAlignment="1" applyProtection="1">
      <alignment horizontal="right"/>
    </xf>
    <xf numFmtId="170" fontId="57" fillId="0" borderId="8" xfId="6" applyNumberFormat="1" applyFont="1" applyFill="1" applyBorder="1" applyAlignment="1"/>
    <xf numFmtId="0" fontId="25" fillId="0" borderId="0" xfId="6" applyFont="1" applyFill="1" applyBorder="1" applyAlignment="1" applyProtection="1">
      <alignment vertical="top"/>
      <protection locked="0"/>
    </xf>
    <xf numFmtId="0" fontId="6" fillId="0" borderId="0" xfId="6" applyNumberFormat="1" applyFont="1" applyFill="1" applyAlignment="1" applyProtection="1">
      <alignment vertical="top"/>
    </xf>
    <xf numFmtId="0" fontId="0" fillId="0" borderId="0" xfId="6" applyNumberFormat="1" applyFont="1" applyFill="1" applyAlignment="1" applyProtection="1">
      <alignment vertical="top"/>
    </xf>
    <xf numFmtId="0" fontId="8" fillId="0" borderId="5" xfId="6" applyNumberFormat="1" applyFont="1" applyFill="1" applyBorder="1" applyProtection="1"/>
    <xf numFmtId="0" fontId="8" fillId="0" borderId="5" xfId="6" applyNumberFormat="1" applyFont="1" applyFill="1" applyBorder="1" applyAlignment="1" applyProtection="1">
      <alignment horizontal="right"/>
    </xf>
    <xf numFmtId="0" fontId="0" fillId="0" borderId="0" xfId="6" applyNumberFormat="1" applyFont="1" applyFill="1" applyProtection="1">
      <protection locked="0"/>
    </xf>
    <xf numFmtId="177" fontId="9" fillId="0" borderId="8" xfId="6" applyNumberFormat="1" applyFont="1" applyFill="1" applyBorder="1" applyProtection="1"/>
    <xf numFmtId="177" fontId="9" fillId="0" borderId="0" xfId="6" applyNumberFormat="1" applyFont="1" applyFill="1" applyBorder="1" applyProtection="1"/>
    <xf numFmtId="177" fontId="9" fillId="0" borderId="4" xfId="6" applyNumberFormat="1" applyFont="1" applyFill="1" applyBorder="1" applyProtection="1"/>
    <xf numFmtId="0" fontId="5" fillId="0" borderId="4" xfId="6" applyFont="1" applyFill="1" applyBorder="1" applyProtection="1">
      <protection locked="0"/>
    </xf>
    <xf numFmtId="0" fontId="8" fillId="0" borderId="0" xfId="6" applyNumberFormat="1" applyFont="1" applyFill="1" applyBorder="1" applyProtection="1"/>
    <xf numFmtId="0" fontId="8" fillId="0" borderId="0" xfId="6" applyNumberFormat="1" applyFont="1" applyFill="1" applyBorder="1" applyAlignment="1" applyProtection="1">
      <alignment horizontal="right"/>
    </xf>
    <xf numFmtId="2" fontId="9" fillId="0" borderId="0" xfId="31" applyNumberFormat="1" applyFont="1" applyFill="1" applyBorder="1"/>
    <xf numFmtId="2" fontId="9" fillId="0" borderId="0" xfId="31" applyNumberFormat="1" applyFont="1" applyFill="1" applyBorder="1" applyAlignment="1">
      <alignment horizontal="right"/>
    </xf>
    <xf numFmtId="2" fontId="9" fillId="0" borderId="4" xfId="6" applyNumberFormat="1" applyFont="1" applyFill="1" applyBorder="1" applyProtection="1"/>
    <xf numFmtId="2" fontId="9" fillId="0" borderId="4" xfId="0" applyNumberFormat="1" applyFont="1" applyFill="1" applyBorder="1"/>
    <xf numFmtId="2" fontId="9" fillId="0" borderId="4" xfId="31" applyNumberFormat="1" applyFont="1" applyFill="1" applyBorder="1"/>
    <xf numFmtId="2" fontId="9" fillId="0" borderId="4" xfId="0" applyNumberFormat="1" applyFont="1" applyFill="1" applyBorder="1" applyAlignment="1">
      <alignment horizontal="right"/>
    </xf>
    <xf numFmtId="0" fontId="89" fillId="0" borderId="0" xfId="6" applyFont="1" applyFill="1" applyBorder="1" applyAlignment="1" applyProtection="1">
      <alignment vertical="top"/>
    </xf>
    <xf numFmtId="0" fontId="50" fillId="0" borderId="0" xfId="31" applyFont="1" applyFill="1"/>
    <xf numFmtId="0" fontId="24" fillId="0" borderId="0" xfId="31" applyFont="1" applyFill="1" applyBorder="1"/>
    <xf numFmtId="0" fontId="24" fillId="0" borderId="0" xfId="31" applyFont="1" applyFill="1" applyBorder="1" applyAlignment="1">
      <alignment horizontal="right"/>
    </xf>
    <xf numFmtId="0" fontId="9" fillId="0" borderId="0" xfId="31" applyFont="1" applyFill="1" applyBorder="1" applyAlignment="1" applyProtection="1">
      <alignment horizontal="left"/>
      <protection locked="0"/>
    </xf>
    <xf numFmtId="0" fontId="9" fillId="0" borderId="0" xfId="31" applyFont="1" applyFill="1" applyBorder="1" applyAlignment="1" applyProtection="1">
      <alignment horizontal="right"/>
      <protection locked="0"/>
    </xf>
    <xf numFmtId="165" fontId="9" fillId="0" borderId="0" xfId="31" applyNumberFormat="1" applyFont="1" applyFill="1" applyBorder="1"/>
    <xf numFmtId="0" fontId="9" fillId="0" borderId="0" xfId="31" applyFont="1" applyFill="1" applyBorder="1"/>
    <xf numFmtId="0" fontId="8" fillId="0" borderId="4" xfId="31" applyFont="1" applyFill="1" applyBorder="1"/>
    <xf numFmtId="0" fontId="8" fillId="0" borderId="4" xfId="31" applyFont="1" applyFill="1" applyBorder="1" applyAlignment="1" applyProtection="1">
      <alignment horizontal="right"/>
      <protection locked="0"/>
    </xf>
    <xf numFmtId="165" fontId="8" fillId="0" borderId="4" xfId="31" applyNumberFormat="1" applyFont="1" applyFill="1" applyBorder="1"/>
    <xf numFmtId="0" fontId="55" fillId="0" borderId="0" xfId="6" applyFont="1" applyFill="1" applyAlignment="1" applyProtection="1"/>
    <xf numFmtId="0" fontId="55" fillId="0" borderId="0" xfId="6" applyFont="1" applyFill="1" applyAlignment="1" applyProtection="1">
      <alignment vertical="top"/>
    </xf>
    <xf numFmtId="0" fontId="26" fillId="0" borderId="0" xfId="6" applyFont="1" applyFill="1" applyAlignment="1" applyProtection="1">
      <alignment vertical="top" wrapText="1"/>
    </xf>
    <xf numFmtId="0" fontId="55" fillId="0" borderId="0" xfId="6" applyFont="1" applyFill="1" applyBorder="1" applyAlignment="1" applyProtection="1">
      <alignment vertical="top"/>
    </xf>
    <xf numFmtId="165" fontId="0" fillId="0" borderId="0" xfId="6" applyNumberFormat="1" applyFont="1" applyFill="1" applyProtection="1">
      <protection locked="0"/>
    </xf>
    <xf numFmtId="173" fontId="5" fillId="0" borderId="0" xfId="19" applyNumberFormat="1" applyFill="1" applyProtection="1">
      <protection locked="0"/>
    </xf>
    <xf numFmtId="0" fontId="9" fillId="0" borderId="60" xfId="6" applyFont="1" applyFill="1" applyBorder="1"/>
    <xf numFmtId="0" fontId="9" fillId="0" borderId="21" xfId="6" applyFont="1" applyFill="1" applyBorder="1"/>
    <xf numFmtId="0" fontId="24" fillId="0" borderId="0" xfId="17" applyFont="1" applyFill="1"/>
    <xf numFmtId="0" fontId="24" fillId="0" borderId="24" xfId="17" applyFont="1" applyFill="1" applyBorder="1" applyAlignment="1">
      <alignment horizontal="right"/>
    </xf>
    <xf numFmtId="0" fontId="24" fillId="0" borderId="24" xfId="17" applyFont="1" applyFill="1" applyBorder="1" applyAlignment="1">
      <alignment horizontal="left"/>
    </xf>
    <xf numFmtId="0" fontId="24" fillId="0" borderId="24" xfId="17" applyFont="1" applyFill="1" applyBorder="1" applyAlignment="1">
      <alignment horizontal="center"/>
    </xf>
    <xf numFmtId="0" fontId="61" fillId="0" borderId="24" xfId="17" applyFont="1" applyFill="1" applyBorder="1" applyAlignment="1">
      <alignment horizontal="center"/>
    </xf>
    <xf numFmtId="0" fontId="5" fillId="0" borderId="24" xfId="17" applyFill="1" applyBorder="1" applyAlignment="1">
      <alignment horizontal="left"/>
    </xf>
    <xf numFmtId="0" fontId="5" fillId="0" borderId="24" xfId="17" applyFont="1" applyFill="1" applyBorder="1"/>
    <xf numFmtId="0" fontId="5" fillId="0" borderId="85" xfId="17" applyFill="1" applyBorder="1"/>
    <xf numFmtId="0" fontId="5" fillId="0" borderId="19" xfId="17" applyFill="1" applyBorder="1"/>
    <xf numFmtId="0" fontId="101" fillId="0" borderId="0" xfId="17" applyFont="1" applyFill="1"/>
    <xf numFmtId="0" fontId="5" fillId="0" borderId="24" xfId="17" applyFont="1" applyFill="1" applyBorder="1" applyAlignment="1">
      <alignment horizontal="left"/>
    </xf>
    <xf numFmtId="0" fontId="3" fillId="0" borderId="0" xfId="39" applyFont="1" applyFill="1"/>
    <xf numFmtId="0" fontId="1" fillId="0" borderId="0" xfId="39" applyFill="1"/>
    <xf numFmtId="0" fontId="5" fillId="0" borderId="24" xfId="40" applyFill="1" applyBorder="1"/>
    <xf numFmtId="0" fontId="5" fillId="0" borderId="38" xfId="40" applyFill="1" applyBorder="1"/>
    <xf numFmtId="0" fontId="5" fillId="0" borderId="18" xfId="40" applyFill="1" applyBorder="1"/>
    <xf numFmtId="0" fontId="5" fillId="0" borderId="18" xfId="17" applyFill="1" applyBorder="1"/>
    <xf numFmtId="0" fontId="5" fillId="0" borderId="38" xfId="17" applyFill="1" applyBorder="1"/>
    <xf numFmtId="0" fontId="5" fillId="0" borderId="38" xfId="17" applyFont="1" applyFill="1" applyBorder="1"/>
    <xf numFmtId="0" fontId="5" fillId="0" borderId="18" xfId="17" applyFont="1" applyFill="1" applyBorder="1"/>
    <xf numFmtId="0" fontId="75" fillId="0" borderId="0" xfId="6" applyFont="1" applyFill="1" applyBorder="1"/>
    <xf numFmtId="0" fontId="92" fillId="0" borderId="5" xfId="6" applyFont="1" applyFill="1" applyBorder="1" applyAlignment="1"/>
    <xf numFmtId="0" fontId="92" fillId="0" borderId="0" xfId="6" applyFont="1" applyFill="1" applyAlignment="1"/>
    <xf numFmtId="3" fontId="7" fillId="0" borderId="0" xfId="6" applyNumberFormat="1" applyFont="1" applyFill="1"/>
    <xf numFmtId="0" fontId="119" fillId="0" borderId="0" xfId="6" applyFont="1" applyFill="1" applyAlignment="1"/>
    <xf numFmtId="0" fontId="7" fillId="0" borderId="29" xfId="6" applyFont="1" applyFill="1" applyBorder="1"/>
    <xf numFmtId="1" fontId="50" fillId="0" borderId="0" xfId="6" applyNumberFormat="1" applyFont="1" applyFill="1" applyBorder="1" applyAlignment="1">
      <alignment horizontal="right"/>
    </xf>
    <xf numFmtId="206" fontId="9" fillId="0" borderId="0" xfId="6" applyNumberFormat="1" applyFont="1" applyFill="1" applyBorder="1" applyAlignment="1">
      <alignment horizontal="right"/>
    </xf>
    <xf numFmtId="206" fontId="9" fillId="0" borderId="4" xfId="6" applyNumberFormat="1" applyFont="1" applyFill="1" applyBorder="1" applyAlignment="1">
      <alignment horizontal="right"/>
    </xf>
    <xf numFmtId="0" fontId="7" fillId="0" borderId="4" xfId="6" applyFont="1" applyFill="1" applyBorder="1"/>
    <xf numFmtId="0" fontId="24" fillId="0" borderId="0" xfId="17" applyFont="1" applyFill="1" applyBorder="1" applyAlignment="1">
      <alignment horizontal="right"/>
    </xf>
    <xf numFmtId="0" fontId="24" fillId="0" borderId="0" xfId="17" applyFont="1" applyFill="1" applyBorder="1" applyAlignment="1">
      <alignment horizontal="left"/>
    </xf>
    <xf numFmtId="0" fontId="24" fillId="0" borderId="0" xfId="17" applyFont="1" applyFill="1" applyBorder="1" applyAlignment="1">
      <alignment horizontal="center"/>
    </xf>
    <xf numFmtId="0" fontId="61" fillId="0" borderId="0" xfId="17" applyFont="1" applyFill="1" applyBorder="1" applyAlignment="1">
      <alignment horizontal="center"/>
    </xf>
    <xf numFmtId="0" fontId="101" fillId="0" borderId="0" xfId="17" applyFont="1" applyFill="1" applyBorder="1"/>
    <xf numFmtId="0" fontId="3" fillId="0" borderId="0" xfId="39" applyFont="1" applyFill="1" applyBorder="1"/>
    <xf numFmtId="0" fontId="1" fillId="0" borderId="0" xfId="39" applyFill="1" applyBorder="1"/>
    <xf numFmtId="0" fontId="55" fillId="0" borderId="0" xfId="6" applyFont="1" applyFill="1" applyAlignment="1"/>
    <xf numFmtId="0" fontId="8" fillId="0" borderId="2" xfId="6" applyFont="1" applyFill="1" applyBorder="1" applyAlignment="1">
      <alignment horizontal="right"/>
    </xf>
    <xf numFmtId="0" fontId="41" fillId="0" borderId="5" xfId="6" applyFont="1" applyFill="1" applyBorder="1" applyAlignment="1">
      <alignment horizontal="right" vertical="center"/>
    </xf>
    <xf numFmtId="0" fontId="9" fillId="0" borderId="0" xfId="6" applyFont="1" applyFill="1" applyBorder="1" applyAlignment="1">
      <alignment vertical="center"/>
    </xf>
    <xf numFmtId="0" fontId="9" fillId="0" borderId="4" xfId="6" applyFont="1" applyFill="1" applyBorder="1" applyAlignment="1">
      <alignment vertical="center"/>
    </xf>
    <xf numFmtId="0" fontId="117" fillId="0" borderId="0" xfId="35" applyFont="1" applyFill="1" applyAlignment="1" applyProtection="1"/>
    <xf numFmtId="0" fontId="9" fillId="0" borderId="19" xfId="17" applyFont="1" applyFill="1" applyBorder="1"/>
    <xf numFmtId="0" fontId="9" fillId="0" borderId="21" xfId="17" applyFont="1" applyFill="1" applyBorder="1"/>
    <xf numFmtId="0" fontId="9" fillId="0" borderId="4" xfId="17" applyFont="1" applyFill="1" applyBorder="1"/>
    <xf numFmtId="0" fontId="3" fillId="0" borderId="0" xfId="17" applyFont="1" applyFill="1" applyBorder="1"/>
    <xf numFmtId="0" fontId="116" fillId="0" borderId="0" xfId="6" applyFont="1" applyFill="1" applyAlignment="1">
      <alignment vertical="top"/>
    </xf>
    <xf numFmtId="0" fontId="11" fillId="0" borderId="4" xfId="17" applyFont="1" applyFill="1" applyBorder="1" applyAlignment="1">
      <alignment horizontal="left"/>
    </xf>
    <xf numFmtId="0" fontId="11" fillId="0" borderId="4" xfId="17" applyFont="1" applyFill="1" applyBorder="1" applyAlignment="1">
      <alignment horizontal="right"/>
    </xf>
    <xf numFmtId="0" fontId="57" fillId="0" borderId="4" xfId="17" applyFont="1" applyFill="1" applyBorder="1" applyAlignment="1">
      <alignment horizontal="right"/>
    </xf>
    <xf numFmtId="0" fontId="57" fillId="0" borderId="0" xfId="17" applyFont="1" applyFill="1" applyBorder="1" applyAlignment="1">
      <alignment horizontal="right"/>
    </xf>
    <xf numFmtId="0" fontId="11" fillId="0" borderId="0" xfId="17" applyFont="1" applyFill="1" applyBorder="1" applyAlignment="1">
      <alignment horizontal="left"/>
    </xf>
    <xf numFmtId="0" fontId="11" fillId="0" borderId="0" xfId="17" applyFont="1" applyFill="1" applyBorder="1" applyAlignment="1">
      <alignment horizontal="right"/>
    </xf>
    <xf numFmtId="0" fontId="24" fillId="0" borderId="0" xfId="6" applyFont="1" applyFill="1" applyBorder="1" applyAlignment="1">
      <alignment horizontal="left"/>
    </xf>
    <xf numFmtId="0" fontId="9" fillId="0" borderId="6" xfId="15" applyFont="1" applyFill="1" applyBorder="1" applyAlignment="1">
      <alignment horizontal="right"/>
    </xf>
    <xf numFmtId="0" fontId="9" fillId="0" borderId="11" xfId="15" applyFont="1" applyFill="1" applyBorder="1" applyAlignment="1">
      <alignment horizontal="right"/>
    </xf>
    <xf numFmtId="0" fontId="9" fillId="0" borderId="82" xfId="15" applyFont="1" applyFill="1" applyBorder="1" applyAlignment="1">
      <alignment horizontal="right"/>
    </xf>
    <xf numFmtId="0" fontId="9" fillId="0" borderId="10" xfId="15" applyFont="1" applyFill="1" applyBorder="1" applyAlignment="1">
      <alignment horizontal="right"/>
    </xf>
    <xf numFmtId="0" fontId="9" fillId="0" borderId="13" xfId="15" applyFont="1" applyFill="1" applyBorder="1" applyAlignment="1">
      <alignment horizontal="right"/>
    </xf>
    <xf numFmtId="0" fontId="9" fillId="0" borderId="52" xfId="15" applyFont="1" applyFill="1" applyBorder="1" applyAlignment="1">
      <alignment horizontal="right"/>
    </xf>
    <xf numFmtId="0" fontId="24" fillId="0" borderId="0" xfId="6" applyFont="1" applyFill="1" applyAlignment="1">
      <alignment horizontal="right"/>
    </xf>
    <xf numFmtId="0" fontId="7" fillId="0" borderId="0" xfId="6" applyFont="1" applyFill="1" applyBorder="1" applyAlignment="1">
      <alignment horizontal="right"/>
    </xf>
    <xf numFmtId="0" fontId="115" fillId="0" borderId="0" xfId="6" applyFont="1" applyFill="1" applyBorder="1" applyAlignment="1">
      <alignment horizontal="left"/>
    </xf>
    <xf numFmtId="0" fontId="9" fillId="0" borderId="29" xfId="6" applyFont="1" applyFill="1" applyBorder="1" applyAlignment="1">
      <alignment horizontal="right" wrapText="1"/>
    </xf>
    <xf numFmtId="0" fontId="9" fillId="0" borderId="56" xfId="6" applyFont="1" applyFill="1" applyBorder="1" applyAlignment="1">
      <alignment horizontal="right" wrapText="1"/>
    </xf>
    <xf numFmtId="0" fontId="115" fillId="0" borderId="0" xfId="6" applyFont="1" applyFill="1" applyBorder="1" applyAlignment="1">
      <alignment horizontal="right"/>
    </xf>
    <xf numFmtId="0" fontId="26" fillId="0" borderId="0" xfId="6" applyFont="1" applyFill="1"/>
    <xf numFmtId="0" fontId="26" fillId="0" borderId="0" xfId="6" applyFont="1" applyFill="1" applyAlignment="1">
      <alignment vertical="top" wrapText="1"/>
    </xf>
    <xf numFmtId="0" fontId="75" fillId="0" borderId="0" xfId="6" applyFont="1" applyFill="1"/>
    <xf numFmtId="0" fontId="39" fillId="0" borderId="5" xfId="6" applyFont="1" applyFill="1" applyBorder="1"/>
    <xf numFmtId="0" fontId="9" fillId="0" borderId="3" xfId="7" applyFont="1" applyFill="1" applyBorder="1" applyAlignment="1" applyProtection="1">
      <alignment wrapText="1"/>
      <protection locked="0"/>
    </xf>
    <xf numFmtId="0" fontId="0" fillId="0" borderId="3" xfId="7" applyFont="1" applyFill="1" applyBorder="1" applyAlignment="1" applyProtection="1">
      <alignment wrapText="1"/>
      <protection locked="0"/>
    </xf>
    <xf numFmtId="0" fontId="5" fillId="0" borderId="3" xfId="7" applyFont="1" applyFill="1" applyBorder="1" applyAlignment="1" applyProtection="1">
      <alignment wrapText="1"/>
      <protection locked="0"/>
    </xf>
    <xf numFmtId="165" fontId="9" fillId="0" borderId="8" xfId="6" applyNumberFormat="1" applyFont="1" applyFill="1" applyBorder="1" applyAlignment="1">
      <alignment horizontal="right"/>
    </xf>
    <xf numFmtId="0" fontId="9" fillId="0" borderId="22" xfId="6" applyFont="1" applyFill="1" applyBorder="1"/>
    <xf numFmtId="165" fontId="9" fillId="0" borderId="45" xfId="6" applyNumberFormat="1" applyFont="1" applyFill="1" applyBorder="1" applyAlignment="1">
      <alignment horizontal="center"/>
    </xf>
    <xf numFmtId="165" fontId="9" fillId="0" borderId="43" xfId="6" applyNumberFormat="1" applyFont="1" applyFill="1" applyBorder="1" applyAlignment="1">
      <alignment horizontal="center"/>
    </xf>
    <xf numFmtId="165" fontId="9" fillId="0" borderId="53" xfId="6" applyNumberFormat="1" applyFont="1" applyFill="1" applyBorder="1" applyAlignment="1">
      <alignment horizontal="center"/>
    </xf>
    <xf numFmtId="186" fontId="0" fillId="0" borderId="0" xfId="6" applyNumberFormat="1" applyFont="1" applyFill="1"/>
    <xf numFmtId="176" fontId="0" fillId="0" borderId="0" xfId="6" applyNumberFormat="1" applyFont="1" applyFill="1"/>
    <xf numFmtId="186" fontId="5" fillId="0" borderId="0" xfId="17" applyNumberFormat="1" applyFill="1"/>
    <xf numFmtId="176" fontId="5" fillId="0" borderId="0" xfId="17" applyNumberFormat="1" applyFill="1"/>
    <xf numFmtId="186" fontId="0" fillId="0" borderId="0" xfId="6" applyNumberFormat="1" applyFont="1" applyFill="1" applyAlignment="1">
      <alignment vertical="top"/>
    </xf>
    <xf numFmtId="176" fontId="8" fillId="0" borderId="14" xfId="16" applyNumberFormat="1" applyFont="1" applyFill="1" applyBorder="1" applyAlignment="1">
      <alignment horizontal="right" wrapText="1"/>
    </xf>
    <xf numFmtId="186" fontId="8" fillId="0" borderId="0" xfId="6" applyNumberFormat="1" applyFont="1" applyFill="1" applyBorder="1" applyAlignment="1" applyProtection="1">
      <alignment horizontal="left"/>
    </xf>
    <xf numFmtId="186" fontId="5" fillId="0" borderId="0" xfId="6" applyNumberFormat="1" applyFont="1" applyFill="1" applyProtection="1">
      <protection locked="0"/>
    </xf>
    <xf numFmtId="186" fontId="0" fillId="0" borderId="0" xfId="6" applyNumberFormat="1" applyFont="1" applyFill="1" applyBorder="1" applyProtection="1">
      <protection locked="0"/>
    </xf>
    <xf numFmtId="186" fontId="0" fillId="0" borderId="0" xfId="6" applyNumberFormat="1" applyFont="1" applyFill="1" applyProtection="1">
      <protection locked="0"/>
    </xf>
    <xf numFmtId="186" fontId="44" fillId="0" borderId="0" xfId="17" applyNumberFormat="1" applyFont="1" applyFill="1" applyBorder="1" applyAlignment="1">
      <alignment horizontal="right"/>
    </xf>
    <xf numFmtId="186" fontId="44" fillId="0" borderId="4" xfId="17" applyNumberFormat="1" applyFont="1" applyFill="1" applyBorder="1" applyAlignment="1">
      <alignment horizontal="right"/>
    </xf>
    <xf numFmtId="200" fontId="8" fillId="0" borderId="0" xfId="29" applyFont="1" applyFill="1" applyAlignment="1" applyProtection="1">
      <alignment horizontal="left"/>
    </xf>
    <xf numFmtId="200" fontId="8" fillId="0" borderId="0" xfId="29" applyFont="1" applyFill="1" applyAlignment="1" applyProtection="1"/>
    <xf numFmtId="200" fontId="9" fillId="0" borderId="0" xfId="29" applyFont="1" applyFill="1" applyProtection="1"/>
    <xf numFmtId="200" fontId="9" fillId="0" borderId="0" xfId="29" applyFont="1" applyFill="1" applyAlignment="1" applyProtection="1">
      <alignment horizontal="right"/>
    </xf>
    <xf numFmtId="186" fontId="9" fillId="0" borderId="0" xfId="6" applyNumberFormat="1" applyFont="1" applyFill="1" applyBorder="1" applyProtection="1">
      <protection locked="0"/>
    </xf>
    <xf numFmtId="200" fontId="8" fillId="0" borderId="5" xfId="29" applyFont="1" applyFill="1" applyBorder="1" applyAlignment="1" applyProtection="1">
      <alignment horizontal="right" vertical="top"/>
    </xf>
    <xf numFmtId="200" fontId="9" fillId="0" borderId="5" xfId="29" applyFont="1" applyFill="1" applyBorder="1" applyProtection="1">
      <protection locked="0"/>
    </xf>
    <xf numFmtId="200" fontId="9" fillId="0" borderId="25" xfId="29" applyFont="1" applyFill="1" applyBorder="1" applyProtection="1">
      <protection locked="0"/>
    </xf>
    <xf numFmtId="166" fontId="11" fillId="0" borderId="0" xfId="8" quotePrefix="1" applyFont="1" applyFill="1" applyBorder="1" applyAlignment="1" applyProtection="1">
      <alignment horizontal="right"/>
    </xf>
    <xf numFmtId="186" fontId="9" fillId="0" borderId="0" xfId="6" applyNumberFormat="1" applyFont="1" applyFill="1" applyAlignment="1" applyProtection="1">
      <alignment horizontal="right" vertical="top"/>
    </xf>
    <xf numFmtId="200" fontId="8" fillId="0" borderId="24" xfId="29" applyFont="1" applyFill="1" applyBorder="1" applyAlignment="1" applyProtection="1">
      <alignment horizontal="right" vertical="top"/>
    </xf>
    <xf numFmtId="200" fontId="8" fillId="0" borderId="24" xfId="29" applyFont="1" applyFill="1" applyBorder="1" applyAlignment="1" applyProtection="1">
      <alignment horizontal="right" vertical="top" wrapText="1"/>
    </xf>
    <xf numFmtId="200" fontId="9" fillId="0" borderId="24" xfId="29" applyFont="1" applyFill="1" applyBorder="1"/>
    <xf numFmtId="198" fontId="9" fillId="0" borderId="0" xfId="6" applyNumberFormat="1" applyFont="1" applyFill="1" applyAlignment="1" applyProtection="1">
      <alignment horizontal="right"/>
    </xf>
    <xf numFmtId="200" fontId="8" fillId="0" borderId="24" xfId="29" applyFont="1" applyFill="1" applyBorder="1" applyAlignment="1" applyProtection="1">
      <alignment horizontal="left"/>
    </xf>
    <xf numFmtId="3" fontId="9" fillId="0" borderId="0" xfId="6" applyNumberFormat="1" applyFont="1" applyFill="1" applyAlignment="1" applyProtection="1">
      <alignment horizontal="right"/>
    </xf>
    <xf numFmtId="0" fontId="5" fillId="0" borderId="0" xfId="26" applyFill="1"/>
    <xf numFmtId="0" fontId="87" fillId="0" borderId="0" xfId="6" applyFont="1" applyFill="1" applyBorder="1" applyAlignment="1"/>
    <xf numFmtId="0" fontId="77" fillId="0" borderId="0" xfId="6" applyFont="1" applyFill="1" applyAlignment="1" applyProtection="1">
      <alignment vertical="top"/>
    </xf>
    <xf numFmtId="0" fontId="85" fillId="0" borderId="0" xfId="6" applyFont="1" applyFill="1" applyAlignment="1" applyProtection="1">
      <alignment vertical="top"/>
    </xf>
    <xf numFmtId="171" fontId="45" fillId="0" borderId="0" xfId="0" applyNumberFormat="1" applyFont="1" applyFill="1" applyBorder="1"/>
    <xf numFmtId="0" fontId="77" fillId="0" borderId="0" xfId="6" applyFont="1" applyFill="1" applyAlignment="1" applyProtection="1">
      <alignment vertical="center"/>
    </xf>
    <xf numFmtId="0" fontId="18" fillId="0" borderId="0" xfId="6" applyFont="1" applyFill="1" applyAlignment="1" applyProtection="1">
      <alignment vertical="top"/>
      <protection locked="0"/>
    </xf>
    <xf numFmtId="0" fontId="5" fillId="0" borderId="0" xfId="26" applyFont="1" applyFill="1"/>
    <xf numFmtId="0" fontId="9" fillId="0" borderId="0" xfId="26" applyFont="1" applyFill="1"/>
    <xf numFmtId="49" fontId="18" fillId="0" borderId="0" xfId="6" applyNumberFormat="1" applyFont="1" applyFill="1" applyBorder="1" applyAlignment="1" applyProtection="1">
      <alignment vertical="top"/>
      <protection locked="0"/>
    </xf>
    <xf numFmtId="49" fontId="9" fillId="0" borderId="0" xfId="6" applyNumberFormat="1" applyFont="1" applyFill="1" applyBorder="1" applyProtection="1">
      <protection locked="0"/>
    </xf>
    <xf numFmtId="0" fontId="18" fillId="0" borderId="0" xfId="6" applyFont="1" applyFill="1" applyBorder="1" applyAlignment="1" applyProtection="1">
      <alignment vertical="top"/>
      <protection locked="0"/>
    </xf>
    <xf numFmtId="0" fontId="9" fillId="0" borderId="0" xfId="6" applyFont="1" applyFill="1" applyBorder="1" applyAlignment="1" applyProtection="1">
      <alignment horizontal="center" vertical="top"/>
      <protection locked="0"/>
    </xf>
    <xf numFmtId="3" fontId="15" fillId="0" borderId="0" xfId="0" applyNumberFormat="1" applyFont="1" applyFill="1" applyBorder="1" applyAlignment="1">
      <alignment vertical="top" wrapText="1"/>
    </xf>
    <xf numFmtId="171" fontId="15" fillId="0" borderId="6" xfId="0" applyNumberFormat="1" applyFont="1" applyFill="1" applyBorder="1" applyAlignment="1">
      <alignment vertical="top" wrapText="1"/>
    </xf>
    <xf numFmtId="3" fontId="15" fillId="0" borderId="4" xfId="0" applyNumberFormat="1" applyFont="1" applyFill="1" applyBorder="1" applyAlignment="1">
      <alignment vertical="top" wrapText="1"/>
    </xf>
    <xf numFmtId="171" fontId="15" fillId="0" borderId="43" xfId="0" applyNumberFormat="1" applyFont="1" applyFill="1" applyBorder="1" applyAlignment="1">
      <alignment vertical="top" wrapText="1"/>
    </xf>
    <xf numFmtId="0" fontId="6" fillId="0" borderId="0" xfId="6" applyFont="1" applyFill="1" applyAlignment="1">
      <alignment horizontal="center" vertical="top"/>
    </xf>
    <xf numFmtId="0" fontId="1" fillId="0" borderId="0" xfId="6" applyFont="1" applyFill="1" applyAlignment="1" applyProtection="1"/>
    <xf numFmtId="0" fontId="33" fillId="0" borderId="0" xfId="6" applyFont="1" applyFill="1" applyAlignment="1" applyProtection="1">
      <alignment vertical="top"/>
    </xf>
    <xf numFmtId="0" fontId="16" fillId="0" borderId="0" xfId="6" applyFont="1" applyFill="1" applyAlignment="1" applyProtection="1">
      <alignment vertical="top"/>
    </xf>
    <xf numFmtId="0" fontId="16" fillId="0" borderId="0" xfId="6" applyFont="1" applyFill="1" applyBorder="1" applyProtection="1"/>
    <xf numFmtId="0" fontId="16" fillId="0" borderId="0" xfId="6" applyFont="1" applyFill="1" applyProtection="1">
      <protection locked="0"/>
    </xf>
    <xf numFmtId="0" fontId="16" fillId="0" borderId="0" xfId="6" applyFont="1" applyFill="1" applyBorder="1" applyProtection="1">
      <protection locked="0"/>
    </xf>
    <xf numFmtId="49" fontId="33" fillId="0" borderId="0" xfId="6" applyNumberFormat="1" applyFont="1" applyFill="1" applyAlignment="1" applyProtection="1">
      <alignment vertical="top"/>
    </xf>
    <xf numFmtId="49" fontId="16" fillId="0" borderId="0" xfId="6" applyNumberFormat="1" applyFont="1" applyFill="1" applyAlignment="1" applyProtection="1">
      <alignment vertical="top"/>
    </xf>
    <xf numFmtId="49" fontId="16" fillId="0" borderId="0" xfId="6" applyNumberFormat="1" applyFont="1" applyFill="1" applyAlignment="1" applyProtection="1">
      <alignment horizontal="center" vertical="top"/>
    </xf>
    <xf numFmtId="49" fontId="12" fillId="0" borderId="5" xfId="8" applyNumberFormat="1" applyFont="1" applyFill="1" applyBorder="1" applyAlignment="1" applyProtection="1">
      <alignment horizontal="right"/>
    </xf>
    <xf numFmtId="49" fontId="12" fillId="0" borderId="5" xfId="8" quotePrefix="1" applyNumberFormat="1" applyFont="1" applyFill="1" applyBorder="1" applyAlignment="1" applyProtection="1">
      <alignment horizontal="right"/>
    </xf>
    <xf numFmtId="49" fontId="16" fillId="0" borderId="0" xfId="6" applyNumberFormat="1" applyFont="1" applyFill="1" applyBorder="1" applyProtection="1">
      <protection locked="0"/>
    </xf>
    <xf numFmtId="49" fontId="16" fillId="0" borderId="0" xfId="6" applyNumberFormat="1" applyFont="1" applyFill="1" applyProtection="1">
      <protection locked="0"/>
    </xf>
    <xf numFmtId="0" fontId="79" fillId="0" borderId="0" xfId="6" applyFont="1" applyFill="1" applyAlignment="1" applyProtection="1">
      <alignment vertical="top"/>
    </xf>
    <xf numFmtId="3" fontId="78" fillId="0" borderId="0" xfId="6" applyNumberFormat="1" applyFont="1" applyFill="1" applyProtection="1">
      <protection locked="0"/>
    </xf>
    <xf numFmtId="0" fontId="79" fillId="0" borderId="0" xfId="6" applyFont="1" applyFill="1" applyBorder="1" applyAlignment="1" applyProtection="1">
      <alignment vertical="top"/>
    </xf>
    <xf numFmtId="3" fontId="78" fillId="0" borderId="0" xfId="6" applyNumberFormat="1" applyFont="1" applyFill="1" applyBorder="1" applyProtection="1">
      <protection locked="0"/>
    </xf>
    <xf numFmtId="0" fontId="16" fillId="0" borderId="5" xfId="6" applyFont="1" applyFill="1" applyBorder="1" applyProtection="1">
      <protection locked="0"/>
    </xf>
    <xf numFmtId="0" fontId="9" fillId="0" borderId="6" xfId="6" applyFont="1" applyFill="1" applyBorder="1" applyAlignment="1" applyProtection="1">
      <alignment horizontal="left" vertical="top" wrapText="1"/>
    </xf>
    <xf numFmtId="0" fontId="8" fillId="0" borderId="6" xfId="6" applyFont="1" applyFill="1" applyBorder="1" applyProtection="1"/>
    <xf numFmtId="3" fontId="15" fillId="0" borderId="6" xfId="0" applyNumberFormat="1" applyFont="1" applyFill="1" applyBorder="1" applyAlignment="1">
      <alignment vertical="top" wrapText="1"/>
    </xf>
    <xf numFmtId="0" fontId="0" fillId="0" borderId="0" xfId="0" applyFill="1" applyBorder="1" applyAlignment="1">
      <alignment wrapText="1"/>
    </xf>
    <xf numFmtId="186" fontId="8" fillId="0" borderId="4" xfId="6" applyNumberFormat="1" applyFont="1" applyFill="1" applyBorder="1" applyAlignment="1" applyProtection="1">
      <alignment horizontal="right" vertical="top"/>
    </xf>
    <xf numFmtId="3" fontId="12" fillId="0" borderId="43" xfId="0" applyNumberFormat="1" applyFont="1" applyFill="1" applyBorder="1" applyAlignment="1">
      <alignment vertical="top" wrapText="1"/>
    </xf>
    <xf numFmtId="0" fontId="7" fillId="0" borderId="4" xfId="6" applyFont="1" applyFill="1" applyBorder="1" applyProtection="1">
      <protection locked="0"/>
    </xf>
    <xf numFmtId="0" fontId="16" fillId="0" borderId="0" xfId="6" applyFont="1" applyFill="1" applyProtection="1"/>
    <xf numFmtId="0" fontId="0" fillId="0" borderId="0" xfId="0" applyFill="1" applyAlignment="1">
      <alignment wrapText="1"/>
    </xf>
    <xf numFmtId="0" fontId="9" fillId="0" borderId="0" xfId="6" applyFont="1" applyFill="1" applyAlignment="1" applyProtection="1">
      <alignment vertical="top"/>
      <protection locked="0"/>
    </xf>
    <xf numFmtId="0" fontId="8" fillId="0" borderId="5" xfId="6" applyFont="1" applyFill="1" applyBorder="1" applyProtection="1"/>
    <xf numFmtId="0" fontId="8" fillId="0" borderId="5" xfId="6" applyFont="1" applyFill="1" applyBorder="1" applyProtection="1">
      <protection locked="0"/>
    </xf>
    <xf numFmtId="9" fontId="45" fillId="0" borderId="0" xfId="2" applyFont="1" applyFill="1" applyBorder="1" applyAlignment="1">
      <alignment vertical="top" wrapText="1"/>
    </xf>
    <xf numFmtId="186" fontId="9" fillId="0" borderId="0" xfId="6" applyNumberFormat="1" applyFont="1" applyFill="1" applyBorder="1" applyAlignment="1" applyProtection="1">
      <alignment vertical="top"/>
    </xf>
    <xf numFmtId="173" fontId="50" fillId="0" borderId="0" xfId="19" applyNumberFormat="1" applyFont="1" applyFill="1" applyBorder="1" applyAlignment="1" applyProtection="1">
      <alignment vertical="top"/>
    </xf>
    <xf numFmtId="173" fontId="50" fillId="0" borderId="0" xfId="19" applyNumberFormat="1" applyFont="1" applyFill="1" applyBorder="1" applyAlignment="1" applyProtection="1">
      <alignment horizontal="right" vertical="center"/>
    </xf>
    <xf numFmtId="186" fontId="9" fillId="0" borderId="4" xfId="6" applyNumberFormat="1" applyFont="1" applyFill="1" applyBorder="1" applyAlignment="1" applyProtection="1">
      <alignment vertical="top"/>
    </xf>
    <xf numFmtId="186" fontId="75" fillId="0" borderId="0" xfId="6" applyNumberFormat="1" applyFont="1" applyFill="1" applyBorder="1" applyAlignment="1" applyProtection="1">
      <alignment wrapText="1"/>
    </xf>
    <xf numFmtId="0" fontId="26" fillId="0" borderId="0" xfId="6" applyFont="1" applyFill="1" applyBorder="1" applyAlignment="1" applyProtection="1">
      <alignment wrapText="1"/>
    </xf>
    <xf numFmtId="0" fontId="25" fillId="0" borderId="0" xfId="6" applyFont="1" applyFill="1" applyBorder="1" applyAlignment="1" applyProtection="1">
      <protection locked="0"/>
    </xf>
    <xf numFmtId="0" fontId="77" fillId="0" borderId="0" xfId="6" applyFont="1" applyFill="1" applyBorder="1" applyAlignment="1" applyProtection="1"/>
    <xf numFmtId="3" fontId="15" fillId="0" borderId="0" xfId="0" applyNumberFormat="1" applyFont="1" applyFill="1" applyBorder="1" applyAlignment="1">
      <alignment wrapText="1"/>
    </xf>
    <xf numFmtId="3" fontId="15" fillId="0" borderId="6" xfId="0" applyNumberFormat="1" applyFont="1" applyFill="1" applyBorder="1" applyAlignment="1">
      <alignment wrapText="1"/>
    </xf>
    <xf numFmtId="0" fontId="7" fillId="0" borderId="0" xfId="6" applyFont="1" applyFill="1" applyBorder="1" applyAlignment="1" applyProtection="1">
      <protection locked="0"/>
    </xf>
    <xf numFmtId="0" fontId="76" fillId="0" borderId="0" xfId="6" applyFont="1" applyFill="1" applyBorder="1" applyAlignment="1" applyProtection="1">
      <protection locked="0"/>
    </xf>
    <xf numFmtId="0" fontId="76" fillId="0" borderId="4" xfId="6" applyFont="1" applyFill="1" applyBorder="1" applyAlignment="1" applyProtection="1">
      <protection locked="0"/>
    </xf>
    <xf numFmtId="0" fontId="12" fillId="0" borderId="0" xfId="0" applyFont="1" applyFill="1" applyBorder="1" applyAlignment="1">
      <alignment wrapText="1"/>
    </xf>
    <xf numFmtId="3" fontId="12" fillId="0" borderId="0" xfId="0" applyNumberFormat="1" applyFont="1" applyFill="1" applyBorder="1" applyAlignment="1">
      <alignment wrapText="1"/>
    </xf>
    <xf numFmtId="3" fontId="75" fillId="0" borderId="0" xfId="6" applyNumberFormat="1" applyFont="1" applyFill="1" applyBorder="1" applyAlignment="1" applyProtection="1">
      <alignment wrapText="1"/>
    </xf>
    <xf numFmtId="0" fontId="6" fillId="0" borderId="0" xfId="6" applyFont="1" applyFill="1" applyAlignment="1" applyProtection="1">
      <alignment vertical="top" wrapText="1"/>
      <protection locked="0"/>
    </xf>
    <xf numFmtId="0" fontId="6" fillId="0" borderId="0" xfId="6" applyFont="1" applyFill="1" applyBorder="1" applyAlignment="1">
      <alignment horizontal="center" vertical="top"/>
    </xf>
    <xf numFmtId="0" fontId="6" fillId="0" borderId="0" xfId="6" applyFont="1" applyFill="1" applyBorder="1" applyAlignment="1">
      <alignment horizontal="center" vertical="top" wrapText="1"/>
    </xf>
    <xf numFmtId="0" fontId="8" fillId="0" borderId="5" xfId="6" quotePrefix="1" applyNumberFormat="1" applyFont="1" applyFill="1" applyBorder="1" applyAlignment="1">
      <alignment horizontal="right" wrapText="1"/>
    </xf>
    <xf numFmtId="0" fontId="8" fillId="0" borderId="0" xfId="6" quotePrefix="1" applyNumberFormat="1" applyFont="1" applyFill="1" applyBorder="1" applyAlignment="1">
      <alignment horizontal="right" wrapText="1"/>
    </xf>
    <xf numFmtId="0" fontId="12" fillId="0" borderId="0" xfId="0" quotePrefix="1" applyFont="1" applyFill="1"/>
    <xf numFmtId="0" fontId="12" fillId="0" borderId="5" xfId="0" quotePrefix="1" applyFont="1" applyFill="1" applyBorder="1"/>
    <xf numFmtId="0" fontId="111" fillId="0" borderId="0" xfId="6" applyFont="1" applyFill="1" applyBorder="1" applyAlignment="1">
      <alignment horizontal="right" vertical="top"/>
    </xf>
    <xf numFmtId="0" fontId="77" fillId="0" borderId="0" xfId="6" applyFont="1" applyFill="1" applyBorder="1" applyAlignment="1">
      <alignment horizontal="right"/>
    </xf>
    <xf numFmtId="0" fontId="18" fillId="0" borderId="0" xfId="6" applyFont="1" applyFill="1" applyBorder="1" applyAlignment="1">
      <alignment horizontal="right" vertical="top"/>
    </xf>
    <xf numFmtId="186" fontId="19" fillId="0" borderId="0" xfId="6" applyNumberFormat="1" applyFont="1" applyFill="1" applyBorder="1" applyAlignment="1"/>
    <xf numFmtId="0" fontId="31" fillId="0" borderId="0" xfId="6" applyFont="1" applyFill="1" applyBorder="1" applyAlignment="1">
      <alignment horizontal="right" vertical="top"/>
    </xf>
    <xf numFmtId="186" fontId="9" fillId="0" borderId="8" xfId="6" applyNumberFormat="1" applyFont="1" applyFill="1" applyBorder="1" applyAlignment="1">
      <alignment wrapText="1"/>
    </xf>
    <xf numFmtId="173" fontId="50" fillId="0" borderId="8" xfId="19" applyNumberFormat="1" applyFont="1" applyFill="1" applyBorder="1" applyAlignment="1">
      <alignment wrapText="1"/>
    </xf>
    <xf numFmtId="173" fontId="112" fillId="0" borderId="8" xfId="19" applyNumberFormat="1" applyFont="1" applyFill="1" applyBorder="1" applyAlignment="1">
      <alignment wrapText="1"/>
    </xf>
    <xf numFmtId="173" fontId="50" fillId="0" borderId="0" xfId="19" applyNumberFormat="1" applyFont="1" applyFill="1" applyBorder="1" applyAlignment="1">
      <alignment wrapText="1"/>
    </xf>
    <xf numFmtId="203" fontId="9" fillId="0" borderId="0" xfId="6" applyNumberFormat="1" applyFont="1" applyFill="1" applyBorder="1"/>
    <xf numFmtId="0" fontId="0" fillId="0" borderId="10" xfId="6" applyFont="1" applyFill="1" applyBorder="1" applyAlignment="1"/>
    <xf numFmtId="203" fontId="9" fillId="0" borderId="0" xfId="6" applyNumberFormat="1" applyFont="1" applyFill="1"/>
    <xf numFmtId="173" fontId="112" fillId="0" borderId="0" xfId="19" applyNumberFormat="1" applyFont="1" applyFill="1" applyBorder="1" applyAlignment="1">
      <alignment horizontal="right"/>
    </xf>
    <xf numFmtId="0" fontId="0" fillId="0" borderId="4" xfId="6" applyFont="1" applyFill="1" applyBorder="1" applyAlignment="1">
      <alignment wrapText="1"/>
    </xf>
    <xf numFmtId="173" fontId="50" fillId="0" borderId="4" xfId="19" applyNumberFormat="1" applyFont="1" applyFill="1" applyBorder="1" applyAlignment="1">
      <alignment horizontal="right"/>
    </xf>
    <xf numFmtId="173" fontId="112" fillId="0" borderId="4" xfId="19" applyNumberFormat="1" applyFont="1" applyFill="1" applyBorder="1" applyAlignment="1">
      <alignment horizontal="right"/>
    </xf>
    <xf numFmtId="17" fontId="8" fillId="0" borderId="0" xfId="6" quotePrefix="1" applyNumberFormat="1" applyFont="1" applyFill="1" applyBorder="1" applyAlignment="1">
      <alignment horizontal="right" wrapText="1"/>
    </xf>
    <xf numFmtId="0" fontId="77" fillId="0" borderId="0" xfId="6" applyFont="1" applyFill="1" applyBorder="1" applyAlignment="1"/>
    <xf numFmtId="0" fontId="7" fillId="0" borderId="0" xfId="6" applyFont="1" applyFill="1" applyAlignment="1">
      <alignment horizontal="center" vertical="top"/>
    </xf>
    <xf numFmtId="0" fontId="9" fillId="0" borderId="9" xfId="6" applyFont="1" applyFill="1" applyBorder="1" applyAlignment="1">
      <alignment horizontal="left" vertical="top"/>
    </xf>
    <xf numFmtId="0" fontId="75" fillId="0" borderId="0" xfId="6" applyFont="1" applyFill="1" applyAlignment="1">
      <alignment horizontal="left" vertical="top"/>
    </xf>
    <xf numFmtId="0" fontId="7" fillId="0" borderId="0" xfId="6" applyFont="1" applyFill="1" applyAlignment="1">
      <alignment horizontal="left" vertical="top"/>
    </xf>
    <xf numFmtId="0" fontId="9" fillId="0" borderId="0" xfId="6" applyFont="1" applyFill="1" applyBorder="1" applyAlignment="1">
      <alignment horizontal="left" vertical="top"/>
    </xf>
    <xf numFmtId="0" fontId="7" fillId="0" borderId="0" xfId="6" applyFont="1" applyFill="1" applyBorder="1" applyAlignment="1">
      <alignment horizontal="center"/>
    </xf>
    <xf numFmtId="0" fontId="113" fillId="0" borderId="0" xfId="6" applyFont="1" applyFill="1" applyBorder="1" applyAlignment="1">
      <alignment horizontal="center"/>
    </xf>
    <xf numFmtId="0" fontId="25" fillId="0" borderId="0" xfId="17" applyFont="1" applyFill="1"/>
    <xf numFmtId="0" fontId="7" fillId="0" borderId="0" xfId="17" applyFont="1" applyFill="1"/>
    <xf numFmtId="0" fontId="6" fillId="0" borderId="0" xfId="17" applyFont="1" applyFill="1"/>
    <xf numFmtId="0" fontId="33" fillId="0" borderId="0" xfId="17" applyFont="1" applyFill="1"/>
    <xf numFmtId="0" fontId="8" fillId="0" borderId="0" xfId="17" applyFont="1" applyFill="1" applyBorder="1" applyAlignment="1">
      <alignment horizontal="left"/>
    </xf>
    <xf numFmtId="0" fontId="8" fillId="0" borderId="0" xfId="17" applyFont="1" applyFill="1" applyBorder="1" applyAlignment="1"/>
    <xf numFmtId="0" fontId="18" fillId="0" borderId="0" xfId="17" applyFont="1" applyFill="1"/>
    <xf numFmtId="197" fontId="9" fillId="0" borderId="0" xfId="17" applyNumberFormat="1" applyFont="1" applyFill="1" applyBorder="1" applyAlignment="1">
      <alignment horizontal="right"/>
    </xf>
    <xf numFmtId="197" fontId="8" fillId="0" borderId="0" xfId="17" applyNumberFormat="1" applyFont="1" applyFill="1" applyBorder="1" applyAlignment="1">
      <alignment horizontal="right"/>
    </xf>
    <xf numFmtId="0" fontId="9" fillId="0" borderId="4" xfId="2" applyNumberFormat="1" applyFont="1" applyFill="1" applyBorder="1" applyAlignment="1">
      <alignment horizontal="right"/>
    </xf>
    <xf numFmtId="0" fontId="9" fillId="0" borderId="4" xfId="17" applyNumberFormat="1" applyFont="1" applyFill="1" applyBorder="1" applyAlignment="1">
      <alignment horizontal="right"/>
    </xf>
    <xf numFmtId="165" fontId="9" fillId="0" borderId="4" xfId="2" applyNumberFormat="1" applyFont="1" applyFill="1" applyBorder="1" applyAlignment="1">
      <alignment horizontal="right"/>
    </xf>
    <xf numFmtId="0" fontId="9" fillId="0" borderId="0" xfId="2" applyNumberFormat="1" applyFont="1" applyFill="1" applyBorder="1" applyAlignment="1">
      <alignment horizontal="right"/>
    </xf>
    <xf numFmtId="0" fontId="16" fillId="0" borderId="0" xfId="17" applyFont="1" applyFill="1" applyBorder="1" applyAlignment="1">
      <alignment horizontal="left"/>
    </xf>
    <xf numFmtId="0" fontId="8" fillId="0" borderId="5" xfId="17" quotePrefix="1" applyFont="1" applyFill="1" applyBorder="1" applyAlignment="1">
      <alignment horizontal="right"/>
    </xf>
    <xf numFmtId="0" fontId="8" fillId="0" borderId="4" xfId="17" applyFont="1" applyFill="1" applyBorder="1" applyAlignment="1"/>
    <xf numFmtId="0" fontId="24" fillId="0" borderId="4" xfId="17" applyFont="1" applyFill="1" applyBorder="1" applyAlignment="1"/>
    <xf numFmtId="0" fontId="0" fillId="0" borderId="0" xfId="0" applyFill="1"/>
    <xf numFmtId="0" fontId="9" fillId="0" borderId="0" xfId="17" applyFont="1" applyFill="1" applyBorder="1" applyAlignment="1"/>
    <xf numFmtId="173" fontId="8" fillId="0" borderId="0" xfId="19" applyNumberFormat="1" applyFont="1" applyFill="1" applyBorder="1" applyAlignment="1">
      <alignment horizontal="left"/>
    </xf>
    <xf numFmtId="173" fontId="73" fillId="0" borderId="0" xfId="19" applyNumberFormat="1" applyFont="1" applyFill="1" applyBorder="1" applyAlignment="1">
      <alignment horizontal="right"/>
    </xf>
    <xf numFmtId="0" fontId="8" fillId="0" borderId="8" xfId="19" applyNumberFormat="1" applyFont="1" applyFill="1" applyBorder="1" applyAlignment="1">
      <alignment horizontal="right"/>
    </xf>
    <xf numFmtId="0" fontId="8" fillId="0" borderId="13" xfId="19" applyNumberFormat="1" applyFont="1" applyFill="1" applyBorder="1" applyAlignment="1">
      <alignment horizontal="right"/>
    </xf>
    <xf numFmtId="0" fontId="8" fillId="0" borderId="9" xfId="19" applyNumberFormat="1" applyFont="1" applyFill="1" applyBorder="1" applyAlignment="1">
      <alignment horizontal="right"/>
    </xf>
    <xf numFmtId="0" fontId="8" fillId="0" borderId="59" xfId="19" applyNumberFormat="1" applyFont="1" applyFill="1" applyBorder="1" applyAlignment="1">
      <alignment horizontal="right"/>
    </xf>
    <xf numFmtId="0" fontId="9" fillId="0" borderId="21" xfId="19" applyNumberFormat="1" applyFont="1" applyFill="1" applyBorder="1" applyAlignment="1">
      <alignment horizontal="right"/>
    </xf>
    <xf numFmtId="0" fontId="6" fillId="0" borderId="0" xfId="17" applyFont="1" applyFill="1" applyAlignment="1">
      <alignment vertical="top" wrapText="1"/>
    </xf>
    <xf numFmtId="0" fontId="6" fillId="0" borderId="0" xfId="17" applyFont="1" applyFill="1" applyAlignment="1">
      <alignment vertical="top"/>
    </xf>
    <xf numFmtId="0" fontId="6" fillId="0" borderId="0" xfId="17" applyFont="1" applyFill="1" applyAlignment="1"/>
    <xf numFmtId="0" fontId="32" fillId="0" borderId="0" xfId="17" applyFont="1" applyFill="1" applyBorder="1"/>
    <xf numFmtId="0" fontId="1" fillId="0" borderId="0" xfId="6" applyFont="1" applyFill="1" applyAlignment="1">
      <alignment vertical="top"/>
    </xf>
    <xf numFmtId="0" fontId="1" fillId="0" borderId="0" xfId="6" applyFont="1" applyFill="1" applyBorder="1" applyAlignment="1"/>
    <xf numFmtId="0" fontId="5" fillId="0" borderId="4" xfId="6" applyFont="1" applyFill="1" applyBorder="1" applyAlignment="1">
      <alignment horizontal="right"/>
    </xf>
    <xf numFmtId="0" fontId="24" fillId="0" borderId="0" xfId="6" applyFont="1" applyFill="1" applyBorder="1" applyAlignment="1">
      <alignment vertical="top"/>
    </xf>
    <xf numFmtId="9" fontId="9" fillId="0" borderId="0" xfId="24" applyFont="1" applyFill="1" applyBorder="1" applyAlignment="1"/>
    <xf numFmtId="0" fontId="16" fillId="0" borderId="0" xfId="6" applyFont="1" applyFill="1" applyBorder="1" applyAlignment="1">
      <alignment horizontal="center"/>
    </xf>
    <xf numFmtId="176" fontId="16" fillId="0" borderId="0" xfId="6" applyNumberFormat="1" applyFont="1" applyFill="1" applyBorder="1" applyAlignment="1">
      <alignment horizontal="center"/>
    </xf>
    <xf numFmtId="0" fontId="8" fillId="0" borderId="21" xfId="6" applyFont="1" applyFill="1" applyBorder="1"/>
    <xf numFmtId="186" fontId="0" fillId="0" borderId="4" xfId="6" applyNumberFormat="1" applyFont="1" applyFill="1" applyBorder="1" applyAlignment="1">
      <alignment horizontal="right"/>
    </xf>
    <xf numFmtId="186" fontId="0" fillId="0" borderId="0" xfId="6" applyNumberFormat="1" applyFont="1" applyFill="1" applyBorder="1" applyAlignment="1"/>
    <xf numFmtId="186" fontId="0" fillId="0" borderId="0" xfId="6" applyNumberFormat="1" applyFont="1" applyFill="1" applyBorder="1" applyAlignment="1">
      <alignment horizontal="right"/>
    </xf>
    <xf numFmtId="186" fontId="0" fillId="0" borderId="4" xfId="6" applyNumberFormat="1" applyFont="1" applyFill="1" applyBorder="1" applyAlignment="1"/>
    <xf numFmtId="0" fontId="8" fillId="0" borderId="7" xfId="6" applyFont="1" applyFill="1" applyBorder="1" applyAlignment="1">
      <alignment horizontal="center" vertical="top" wrapText="1"/>
    </xf>
    <xf numFmtId="0" fontId="8" fillId="0" borderId="5" xfId="6" applyFont="1" applyFill="1" applyBorder="1" applyAlignment="1">
      <alignment horizontal="center" vertical="top" wrapText="1"/>
    </xf>
    <xf numFmtId="0" fontId="8" fillId="0" borderId="46" xfId="6" applyFont="1" applyFill="1" applyBorder="1" applyAlignment="1">
      <alignment horizontal="center" vertical="top" wrapText="1"/>
    </xf>
    <xf numFmtId="0" fontId="8" fillId="0" borderId="42" xfId="6" applyFont="1" applyFill="1" applyBorder="1" applyAlignment="1">
      <alignment horizontal="center" vertical="top" wrapText="1"/>
    </xf>
    <xf numFmtId="0" fontId="8" fillId="0" borderId="45" xfId="6" applyFont="1" applyFill="1" applyBorder="1" applyAlignment="1">
      <alignment horizontal="center" vertical="top" wrapText="1"/>
    </xf>
    <xf numFmtId="169" fontId="9" fillId="0" borderId="46" xfId="6" applyNumberFormat="1" applyFont="1" applyFill="1" applyBorder="1" applyAlignment="1">
      <alignment horizontal="right"/>
    </xf>
    <xf numFmtId="0" fontId="1" fillId="0" borderId="19" xfId="6" applyFont="1" applyFill="1" applyBorder="1" applyAlignment="1"/>
    <xf numFmtId="173" fontId="9" fillId="0" borderId="0" xfId="24" applyNumberFormat="1" applyFont="1" applyFill="1" applyBorder="1" applyAlignment="1"/>
    <xf numFmtId="0" fontId="5" fillId="0" borderId="5" xfId="17" applyFill="1" applyBorder="1"/>
    <xf numFmtId="169" fontId="8" fillId="0" borderId="47" xfId="6" applyNumberFormat="1" applyFont="1" applyFill="1" applyBorder="1" applyAlignment="1">
      <alignment horizontal="right"/>
    </xf>
    <xf numFmtId="169" fontId="8" fillId="0" borderId="5" xfId="6" applyNumberFormat="1" applyFont="1" applyFill="1" applyBorder="1" applyAlignment="1">
      <alignment horizontal="right"/>
    </xf>
    <xf numFmtId="169" fontId="8" fillId="0" borderId="58" xfId="6" applyNumberFormat="1" applyFont="1" applyFill="1" applyBorder="1" applyAlignment="1">
      <alignment horizontal="right"/>
    </xf>
    <xf numFmtId="0" fontId="1" fillId="0" borderId="0" xfId="6" applyFont="1" applyFill="1" applyBorder="1" applyAlignment="1">
      <alignment vertical="top"/>
    </xf>
    <xf numFmtId="0" fontId="1" fillId="0" borderId="5" xfId="6" applyFont="1" applyFill="1" applyBorder="1"/>
    <xf numFmtId="0" fontId="1" fillId="0" borderId="4" xfId="6" applyFont="1" applyFill="1" applyBorder="1"/>
    <xf numFmtId="195" fontId="9" fillId="0" borderId="0" xfId="24" applyNumberFormat="1" applyFont="1" applyFill="1" applyBorder="1"/>
    <xf numFmtId="195" fontId="9" fillId="0" borderId="0" xfId="6" applyNumberFormat="1" applyFont="1" applyFill="1" applyBorder="1"/>
    <xf numFmtId="195" fontId="9" fillId="0" borderId="0" xfId="24" applyNumberFormat="1" applyFont="1" applyFill="1" applyBorder="1" applyAlignment="1"/>
    <xf numFmtId="173" fontId="9" fillId="0" borderId="0" xfId="24" applyNumberFormat="1" applyFont="1" applyFill="1" applyBorder="1"/>
    <xf numFmtId="9" fontId="57" fillId="0" borderId="0" xfId="22" applyFont="1" applyFill="1" applyBorder="1" applyAlignment="1">
      <alignment horizontal="right"/>
    </xf>
    <xf numFmtId="0" fontId="27" fillId="0" borderId="0" xfId="0" applyFont="1" applyFill="1" applyAlignment="1">
      <alignment horizontal="right"/>
    </xf>
    <xf numFmtId="0" fontId="27" fillId="0" borderId="17" xfId="0" applyFont="1" applyFill="1" applyBorder="1"/>
    <xf numFmtId="10" fontId="12" fillId="0" borderId="0" xfId="2" applyNumberFormat="1" applyFont="1" applyFill="1" applyBorder="1" applyAlignment="1"/>
    <xf numFmtId="3" fontId="12" fillId="0" borderId="0" xfId="0" applyNumberFormat="1" applyFont="1" applyFill="1" applyBorder="1" applyAlignment="1">
      <alignment horizontal="right"/>
    </xf>
    <xf numFmtId="10" fontId="12" fillId="0" borderId="0" xfId="2" applyNumberFormat="1" applyFont="1" applyFill="1" applyBorder="1" applyAlignment="1">
      <alignment horizontal="right"/>
    </xf>
    <xf numFmtId="0" fontId="27" fillId="0" borderId="17" xfId="0" applyFont="1" applyFill="1" applyBorder="1" applyAlignment="1">
      <alignment horizontal="right"/>
    </xf>
    <xf numFmtId="0" fontId="15" fillId="0" borderId="0" xfId="0" applyFont="1" applyFill="1" applyBorder="1" applyAlignment="1">
      <alignment horizontal="right"/>
    </xf>
    <xf numFmtId="10" fontId="15" fillId="0" borderId="0" xfId="2" applyNumberFormat="1" applyFont="1" applyFill="1" applyBorder="1" applyAlignment="1"/>
    <xf numFmtId="10" fontId="57" fillId="0" borderId="0" xfId="2" applyNumberFormat="1" applyFont="1" applyFill="1" applyBorder="1" applyAlignment="1"/>
    <xf numFmtId="3" fontId="15" fillId="0" borderId="0" xfId="0" applyNumberFormat="1" applyFont="1" applyFill="1" applyBorder="1" applyAlignment="1">
      <alignment horizontal="right"/>
    </xf>
    <xf numFmtId="10" fontId="15" fillId="0" borderId="0" xfId="2" applyNumberFormat="1" applyFont="1" applyFill="1" applyBorder="1" applyAlignment="1">
      <alignment horizontal="right"/>
    </xf>
    <xf numFmtId="10" fontId="9" fillId="0" borderId="0" xfId="22" applyNumberFormat="1" applyFont="1" applyFill="1" applyBorder="1" applyAlignment="1">
      <alignment horizontal="right"/>
    </xf>
    <xf numFmtId="10" fontId="8" fillId="0" borderId="0" xfId="22" applyNumberFormat="1" applyFont="1" applyFill="1" applyBorder="1" applyAlignment="1">
      <alignment horizontal="right"/>
    </xf>
    <xf numFmtId="1" fontId="70" fillId="0" borderId="0" xfId="6" applyNumberFormat="1" applyFont="1" applyFill="1" applyBorder="1"/>
    <xf numFmtId="1" fontId="0" fillId="0" borderId="0" xfId="6" applyNumberFormat="1" applyFont="1" applyFill="1" applyBorder="1"/>
    <xf numFmtId="1" fontId="70" fillId="0" borderId="0" xfId="6" applyNumberFormat="1" applyFont="1" applyFill="1"/>
    <xf numFmtId="10" fontId="44" fillId="0" borderId="0" xfId="17" applyNumberFormat="1" applyFont="1" applyFill="1" applyBorder="1" applyAlignment="1">
      <alignment horizontal="center"/>
    </xf>
    <xf numFmtId="10" fontId="44" fillId="0" borderId="0" xfId="17" applyNumberFormat="1" applyFont="1" applyFill="1" applyBorder="1" applyAlignment="1">
      <alignment horizontal="center" wrapText="1"/>
    </xf>
    <xf numFmtId="1" fontId="0" fillId="0" borderId="0" xfId="6" applyNumberFormat="1" applyFont="1" applyFill="1"/>
    <xf numFmtId="177" fontId="9" fillId="0" borderId="0" xfId="6" applyNumberFormat="1" applyFont="1" applyFill="1" applyBorder="1" applyAlignment="1" applyProtection="1">
      <alignment horizontal="center"/>
    </xf>
    <xf numFmtId="0" fontId="57" fillId="0" borderId="8" xfId="6" applyFont="1" applyFill="1" applyBorder="1" applyAlignment="1">
      <alignment horizontal="right"/>
    </xf>
    <xf numFmtId="177" fontId="8" fillId="0" borderId="0" xfId="6" applyNumberFormat="1" applyFont="1" applyFill="1" applyBorder="1" applyAlignment="1" applyProtection="1">
      <alignment horizontal="left"/>
    </xf>
    <xf numFmtId="0" fontId="44" fillId="0" borderId="0" xfId="17" applyFont="1" applyFill="1" applyBorder="1" applyAlignment="1">
      <alignment horizontal="center"/>
    </xf>
    <xf numFmtId="192" fontId="9" fillId="0" borderId="0" xfId="6" applyNumberFormat="1" applyFont="1" applyFill="1" applyBorder="1" applyAlignment="1" applyProtection="1">
      <alignment horizontal="right"/>
    </xf>
    <xf numFmtId="192" fontId="9" fillId="0" borderId="6" xfId="6" applyNumberFormat="1" applyFont="1" applyFill="1" applyBorder="1" applyAlignment="1" applyProtection="1">
      <alignment horizontal="right"/>
    </xf>
    <xf numFmtId="192" fontId="9" fillId="0" borderId="0" xfId="6" quotePrefix="1" applyNumberFormat="1" applyFont="1" applyFill="1" applyBorder="1" applyAlignment="1" applyProtection="1">
      <alignment horizontal="right"/>
    </xf>
    <xf numFmtId="0" fontId="8" fillId="0" borderId="0" xfId="6" applyFont="1" applyFill="1" applyBorder="1" applyAlignment="1" applyProtection="1">
      <alignment horizontal="center" wrapText="1"/>
    </xf>
    <xf numFmtId="0" fontId="71" fillId="0" borderId="0" xfId="6" applyFont="1" applyFill="1" applyBorder="1" applyProtection="1"/>
    <xf numFmtId="3" fontId="8" fillId="0" borderId="4" xfId="6" applyNumberFormat="1" applyFont="1" applyFill="1" applyBorder="1"/>
    <xf numFmtId="192" fontId="8" fillId="0" borderId="4" xfId="6" applyNumberFormat="1" applyFont="1" applyFill="1" applyBorder="1" applyProtection="1">
      <protection locked="0"/>
    </xf>
    <xf numFmtId="192" fontId="8" fillId="0" borderId="43" xfId="6" applyNumberFormat="1" applyFont="1" applyFill="1" applyBorder="1" applyProtection="1">
      <protection locked="0"/>
    </xf>
    <xf numFmtId="192" fontId="9" fillId="0" borderId="4" xfId="6" quotePrefix="1" applyNumberFormat="1" applyFont="1" applyFill="1" applyBorder="1" applyAlignment="1" applyProtection="1">
      <alignment horizontal="right"/>
    </xf>
    <xf numFmtId="192" fontId="8" fillId="0" borderId="0" xfId="6" applyNumberFormat="1" applyFont="1" applyFill="1" applyBorder="1" applyProtection="1">
      <protection locked="0"/>
    </xf>
    <xf numFmtId="2" fontId="15" fillId="0" borderId="0" xfId="0" applyNumberFormat="1" applyFont="1" applyFill="1" applyBorder="1"/>
    <xf numFmtId="2" fontId="69" fillId="0" borderId="0" xfId="0" applyNumberFormat="1" applyFont="1" applyFill="1" applyBorder="1"/>
    <xf numFmtId="0" fontId="39" fillId="0" borderId="4" xfId="0" applyFont="1" applyFill="1" applyBorder="1"/>
    <xf numFmtId="177" fontId="9" fillId="0" borderId="0" xfId="7" applyNumberFormat="1" applyFont="1" applyFill="1" applyBorder="1" applyAlignment="1" applyProtection="1">
      <alignment horizontal="center"/>
    </xf>
    <xf numFmtId="177" fontId="8" fillId="0" borderId="0" xfId="7" applyNumberFormat="1" applyFont="1" applyFill="1" applyBorder="1" applyAlignment="1" applyProtection="1">
      <alignment horizontal="left"/>
    </xf>
    <xf numFmtId="0" fontId="8" fillId="0" borderId="5" xfId="7" applyFont="1" applyFill="1" applyBorder="1" applyAlignment="1" applyProtection="1">
      <alignment horizontal="center" wrapText="1"/>
    </xf>
    <xf numFmtId="0" fontId="8" fillId="0" borderId="0" xfId="7" applyFont="1" applyFill="1" applyBorder="1" applyAlignment="1" applyProtection="1">
      <alignment wrapText="1"/>
    </xf>
    <xf numFmtId="0" fontId="41" fillId="0" borderId="0" xfId="7" applyFont="1" applyFill="1" applyBorder="1" applyAlignment="1" applyProtection="1">
      <alignment horizontal="right"/>
    </xf>
    <xf numFmtId="0" fontId="41" fillId="0" borderId="6" xfId="7" applyFont="1" applyFill="1" applyBorder="1" applyAlignment="1" applyProtection="1">
      <alignment horizontal="right"/>
    </xf>
    <xf numFmtId="0" fontId="8" fillId="0" borderId="0" xfId="7" applyFont="1" applyFill="1" applyBorder="1" applyAlignment="1" applyProtection="1">
      <alignment horizontal="center"/>
    </xf>
    <xf numFmtId="2" fontId="27" fillId="0" borderId="6" xfId="0" applyNumberFormat="1" applyFont="1" applyFill="1" applyBorder="1"/>
    <xf numFmtId="2" fontId="0" fillId="0" borderId="0" xfId="0" applyNumberFormat="1" applyFill="1" applyBorder="1"/>
    <xf numFmtId="0" fontId="8" fillId="0" borderId="0" xfId="7" applyFont="1" applyFill="1" applyBorder="1" applyAlignment="1" applyProtection="1">
      <alignment horizontal="center" wrapText="1"/>
    </xf>
    <xf numFmtId="0" fontId="0" fillId="0" borderId="0" xfId="0" applyFill="1" applyBorder="1"/>
    <xf numFmtId="0" fontId="5" fillId="0" borderId="0" xfId="7" applyFont="1" applyFill="1" applyBorder="1" applyProtection="1">
      <protection locked="0"/>
    </xf>
    <xf numFmtId="0" fontId="8" fillId="0" borderId="0" xfId="7" applyFont="1" applyFill="1" applyBorder="1" applyAlignment="1" applyProtection="1">
      <alignment horizontal="right" wrapText="1"/>
    </xf>
    <xf numFmtId="191" fontId="9" fillId="0" borderId="0" xfId="7" applyNumberFormat="1" applyFont="1" applyFill="1" applyBorder="1" applyAlignment="1" applyProtection="1">
      <alignment horizontal="right"/>
    </xf>
    <xf numFmtId="0" fontId="71" fillId="0" borderId="0" xfId="7" applyFont="1" applyFill="1" applyBorder="1" applyProtection="1"/>
    <xf numFmtId="3" fontId="41" fillId="0" borderId="4" xfId="7" applyNumberFormat="1" applyFont="1" applyFill="1" applyBorder="1"/>
    <xf numFmtId="2" fontId="68" fillId="0" borderId="43" xfId="0" applyNumberFormat="1" applyFont="1" applyFill="1" applyBorder="1"/>
    <xf numFmtId="0" fontId="3" fillId="0" borderId="0" xfId="0" applyFont="1" applyFill="1" applyBorder="1"/>
    <xf numFmtId="2" fontId="3" fillId="0" borderId="0" xfId="0" applyNumberFormat="1" applyFont="1" applyFill="1" applyBorder="1"/>
    <xf numFmtId="0" fontId="9" fillId="0" borderId="0" xfId="17" applyFont="1" applyFill="1" applyProtection="1">
      <protection locked="0"/>
    </xf>
    <xf numFmtId="0" fontId="9" fillId="0" borderId="0" xfId="17" applyFont="1" applyFill="1" applyAlignment="1" applyProtection="1">
      <alignment horizontal="right"/>
      <protection locked="0"/>
    </xf>
    <xf numFmtId="0" fontId="9" fillId="0" borderId="0" xfId="17" applyFont="1" applyFill="1" applyBorder="1" applyProtection="1">
      <protection locked="0"/>
    </xf>
    <xf numFmtId="0" fontId="9" fillId="0" borderId="13" xfId="17" applyFont="1" applyFill="1" applyBorder="1" applyAlignment="1" applyProtection="1">
      <alignment horizontal="center" wrapText="1"/>
    </xf>
    <xf numFmtId="0" fontId="5" fillId="0" borderId="0" xfId="17" applyFill="1" applyAlignment="1" applyProtection="1">
      <alignment wrapText="1"/>
      <protection locked="0"/>
    </xf>
    <xf numFmtId="186" fontId="9" fillId="0" borderId="7" xfId="17" applyNumberFormat="1" applyFont="1" applyFill="1" applyBorder="1" applyAlignment="1" applyProtection="1">
      <alignment horizontal="right"/>
    </xf>
    <xf numFmtId="186" fontId="9" fillId="0" borderId="50" xfId="17" applyNumberFormat="1" applyFont="1" applyFill="1" applyBorder="1" applyAlignment="1" applyProtection="1">
      <alignment horizontal="right"/>
    </xf>
    <xf numFmtId="186" fontId="9" fillId="0" borderId="0" xfId="17" applyNumberFormat="1" applyFont="1" applyFill="1" applyBorder="1" applyAlignment="1" applyProtection="1">
      <alignment horizontal="right"/>
    </xf>
    <xf numFmtId="0" fontId="9" fillId="0" borderId="8" xfId="17" applyFont="1" applyFill="1" applyBorder="1" applyProtection="1"/>
    <xf numFmtId="0" fontId="9" fillId="0" borderId="8" xfId="17" applyFont="1" applyFill="1" applyBorder="1" applyProtection="1">
      <protection locked="0"/>
    </xf>
    <xf numFmtId="3" fontId="9" fillId="0" borderId="0" xfId="17" applyNumberFormat="1" applyFont="1" applyFill="1" applyBorder="1" applyProtection="1">
      <protection locked="0"/>
    </xf>
    <xf numFmtId="3" fontId="9" fillId="0" borderId="0" xfId="17" applyNumberFormat="1" applyFont="1" applyFill="1" applyProtection="1">
      <protection locked="0"/>
    </xf>
    <xf numFmtId="0" fontId="5" fillId="0" borderId="0" xfId="17" applyFill="1" applyAlignment="1" applyProtection="1">
      <protection locked="0"/>
    </xf>
    <xf numFmtId="0" fontId="12" fillId="0" borderId="0" xfId="0" applyFont="1" applyFill="1" applyBorder="1"/>
    <xf numFmtId="0" fontId="12" fillId="0" borderId="0" xfId="0" applyFont="1" applyFill="1" applyBorder="1" applyAlignment="1">
      <alignment horizontal="right"/>
    </xf>
    <xf numFmtId="0" fontId="12" fillId="0" borderId="42" xfId="0" applyFont="1" applyFill="1" applyBorder="1" applyAlignment="1">
      <alignment horizontal="right"/>
    </xf>
    <xf numFmtId="189" fontId="15" fillId="0" borderId="0" xfId="0" applyNumberFormat="1" applyFont="1" applyFill="1" applyBorder="1"/>
    <xf numFmtId="10" fontId="15" fillId="0" borderId="0" xfId="0" applyNumberFormat="1" applyFont="1" applyFill="1" applyBorder="1"/>
    <xf numFmtId="189" fontId="15" fillId="0" borderId="0" xfId="0" applyNumberFormat="1" applyFont="1" applyFill="1" applyBorder="1" applyAlignment="1">
      <alignment horizontal="right"/>
    </xf>
    <xf numFmtId="10" fontId="15" fillId="0" borderId="0" xfId="0" applyNumberFormat="1" applyFont="1" applyFill="1" applyBorder="1" applyAlignment="1">
      <alignment horizontal="right"/>
    </xf>
    <xf numFmtId="10" fontId="15" fillId="0" borderId="6" xfId="0" applyNumberFormat="1" applyFont="1" applyFill="1" applyBorder="1"/>
    <xf numFmtId="2" fontId="0" fillId="0" borderId="0" xfId="0" applyNumberFormat="1" applyFill="1"/>
    <xf numFmtId="189" fontId="15" fillId="0" borderId="4" xfId="0" applyNumberFormat="1" applyFont="1" applyFill="1" applyBorder="1" applyAlignment="1">
      <alignment horizontal="right"/>
    </xf>
    <xf numFmtId="10" fontId="15" fillId="0" borderId="4" xfId="0" applyNumberFormat="1" applyFont="1" applyFill="1" applyBorder="1" applyAlignment="1">
      <alignment horizontal="right"/>
    </xf>
    <xf numFmtId="10" fontId="15" fillId="0" borderId="43" xfId="0" applyNumberFormat="1" applyFont="1" applyFill="1" applyBorder="1"/>
    <xf numFmtId="10" fontId="15" fillId="0" borderId="4" xfId="0" applyNumberFormat="1" applyFont="1" applyFill="1" applyBorder="1"/>
    <xf numFmtId="0" fontId="3" fillId="0" borderId="0" xfId="0" applyFont="1" applyFill="1"/>
    <xf numFmtId="189" fontId="57" fillId="0" borderId="6" xfId="23" applyNumberFormat="1" applyFont="1" applyFill="1" applyBorder="1" applyAlignment="1">
      <alignment horizontal="right"/>
    </xf>
    <xf numFmtId="189" fontId="57" fillId="0" borderId="7" xfId="23" applyNumberFormat="1" applyFont="1" applyFill="1" applyBorder="1" applyAlignment="1">
      <alignment horizontal="right"/>
    </xf>
    <xf numFmtId="189" fontId="57" fillId="0" borderId="0" xfId="23" applyNumberFormat="1" applyFont="1" applyFill="1" applyBorder="1" applyAlignment="1">
      <alignment horizontal="right"/>
    </xf>
    <xf numFmtId="164" fontId="57" fillId="0" borderId="0" xfId="23" applyFont="1" applyFill="1" applyBorder="1" applyAlignment="1">
      <alignment horizontal="right"/>
    </xf>
    <xf numFmtId="189" fontId="57" fillId="0" borderId="8" xfId="23" applyNumberFormat="1" applyFont="1" applyFill="1" applyBorder="1" applyAlignment="1">
      <alignment horizontal="right"/>
    </xf>
    <xf numFmtId="189" fontId="57" fillId="0" borderId="9" xfId="23" applyNumberFormat="1" applyFont="1" applyFill="1" applyBorder="1" applyAlignment="1">
      <alignment horizontal="right"/>
    </xf>
    <xf numFmtId="0" fontId="44" fillId="0" borderId="0" xfId="17" applyFont="1" applyFill="1" applyBorder="1" applyAlignment="1">
      <alignment horizontal="center" wrapText="1"/>
    </xf>
    <xf numFmtId="189" fontId="57" fillId="0" borderId="10" xfId="23" applyNumberFormat="1" applyFont="1" applyFill="1" applyBorder="1" applyAlignment="1">
      <alignment horizontal="right"/>
    </xf>
    <xf numFmtId="189" fontId="57" fillId="0" borderId="12" xfId="23" applyNumberFormat="1" applyFont="1" applyFill="1" applyBorder="1" applyAlignment="1">
      <alignment horizontal="right"/>
    </xf>
    <xf numFmtId="2" fontId="44" fillId="0" borderId="0" xfId="17" applyNumberFormat="1" applyFont="1" applyFill="1" applyBorder="1" applyAlignment="1">
      <alignment horizontal="center" wrapText="1"/>
    </xf>
    <xf numFmtId="189" fontId="57" fillId="0" borderId="4" xfId="23" applyNumberFormat="1" applyFont="1" applyFill="1" applyBorder="1" applyAlignment="1">
      <alignment horizontal="right"/>
    </xf>
    <xf numFmtId="189" fontId="57" fillId="0" borderId="50" xfId="23" applyNumberFormat="1" applyFont="1" applyFill="1" applyBorder="1" applyAlignment="1">
      <alignment horizontal="right"/>
    </xf>
    <xf numFmtId="188" fontId="6" fillId="0" borderId="0" xfId="7" applyNumberFormat="1" applyFont="1" applyFill="1" applyAlignment="1" applyProtection="1">
      <alignment vertical="top"/>
    </xf>
    <xf numFmtId="188" fontId="1" fillId="0" borderId="0" xfId="7" applyNumberFormat="1" applyFont="1" applyFill="1" applyAlignment="1" applyProtection="1">
      <alignment vertical="top"/>
    </xf>
    <xf numFmtId="0" fontId="8" fillId="0" borderId="0" xfId="7" applyFont="1" applyFill="1" applyBorder="1" applyAlignment="1">
      <alignment horizontal="left"/>
    </xf>
    <xf numFmtId="188" fontId="1" fillId="0" borderId="0" xfId="7" applyNumberFormat="1" applyFont="1" applyFill="1" applyProtection="1">
      <protection locked="0"/>
    </xf>
    <xf numFmtId="188" fontId="9" fillId="0" borderId="0" xfId="7" applyNumberFormat="1" applyFont="1" applyFill="1" applyBorder="1" applyAlignment="1">
      <alignment horizontal="right"/>
    </xf>
    <xf numFmtId="188" fontId="6" fillId="0" borderId="0" xfId="7" applyNumberFormat="1" applyFont="1" applyFill="1" applyAlignment="1" applyProtection="1">
      <alignment horizontal="right" vertical="top"/>
    </xf>
    <xf numFmtId="188" fontId="1" fillId="0" borderId="0" xfId="7" applyNumberFormat="1" applyFont="1" applyFill="1" applyAlignment="1" applyProtection="1">
      <alignment horizontal="right" vertical="top"/>
    </xf>
    <xf numFmtId="0" fontId="12" fillId="0" borderId="6" xfId="0" applyFont="1" applyFill="1" applyBorder="1"/>
    <xf numFmtId="0" fontId="12" fillId="0" borderId="20" xfId="0" applyFont="1" applyFill="1" applyBorder="1"/>
    <xf numFmtId="188" fontId="1" fillId="0" borderId="0" xfId="7" applyNumberFormat="1" applyFont="1" applyFill="1" applyAlignment="1" applyProtection="1">
      <alignment horizontal="right"/>
      <protection locked="0"/>
    </xf>
    <xf numFmtId="3" fontId="15" fillId="0" borderId="6" xfId="0" applyNumberFormat="1" applyFont="1" applyFill="1" applyBorder="1"/>
    <xf numFmtId="3" fontId="15" fillId="0" borderId="20" xfId="0" applyNumberFormat="1" applyFont="1" applyFill="1" applyBorder="1"/>
    <xf numFmtId="3" fontId="15" fillId="0" borderId="0" xfId="0" applyNumberFormat="1" applyFont="1" applyFill="1" applyBorder="1" applyAlignment="1">
      <alignment horizontal="center"/>
    </xf>
    <xf numFmtId="188" fontId="6" fillId="0" borderId="0" xfId="7" applyNumberFormat="1" applyFont="1" applyFill="1" applyBorder="1" applyAlignment="1" applyProtection="1">
      <alignment vertical="top"/>
    </xf>
    <xf numFmtId="188" fontId="1" fillId="0" borderId="0" xfId="7" applyNumberFormat="1" applyFont="1" applyFill="1" applyBorder="1" applyAlignment="1" applyProtection="1">
      <alignment vertical="top"/>
    </xf>
    <xf numFmtId="3" fontId="15" fillId="0" borderId="4" xfId="0" applyNumberFormat="1" applyFont="1" applyFill="1" applyBorder="1"/>
    <xf numFmtId="3" fontId="15" fillId="0" borderId="43" xfId="0" applyNumberFormat="1" applyFont="1" applyFill="1" applyBorder="1"/>
    <xf numFmtId="3" fontId="15" fillId="0" borderId="22" xfId="0" applyNumberFormat="1" applyFont="1" applyFill="1" applyBorder="1"/>
    <xf numFmtId="188" fontId="1" fillId="0" borderId="0" xfId="7" applyNumberFormat="1" applyFont="1" applyFill="1" applyBorder="1" applyProtection="1">
      <protection locked="0"/>
    </xf>
    <xf numFmtId="188" fontId="9" fillId="0" borderId="0" xfId="7" applyNumberFormat="1" applyFont="1" applyFill="1" applyBorder="1" applyAlignment="1">
      <alignment horizontal="left"/>
    </xf>
    <xf numFmtId="188" fontId="3" fillId="0" borderId="0" xfId="7" applyNumberFormat="1" applyFont="1" applyFill="1" applyBorder="1" applyAlignment="1" applyProtection="1">
      <alignment vertical="top"/>
    </xf>
    <xf numFmtId="188" fontId="69" fillId="0" borderId="0" xfId="7" applyNumberFormat="1" applyFont="1" applyFill="1" applyBorder="1" applyProtection="1">
      <protection locked="0"/>
    </xf>
    <xf numFmtId="188" fontId="3" fillId="0" borderId="0" xfId="7" applyNumberFormat="1" applyFont="1" applyFill="1" applyBorder="1" applyProtection="1">
      <protection locked="0"/>
    </xf>
    <xf numFmtId="188" fontId="67" fillId="0" borderId="0" xfId="7" applyNumberFormat="1" applyFont="1" applyFill="1" applyBorder="1" applyAlignment="1" applyProtection="1">
      <alignment vertical="top"/>
    </xf>
    <xf numFmtId="0" fontId="68" fillId="0" borderId="0" xfId="0" applyFont="1" applyFill="1" applyBorder="1"/>
    <xf numFmtId="0" fontId="68" fillId="0" borderId="20" xfId="0" applyFont="1" applyFill="1" applyBorder="1"/>
    <xf numFmtId="0" fontId="68" fillId="0" borderId="19" xfId="0" applyFont="1" applyFill="1" applyBorder="1"/>
    <xf numFmtId="188" fontId="15" fillId="0" borderId="0" xfId="7" applyNumberFormat="1" applyFont="1" applyFill="1" applyBorder="1" applyProtection="1">
      <protection locked="0"/>
    </xf>
    <xf numFmtId="188" fontId="67" fillId="0" borderId="0" xfId="7" applyNumberFormat="1" applyFont="1" applyFill="1" applyBorder="1" applyProtection="1">
      <protection locked="0"/>
    </xf>
    <xf numFmtId="3" fontId="27" fillId="0" borderId="0" xfId="0" applyNumberFormat="1" applyFont="1" applyFill="1" applyBorder="1"/>
    <xf numFmtId="3" fontId="27" fillId="0" borderId="20" xfId="0" applyNumberFormat="1" applyFont="1" applyFill="1" applyBorder="1"/>
    <xf numFmtId="3" fontId="27" fillId="0" borderId="19" xfId="0" applyNumberFormat="1" applyFont="1" applyFill="1" applyBorder="1"/>
    <xf numFmtId="3" fontId="68" fillId="0" borderId="4" xfId="0" applyNumberFormat="1" applyFont="1" applyFill="1" applyBorder="1"/>
    <xf numFmtId="3" fontId="68" fillId="0" borderId="22" xfId="0" applyNumberFormat="1" applyFont="1" applyFill="1" applyBorder="1"/>
    <xf numFmtId="3" fontId="68" fillId="0" borderId="21" xfId="0" applyNumberFormat="1" applyFont="1" applyFill="1" applyBorder="1"/>
    <xf numFmtId="188" fontId="9" fillId="0" borderId="4" xfId="7" applyNumberFormat="1" applyFont="1" applyFill="1" applyBorder="1" applyAlignment="1">
      <alignment horizontal="right"/>
    </xf>
    <xf numFmtId="9" fontId="9" fillId="0" borderId="4" xfId="22" applyFont="1" applyFill="1" applyBorder="1" applyAlignment="1">
      <alignment horizontal="right"/>
    </xf>
    <xf numFmtId="188" fontId="1" fillId="0" borderId="4" xfId="7" applyNumberFormat="1" applyFont="1" applyFill="1" applyBorder="1" applyProtection="1">
      <protection locked="0"/>
    </xf>
    <xf numFmtId="188" fontId="67" fillId="0" borderId="0" xfId="7" applyNumberFormat="1" applyFont="1" applyFill="1" applyAlignment="1" applyProtection="1">
      <alignment vertical="top"/>
    </xf>
    <xf numFmtId="188" fontId="67" fillId="0" borderId="0" xfId="7" applyNumberFormat="1" applyFont="1" applyFill="1" applyProtection="1">
      <protection locked="0"/>
    </xf>
    <xf numFmtId="2" fontId="12" fillId="0" borderId="0" xfId="0" applyNumberFormat="1" applyFont="1" applyFill="1" applyBorder="1" applyAlignment="1">
      <alignment horizontal="right"/>
    </xf>
    <xf numFmtId="2" fontId="12" fillId="0" borderId="6" xfId="0" applyNumberFormat="1" applyFont="1" applyFill="1" applyBorder="1" applyAlignment="1">
      <alignment horizontal="right"/>
    </xf>
    <xf numFmtId="0" fontId="12" fillId="0" borderId="0" xfId="0" applyFont="1" applyFill="1" applyBorder="1" applyAlignment="1">
      <alignment horizontal="right" wrapText="1"/>
    </xf>
    <xf numFmtId="0" fontId="12" fillId="0" borderId="6" xfId="0" applyFont="1" applyFill="1" applyBorder="1" applyAlignment="1">
      <alignment horizontal="right" wrapText="1"/>
    </xf>
    <xf numFmtId="188" fontId="9" fillId="0" borderId="0" xfId="7" applyNumberFormat="1" applyFont="1" applyFill="1" applyBorder="1" applyAlignment="1">
      <alignment horizontal="right" wrapText="1"/>
    </xf>
    <xf numFmtId="188" fontId="9" fillId="0" borderId="6" xfId="7" applyNumberFormat="1" applyFont="1" applyFill="1" applyBorder="1" applyAlignment="1">
      <alignment horizontal="right" wrapText="1"/>
    </xf>
    <xf numFmtId="188" fontId="9" fillId="0" borderId="43" xfId="7" applyNumberFormat="1" applyFont="1" applyFill="1" applyBorder="1" applyAlignment="1">
      <alignment horizontal="right"/>
    </xf>
    <xf numFmtId="188" fontId="19" fillId="0" borderId="0" xfId="7" applyNumberFormat="1" applyFont="1" applyFill="1" applyBorder="1" applyAlignment="1">
      <alignment horizontal="left"/>
    </xf>
    <xf numFmtId="188" fontId="19" fillId="0" borderId="0" xfId="7" applyNumberFormat="1" applyFont="1" applyFill="1" applyBorder="1" applyAlignment="1">
      <alignment horizontal="right"/>
    </xf>
    <xf numFmtId="186" fontId="8" fillId="0" borderId="0" xfId="9" applyNumberFormat="1" applyFont="1" applyFill="1" applyBorder="1" applyAlignment="1">
      <alignment horizontal="right"/>
    </xf>
    <xf numFmtId="3" fontId="9" fillId="0" borderId="0" xfId="9" applyNumberFormat="1" applyFont="1" applyFill="1" applyAlignment="1">
      <alignment horizontal="right"/>
    </xf>
    <xf numFmtId="0" fontId="8" fillId="0" borderId="50" xfId="6" applyFont="1" applyFill="1" applyBorder="1"/>
    <xf numFmtId="17" fontId="8" fillId="0" borderId="29" xfId="6" quotePrefix="1" applyNumberFormat="1" applyFont="1" applyFill="1" applyBorder="1" applyAlignment="1">
      <alignment horizontal="right"/>
    </xf>
    <xf numFmtId="0" fontId="8" fillId="0" borderId="29" xfId="7" quotePrefix="1" applyFont="1" applyFill="1" applyBorder="1" applyAlignment="1">
      <alignment horizontal="right"/>
    </xf>
    <xf numFmtId="0" fontId="8" fillId="0" borderId="51" xfId="7" quotePrefix="1" applyFont="1" applyFill="1" applyBorder="1" applyAlignment="1">
      <alignment horizontal="right"/>
    </xf>
    <xf numFmtId="0" fontId="8" fillId="0" borderId="13" xfId="7" quotePrefix="1" applyFont="1" applyFill="1" applyBorder="1" applyAlignment="1">
      <alignment horizontal="right"/>
    </xf>
    <xf numFmtId="0" fontId="8" fillId="0" borderId="52" xfId="6" applyFont="1" applyFill="1" applyBorder="1" applyAlignment="1" applyProtection="1">
      <alignment horizontal="right" vertical="center" wrapText="1"/>
      <protection locked="0"/>
    </xf>
    <xf numFmtId="3" fontId="9" fillId="0" borderId="4" xfId="7" applyNumberFormat="1" applyFont="1" applyFill="1" applyBorder="1" applyAlignment="1">
      <alignment horizontal="right"/>
    </xf>
    <xf numFmtId="0" fontId="5" fillId="0" borderId="0" xfId="6" applyFont="1" applyFill="1" applyBorder="1" applyAlignment="1" applyProtection="1">
      <alignment vertical="top"/>
      <protection locked="0"/>
    </xf>
    <xf numFmtId="0" fontId="8" fillId="0" borderId="47" xfId="6" applyFont="1" applyFill="1" applyBorder="1" applyAlignment="1" applyProtection="1">
      <alignment horizontal="right"/>
    </xf>
    <xf numFmtId="0" fontId="8" fillId="0" borderId="0" xfId="6" applyFont="1" applyFill="1" applyAlignment="1" applyProtection="1">
      <alignment horizontal="right"/>
    </xf>
    <xf numFmtId="186" fontId="9" fillId="0" borderId="7" xfId="6" applyNumberFormat="1" applyFont="1" applyFill="1" applyBorder="1" applyProtection="1"/>
    <xf numFmtId="186" fontId="8" fillId="0" borderId="12" xfId="6" applyNumberFormat="1" applyFont="1" applyFill="1" applyBorder="1" applyProtection="1"/>
    <xf numFmtId="186" fontId="9" fillId="0" borderId="50" xfId="6" applyNumberFormat="1" applyFont="1" applyFill="1" applyBorder="1" applyProtection="1"/>
    <xf numFmtId="0" fontId="6" fillId="0" borderId="0" xfId="6" applyFont="1" applyFill="1" applyBorder="1" applyAlignment="1" applyProtection="1">
      <alignment vertical="top" wrapText="1"/>
      <protection locked="0"/>
    </xf>
    <xf numFmtId="165" fontId="0" fillId="0" borderId="0" xfId="0" applyNumberFormat="1" applyFill="1"/>
    <xf numFmtId="165" fontId="9" fillId="0" borderId="0" xfId="9" applyNumberFormat="1" applyFont="1" applyFill="1" applyBorder="1" applyProtection="1"/>
    <xf numFmtId="165" fontId="8" fillId="0" borderId="0" xfId="17" applyNumberFormat="1" applyFont="1" applyFill="1" applyBorder="1" applyProtection="1"/>
    <xf numFmtId="176" fontId="8" fillId="0" borderId="0" xfId="1" applyNumberFormat="1" applyFont="1" applyFill="1" applyBorder="1" applyProtection="1"/>
    <xf numFmtId="165" fontId="16" fillId="0" borderId="0" xfId="17" applyNumberFormat="1" applyFont="1" applyFill="1" applyBorder="1" applyAlignment="1">
      <alignment horizontal="right"/>
    </xf>
    <xf numFmtId="165" fontId="8" fillId="0" borderId="4" xfId="9" applyNumberFormat="1" applyFont="1" applyFill="1" applyBorder="1" applyProtection="1"/>
    <xf numFmtId="165" fontId="8" fillId="0" borderId="0" xfId="9" applyNumberFormat="1" applyFont="1" applyFill="1" applyBorder="1" applyProtection="1"/>
    <xf numFmtId="165" fontId="16" fillId="0" borderId="0" xfId="9" applyNumberFormat="1" applyFont="1" applyFill="1" applyBorder="1" applyAlignment="1" applyProtection="1">
      <alignment horizontal="right"/>
    </xf>
    <xf numFmtId="165" fontId="9" fillId="0" borderId="24" xfId="17" applyNumberFormat="1" applyFont="1" applyFill="1" applyBorder="1" applyAlignment="1">
      <alignment horizontal="right"/>
    </xf>
    <xf numFmtId="165" fontId="8" fillId="0" borderId="24" xfId="17" applyNumberFormat="1" applyFont="1" applyFill="1" applyBorder="1" applyAlignment="1">
      <alignment horizontal="right"/>
    </xf>
    <xf numFmtId="0" fontId="8" fillId="0" borderId="0" xfId="17" applyFont="1" applyFill="1" applyBorder="1" applyAlignment="1" applyProtection="1">
      <alignment horizontal="center"/>
      <protection locked="0"/>
    </xf>
    <xf numFmtId="176" fontId="9" fillId="0" borderId="0" xfId="20" applyNumberFormat="1" applyFont="1" applyFill="1" applyBorder="1"/>
    <xf numFmtId="185" fontId="8" fillId="0" borderId="0" xfId="17" applyNumberFormat="1" applyFont="1" applyFill="1"/>
    <xf numFmtId="184" fontId="13" fillId="0" borderId="44" xfId="17" applyNumberFormat="1" applyFont="1" applyFill="1" applyBorder="1" applyAlignment="1" applyProtection="1">
      <alignment horizontal="right"/>
    </xf>
    <xf numFmtId="184" fontId="9" fillId="0" borderId="45" xfId="17" applyNumberFormat="1" applyFont="1" applyFill="1" applyBorder="1" applyAlignment="1" applyProtection="1">
      <alignment horizontal="right"/>
    </xf>
    <xf numFmtId="185" fontId="8" fillId="0" borderId="0" xfId="9" applyNumberFormat="1" applyFont="1" applyFill="1"/>
    <xf numFmtId="0" fontId="8" fillId="0" borderId="47" xfId="9" applyFont="1" applyFill="1" applyBorder="1" applyAlignment="1" applyProtection="1">
      <alignment horizontal="center"/>
      <protection locked="0"/>
    </xf>
    <xf numFmtId="0" fontId="8" fillId="0" borderId="7" xfId="9" applyFont="1" applyFill="1" applyBorder="1" applyAlignment="1" applyProtection="1">
      <alignment horizontal="right"/>
      <protection locked="0"/>
    </xf>
    <xf numFmtId="184" fontId="8" fillId="0" borderId="6" xfId="9" applyNumberFormat="1" applyFont="1" applyFill="1" applyBorder="1" applyAlignment="1" applyProtection="1">
      <alignment horizontal="right"/>
    </xf>
    <xf numFmtId="184" fontId="9" fillId="0" borderId="7" xfId="9" applyNumberFormat="1" applyFont="1" applyFill="1" applyBorder="1" applyAlignment="1" applyProtection="1">
      <alignment horizontal="right"/>
    </xf>
    <xf numFmtId="184" fontId="8" fillId="0" borderId="49" xfId="9" applyNumberFormat="1" applyFont="1" applyFill="1" applyBorder="1" applyAlignment="1" applyProtection="1">
      <alignment horizontal="right"/>
    </xf>
    <xf numFmtId="0" fontId="60" fillId="0" borderId="0" xfId="6" applyFont="1" applyFill="1" applyAlignment="1">
      <alignment horizontal="right" vertical="top"/>
    </xf>
    <xf numFmtId="0" fontId="16" fillId="0" borderId="0" xfId="6" applyFont="1" applyFill="1" applyAlignment="1">
      <alignment horizontal="right" vertical="top"/>
    </xf>
    <xf numFmtId="0" fontId="58" fillId="0" borderId="37" xfId="6" applyFont="1" applyFill="1" applyBorder="1" applyAlignment="1">
      <alignment horizontal="center" wrapText="1"/>
    </xf>
    <xf numFmtId="0" fontId="58" fillId="0" borderId="24" xfId="6" applyFont="1" applyFill="1" applyBorder="1" applyAlignment="1">
      <alignment horizontal="center" wrapText="1"/>
    </xf>
    <xf numFmtId="0" fontId="58" fillId="0" borderId="38" xfId="6" applyFont="1" applyFill="1" applyBorder="1" applyAlignment="1">
      <alignment horizontal="center" wrapText="1"/>
    </xf>
    <xf numFmtId="0" fontId="24" fillId="0" borderId="37" xfId="6" applyFont="1" applyFill="1" applyBorder="1"/>
    <xf numFmtId="0" fontId="58" fillId="0" borderId="24" xfId="6" applyFont="1" applyFill="1" applyBorder="1" applyAlignment="1">
      <alignment horizontal="left" wrapText="1"/>
    </xf>
    <xf numFmtId="0" fontId="59" fillId="0" borderId="24" xfId="6" applyFont="1" applyFill="1" applyBorder="1" applyAlignment="1">
      <alignment horizontal="left" wrapText="1"/>
    </xf>
    <xf numFmtId="0" fontId="59" fillId="0" borderId="24" xfId="6" applyFont="1" applyFill="1" applyBorder="1" applyAlignment="1">
      <alignment horizontal="center" wrapText="1"/>
    </xf>
    <xf numFmtId="0" fontId="59" fillId="0" borderId="38" xfId="6" applyFont="1" applyFill="1" applyBorder="1" applyAlignment="1">
      <alignment horizontal="center" wrapText="1"/>
    </xf>
    <xf numFmtId="0" fontId="1" fillId="0" borderId="37" xfId="6" applyFont="1" applyFill="1" applyBorder="1"/>
    <xf numFmtId="0" fontId="59" fillId="0" borderId="40" xfId="6" applyFont="1" applyFill="1" applyBorder="1" applyAlignment="1">
      <alignment horizontal="left" wrapText="1"/>
    </xf>
    <xf numFmtId="0" fontId="59" fillId="0" borderId="40" xfId="6" applyFont="1" applyFill="1" applyBorder="1" applyAlignment="1">
      <alignment horizontal="center" wrapText="1"/>
    </xf>
    <xf numFmtId="0" fontId="59" fillId="0" borderId="41" xfId="6" applyFont="1" applyFill="1" applyBorder="1" applyAlignment="1">
      <alignment horizontal="center" wrapText="1"/>
    </xf>
    <xf numFmtId="165" fontId="9" fillId="0" borderId="0" xfId="0" applyNumberFormat="1" applyFont="1" applyFill="1"/>
    <xf numFmtId="165" fontId="9" fillId="0" borderId="2" xfId="6" applyNumberFormat="1" applyFont="1" applyFill="1" applyBorder="1"/>
    <xf numFmtId="165" fontId="19" fillId="0" borderId="4" xfId="6" applyNumberFormat="1" applyFont="1" applyFill="1" applyBorder="1"/>
    <xf numFmtId="43" fontId="9" fillId="0" borderId="0" xfId="16" applyNumberFormat="1" applyFont="1" applyFill="1" applyAlignment="1">
      <alignment horizontal="center"/>
    </xf>
    <xf numFmtId="43" fontId="9" fillId="0" borderId="0" xfId="16" applyNumberFormat="1" applyFont="1" applyFill="1" applyBorder="1" applyAlignment="1">
      <alignment horizontal="center"/>
    </xf>
    <xf numFmtId="2" fontId="1" fillId="0" borderId="0" xfId="6" applyNumberFormat="1" applyFont="1" applyFill="1" applyBorder="1" applyAlignment="1">
      <alignment vertical="top"/>
    </xf>
    <xf numFmtId="2" fontId="1" fillId="0" borderId="0" xfId="6" applyNumberFormat="1" applyFont="1" applyFill="1" applyBorder="1"/>
    <xf numFmtId="2" fontId="1" fillId="0" borderId="24" xfId="6" applyNumberFormat="1" applyFont="1" applyFill="1" applyBorder="1" applyAlignment="1">
      <alignment vertical="top"/>
    </xf>
    <xf numFmtId="0" fontId="47" fillId="0" borderId="0" xfId="15" applyFont="1" applyFill="1" applyBorder="1" applyAlignment="1">
      <alignment horizontal="right" wrapText="1"/>
    </xf>
    <xf numFmtId="0" fontId="44" fillId="0" borderId="0" xfId="15" applyFont="1" applyFill="1" applyBorder="1" applyAlignment="1">
      <alignment horizontal="right" wrapText="1"/>
    </xf>
    <xf numFmtId="0" fontId="48" fillId="0" borderId="0" xfId="0" applyFont="1" applyFill="1" applyAlignment="1">
      <alignment vertical="center"/>
    </xf>
    <xf numFmtId="0" fontId="48" fillId="0" borderId="0" xfId="0" applyFont="1" applyFill="1" applyAlignment="1">
      <alignment horizontal="right" vertical="center"/>
    </xf>
    <xf numFmtId="0" fontId="44" fillId="0" borderId="0" xfId="15" applyFont="1" applyFill="1" applyBorder="1" applyAlignment="1">
      <alignment horizontal="left"/>
    </xf>
    <xf numFmtId="0" fontId="44" fillId="0" borderId="0" xfId="15" applyFont="1" applyFill="1" applyBorder="1" applyAlignment="1">
      <alignment horizontal="right"/>
    </xf>
    <xf numFmtId="0" fontId="44" fillId="0" borderId="4" xfId="15" applyFont="1" applyFill="1" applyBorder="1" applyAlignment="1">
      <alignment horizontal="left" wrapText="1"/>
    </xf>
    <xf numFmtId="0" fontId="44" fillId="0" borderId="4" xfId="15" applyFont="1" applyFill="1" applyBorder="1" applyAlignment="1">
      <alignment horizontal="right" wrapText="1"/>
    </xf>
    <xf numFmtId="0" fontId="47" fillId="0" borderId="25" xfId="15" applyFont="1" applyFill="1" applyBorder="1" applyAlignment="1">
      <alignment horizontal="left" wrapText="1"/>
    </xf>
    <xf numFmtId="0" fontId="47" fillId="0" borderId="5" xfId="15" applyFont="1" applyFill="1" applyBorder="1" applyAlignment="1">
      <alignment horizontal="right" wrapText="1"/>
    </xf>
    <xf numFmtId="0" fontId="44" fillId="0" borderId="19" xfId="15" applyFont="1" applyFill="1" applyBorder="1" applyAlignment="1">
      <alignment horizontal="left" wrapText="1"/>
    </xf>
    <xf numFmtId="0" fontId="51" fillId="0" borderId="33" xfId="15" applyFont="1" applyFill="1" applyBorder="1" applyAlignment="1">
      <alignment horizontal="left" wrapText="1"/>
    </xf>
    <xf numFmtId="0" fontId="52" fillId="0" borderId="0" xfId="15" applyFont="1" applyFill="1" applyAlignment="1">
      <alignment horizontal="right" wrapText="1"/>
    </xf>
    <xf numFmtId="183" fontId="44" fillId="0" borderId="0" xfId="15" applyNumberFormat="1" applyFont="1" applyFill="1" applyBorder="1" applyAlignment="1">
      <alignment horizontal="right" wrapText="1"/>
    </xf>
    <xf numFmtId="0" fontId="53" fillId="0" borderId="0" xfId="15" applyFont="1" applyFill="1" applyAlignment="1">
      <alignment horizontal="right" wrapText="1"/>
    </xf>
    <xf numFmtId="0" fontId="54" fillId="0" borderId="0" xfId="15" applyFont="1" applyFill="1" applyAlignment="1">
      <alignment horizontal="right" wrapText="1"/>
    </xf>
    <xf numFmtId="0" fontId="51" fillId="0" borderId="21" xfId="15" applyFont="1" applyFill="1" applyBorder="1" applyAlignment="1">
      <alignment horizontal="left" wrapText="1"/>
    </xf>
    <xf numFmtId="0" fontId="51" fillId="0" borderId="4" xfId="15" applyFont="1" applyFill="1" applyBorder="1" applyAlignment="1">
      <alignment horizontal="right" wrapText="1"/>
    </xf>
    <xf numFmtId="0" fontId="51" fillId="0" borderId="0" xfId="15" applyFont="1" applyFill="1" applyBorder="1" applyAlignment="1">
      <alignment horizontal="left" wrapText="1"/>
    </xf>
    <xf numFmtId="0" fontId="54" fillId="0" borderId="0" xfId="15" applyFont="1" applyFill="1" applyAlignment="1">
      <alignment horizontal="left" wrapText="1"/>
    </xf>
    <xf numFmtId="0" fontId="53" fillId="0" borderId="0" xfId="15" applyFont="1" applyFill="1" applyAlignment="1">
      <alignment horizontal="left" wrapText="1"/>
    </xf>
    <xf numFmtId="0" fontId="8" fillId="0" borderId="5" xfId="7" applyFont="1" applyFill="1" applyBorder="1" applyAlignment="1" applyProtection="1">
      <protection locked="0"/>
    </xf>
    <xf numFmtId="165" fontId="8" fillId="0" borderId="0" xfId="7" applyNumberFormat="1" applyFont="1" applyFill="1" applyBorder="1" applyProtection="1">
      <protection locked="0"/>
    </xf>
    <xf numFmtId="10" fontId="15" fillId="0" borderId="0" xfId="0" applyNumberFormat="1" applyFont="1" applyFill="1" applyBorder="1" applyAlignment="1">
      <alignment horizontal="right" vertical="center"/>
    </xf>
    <xf numFmtId="0" fontId="45" fillId="0" borderId="0" xfId="0" applyFont="1" applyFill="1" applyBorder="1" applyAlignment="1">
      <alignment horizontal="right" vertical="center" wrapText="1"/>
    </xf>
    <xf numFmtId="0" fontId="45" fillId="0" borderId="8" xfId="0" applyFont="1" applyFill="1" applyBorder="1" applyAlignment="1">
      <alignment horizontal="right" vertical="center" wrapText="1"/>
    </xf>
    <xf numFmtId="0" fontId="15" fillId="0" borderId="8" xfId="0" applyFont="1" applyFill="1" applyBorder="1" applyAlignment="1">
      <alignment horizontal="right" vertical="center"/>
    </xf>
    <xf numFmtId="0" fontId="44" fillId="0" borderId="8" xfId="0" applyFont="1" applyFill="1" applyBorder="1" applyAlignment="1">
      <alignment horizontal="right" vertical="center"/>
    </xf>
    <xf numFmtId="0" fontId="45" fillId="0" borderId="4" xfId="0" applyFont="1" applyFill="1" applyBorder="1" applyAlignment="1">
      <alignment horizontal="right" vertical="center" wrapText="1"/>
    </xf>
    <xf numFmtId="0" fontId="1" fillId="0" borderId="2" xfId="6" applyFont="1" applyFill="1" applyBorder="1" applyAlignment="1"/>
    <xf numFmtId="0" fontId="1" fillId="0" borderId="3" xfId="6" applyFont="1" applyFill="1" applyBorder="1" applyAlignment="1"/>
    <xf numFmtId="0" fontId="8" fillId="0" borderId="27" xfId="10" applyFont="1" applyFill="1" applyBorder="1" applyAlignment="1" applyProtection="1">
      <alignment horizontal="right"/>
    </xf>
    <xf numFmtId="49" fontId="8" fillId="0" borderId="27" xfId="10" applyNumberFormat="1" applyFont="1" applyFill="1" applyBorder="1" applyAlignment="1" applyProtection="1">
      <alignment horizontal="right"/>
    </xf>
    <xf numFmtId="0" fontId="9" fillId="0" borderId="0" xfId="10" applyFont="1" applyFill="1" applyBorder="1" applyAlignment="1" applyProtection="1">
      <alignment horizontal="right"/>
    </xf>
    <xf numFmtId="170" fontId="9" fillId="0" borderId="0" xfId="10" applyNumberFormat="1" applyFont="1" applyFill="1" applyBorder="1" applyAlignment="1" applyProtection="1">
      <alignment horizontal="right"/>
    </xf>
    <xf numFmtId="0" fontId="9" fillId="0" borderId="28" xfId="10" applyFont="1" applyFill="1" applyBorder="1" applyAlignment="1" applyProtection="1">
      <alignment horizontal="right"/>
    </xf>
    <xf numFmtId="170" fontId="9" fillId="0" borderId="28" xfId="10" applyNumberFormat="1" applyFont="1" applyFill="1" applyBorder="1" applyAlignment="1" applyProtection="1">
      <alignment horizontal="right"/>
    </xf>
    <xf numFmtId="170" fontId="8" fillId="0" borderId="0" xfId="10" applyNumberFormat="1" applyFont="1" applyFill="1" applyBorder="1" applyAlignment="1" applyProtection="1">
      <alignment horizontal="right"/>
    </xf>
    <xf numFmtId="0" fontId="9" fillId="0" borderId="30" xfId="10" applyFont="1" applyFill="1" applyBorder="1" applyAlignment="1" applyProtection="1">
      <alignment horizontal="right"/>
    </xf>
    <xf numFmtId="170" fontId="9" fillId="0" borderId="30" xfId="10" applyNumberFormat="1" applyFont="1" applyFill="1" applyBorder="1" applyAlignment="1" applyProtection="1">
      <alignment horizontal="right"/>
    </xf>
    <xf numFmtId="0" fontId="9" fillId="0" borderId="31" xfId="10" applyFont="1" applyFill="1" applyBorder="1" applyAlignment="1" applyProtection="1">
      <alignment horizontal="right"/>
    </xf>
    <xf numFmtId="170" fontId="9" fillId="0" borderId="31" xfId="10" applyNumberFormat="1" applyFont="1" applyFill="1" applyBorder="1" applyAlignment="1" applyProtection="1">
      <alignment horizontal="right"/>
    </xf>
    <xf numFmtId="0" fontId="9" fillId="0" borderId="32" xfId="10" applyFont="1" applyFill="1" applyBorder="1" applyAlignment="1" applyProtection="1">
      <alignment horizontal="right"/>
    </xf>
    <xf numFmtId="0" fontId="8" fillId="0" borderId="0" xfId="11" applyFont="1" applyFill="1" applyBorder="1"/>
    <xf numFmtId="179" fontId="8" fillId="0" borderId="0" xfId="11" applyNumberFormat="1" applyFont="1" applyFill="1" applyBorder="1" applyAlignment="1">
      <alignment horizontal="right"/>
    </xf>
    <xf numFmtId="173" fontId="9" fillId="0" borderId="0" xfId="11" applyNumberFormat="1" applyFont="1" applyFill="1" applyBorder="1" applyAlignment="1">
      <alignment horizontal="right"/>
    </xf>
    <xf numFmtId="0" fontId="9" fillId="0" borderId="0" xfId="11" applyFont="1" applyFill="1" applyBorder="1"/>
    <xf numFmtId="179" fontId="9" fillId="0" borderId="0" xfId="11" applyNumberFormat="1" applyFont="1" applyFill="1" applyBorder="1"/>
    <xf numFmtId="180" fontId="9" fillId="0" borderId="0" xfId="11" applyNumberFormat="1" applyFont="1" applyFill="1" applyBorder="1"/>
    <xf numFmtId="165" fontId="9" fillId="0" borderId="0" xfId="11" applyNumberFormat="1" applyFont="1" applyFill="1" applyBorder="1"/>
    <xf numFmtId="0" fontId="12" fillId="0" borderId="27" xfId="10" applyFont="1" applyFill="1" applyBorder="1" applyAlignment="1" applyProtection="1">
      <alignment horizontal="right"/>
    </xf>
    <xf numFmtId="49" fontId="12" fillId="0" borderId="27" xfId="10" applyNumberFormat="1" applyFont="1" applyFill="1" applyBorder="1" applyAlignment="1" applyProtection="1">
      <alignment horizontal="right"/>
    </xf>
    <xf numFmtId="0" fontId="15" fillId="0" borderId="28" xfId="10" applyFont="1" applyFill="1" applyBorder="1" applyAlignment="1" applyProtection="1">
      <alignment horizontal="right"/>
    </xf>
    <xf numFmtId="0" fontId="15" fillId="0" borderId="30" xfId="10" applyFont="1" applyFill="1" applyBorder="1" applyAlignment="1" applyProtection="1">
      <alignment horizontal="right"/>
    </xf>
    <xf numFmtId="0" fontId="15" fillId="0" borderId="31" xfId="10" applyFont="1" applyFill="1" applyBorder="1" applyAlignment="1" applyProtection="1">
      <alignment horizontal="right"/>
    </xf>
    <xf numFmtId="0" fontId="1" fillId="0" borderId="11" xfId="6" applyFont="1" applyFill="1" applyBorder="1" applyProtection="1">
      <protection locked="0"/>
    </xf>
    <xf numFmtId="174" fontId="8" fillId="0" borderId="5" xfId="6" applyNumberFormat="1" applyFont="1" applyFill="1" applyBorder="1" applyAlignment="1" applyProtection="1">
      <alignment horizontal="right"/>
    </xf>
    <xf numFmtId="1" fontId="9" fillId="0" borderId="0" xfId="6" applyNumberFormat="1" applyFont="1" applyFill="1" applyBorder="1" applyProtection="1"/>
    <xf numFmtId="0" fontId="6" fillId="0" borderId="0" xfId="6" applyFont="1" applyFill="1" applyBorder="1" applyProtection="1"/>
    <xf numFmtId="17" fontId="1" fillId="0" borderId="0" xfId="6" applyNumberFormat="1" applyFont="1" applyFill="1" applyProtection="1">
      <protection locked="0"/>
    </xf>
    <xf numFmtId="1" fontId="1" fillId="0" borderId="0" xfId="6" applyNumberFormat="1" applyFont="1" applyFill="1" applyProtection="1">
      <protection locked="0"/>
    </xf>
    <xf numFmtId="17" fontId="9" fillId="0" borderId="0" xfId="6" applyNumberFormat="1" applyFont="1" applyFill="1" applyProtection="1">
      <protection locked="0"/>
    </xf>
    <xf numFmtId="0" fontId="5" fillId="0" borderId="0" xfId="6" applyFont="1" applyFill="1" applyAlignment="1" applyProtection="1">
      <alignment horizontal="right"/>
      <protection locked="0"/>
    </xf>
    <xf numFmtId="0" fontId="1" fillId="0" borderId="0" xfId="6" applyFont="1" applyFill="1" applyAlignment="1" applyProtection="1">
      <alignment horizontal="right"/>
      <protection locked="0"/>
    </xf>
    <xf numFmtId="0" fontId="9" fillId="0" borderId="0" xfId="6" applyFont="1" applyFill="1" applyBorder="1" applyAlignment="1" applyProtection="1">
      <alignment horizontal="right" vertical="top" wrapText="1"/>
    </xf>
    <xf numFmtId="1" fontId="5" fillId="0" borderId="21" xfId="6" applyNumberFormat="1" applyFont="1" applyFill="1" applyBorder="1" applyProtection="1">
      <protection locked="0"/>
    </xf>
    <xf numFmtId="1" fontId="5" fillId="0" borderId="4" xfId="6" applyNumberFormat="1" applyFont="1" applyFill="1" applyBorder="1" applyProtection="1">
      <protection locked="0"/>
    </xf>
    <xf numFmtId="1" fontId="5" fillId="0" borderId="22" xfId="6" applyNumberFormat="1" applyFont="1" applyFill="1" applyBorder="1" applyProtection="1">
      <protection locked="0"/>
    </xf>
    <xf numFmtId="1" fontId="0" fillId="0" borderId="0" xfId="0" applyNumberFormat="1" applyFill="1" applyAlignment="1">
      <alignment horizontal="center"/>
    </xf>
    <xf numFmtId="165" fontId="1" fillId="0" borderId="0" xfId="6" applyNumberFormat="1" applyFont="1" applyFill="1" applyProtection="1"/>
    <xf numFmtId="0" fontId="24" fillId="0" borderId="0" xfId="6" applyFont="1" applyFill="1" applyBorder="1" applyAlignment="1" applyProtection="1">
      <alignment horizontal="right" vertical="top"/>
    </xf>
    <xf numFmtId="165" fontId="9" fillId="0" borderId="19" xfId="6" applyNumberFormat="1" applyFont="1" applyFill="1" applyBorder="1" applyProtection="1">
      <protection locked="0"/>
    </xf>
    <xf numFmtId="165" fontId="9" fillId="0" borderId="20" xfId="6" applyNumberFormat="1" applyFont="1" applyFill="1" applyBorder="1" applyProtection="1">
      <protection locked="0"/>
    </xf>
    <xf numFmtId="165" fontId="0" fillId="0" borderId="0" xfId="0" applyNumberFormat="1" applyFill="1" applyAlignment="1">
      <alignment horizontal="center"/>
    </xf>
    <xf numFmtId="1" fontId="8" fillId="0" borderId="5" xfId="8" quotePrefix="1" applyNumberFormat="1" applyFont="1" applyFill="1" applyBorder="1" applyAlignment="1" applyProtection="1">
      <alignment horizontal="right"/>
    </xf>
    <xf numFmtId="165" fontId="9" fillId="0" borderId="4" xfId="0" applyNumberFormat="1" applyFont="1" applyFill="1" applyBorder="1"/>
    <xf numFmtId="0" fontId="9" fillId="0" borderId="4" xfId="0" applyFont="1" applyFill="1" applyBorder="1"/>
    <xf numFmtId="165" fontId="5" fillId="0" borderId="19" xfId="6" applyNumberFormat="1" applyFont="1" applyFill="1" applyBorder="1" applyProtection="1">
      <protection locked="0"/>
    </xf>
    <xf numFmtId="165" fontId="5" fillId="0" borderId="0" xfId="6" applyNumberFormat="1" applyFont="1" applyFill="1" applyBorder="1" applyProtection="1">
      <protection locked="0"/>
    </xf>
    <xf numFmtId="165" fontId="5" fillId="0" borderId="20" xfId="6" applyNumberFormat="1" applyFont="1" applyFill="1" applyBorder="1" applyProtection="1">
      <protection locked="0"/>
    </xf>
    <xf numFmtId="0" fontId="19" fillId="0" borderId="4" xfId="0" applyFont="1" applyFill="1" applyBorder="1"/>
    <xf numFmtId="0" fontId="19" fillId="0" borderId="0" xfId="0" applyFont="1" applyFill="1" applyBorder="1"/>
    <xf numFmtId="165" fontId="19" fillId="0" borderId="4" xfId="0" applyNumberFormat="1" applyFont="1" applyFill="1" applyBorder="1" applyAlignment="1">
      <alignment horizontal="right"/>
    </xf>
    <xf numFmtId="165" fontId="19" fillId="0" borderId="0" xfId="0" applyNumberFormat="1" applyFont="1" applyFill="1" applyBorder="1" applyAlignment="1">
      <alignment horizontal="center"/>
    </xf>
    <xf numFmtId="165" fontId="5" fillId="0" borderId="0" xfId="9" applyNumberFormat="1" applyFill="1"/>
    <xf numFmtId="0" fontId="8" fillId="0" borderId="5" xfId="9" applyFont="1" applyFill="1" applyBorder="1" applyAlignment="1">
      <alignment horizontal="right" vertical="top"/>
    </xf>
    <xf numFmtId="0" fontId="9" fillId="0" borderId="0" xfId="9" applyFont="1" applyFill="1" applyBorder="1" applyAlignment="1">
      <alignment horizontal="right" vertical="top"/>
    </xf>
    <xf numFmtId="0" fontId="9" fillId="0" borderId="0" xfId="9" applyFont="1" applyFill="1" applyBorder="1"/>
    <xf numFmtId="0" fontId="9" fillId="0" borderId="4" xfId="9" applyFont="1" applyFill="1" applyBorder="1"/>
    <xf numFmtId="0" fontId="5" fillId="0" borderId="20" xfId="6" applyFont="1" applyFill="1" applyBorder="1" applyAlignment="1" applyProtection="1">
      <alignment horizontal="right" vertical="top" wrapText="1"/>
      <protection locked="0"/>
    </xf>
    <xf numFmtId="166" fontId="8" fillId="0" borderId="26" xfId="8" quotePrefix="1" applyFont="1" applyFill="1" applyBorder="1" applyAlignment="1" applyProtection="1">
      <alignment horizontal="right"/>
    </xf>
    <xf numFmtId="170" fontId="9" fillId="0" borderId="20" xfId="17" applyNumberFormat="1" applyFont="1" applyFill="1" applyBorder="1" applyAlignment="1">
      <alignment horizontal="right"/>
    </xf>
    <xf numFmtId="170" fontId="9" fillId="0" borderId="22" xfId="17" applyNumberFormat="1" applyFont="1" applyFill="1" applyBorder="1" applyAlignment="1">
      <alignment horizontal="right"/>
    </xf>
    <xf numFmtId="17" fontId="8" fillId="0" borderId="26" xfId="6" quotePrefix="1" applyNumberFormat="1" applyFont="1" applyFill="1" applyBorder="1" applyAlignment="1">
      <alignment horizontal="right" wrapText="1"/>
    </xf>
    <xf numFmtId="169" fontId="9" fillId="0" borderId="20" xfId="6" applyNumberFormat="1" applyFont="1" applyFill="1" applyBorder="1" applyAlignment="1">
      <alignment horizontal="right"/>
    </xf>
    <xf numFmtId="169" fontId="9" fillId="0" borderId="20" xfId="29" applyNumberFormat="1" applyFont="1" applyFill="1" applyBorder="1" applyAlignment="1">
      <alignment horizontal="right"/>
    </xf>
    <xf numFmtId="176" fontId="9" fillId="0" borderId="22" xfId="16" applyNumberFormat="1" applyFont="1" applyFill="1" applyBorder="1" applyAlignment="1">
      <alignment horizontal="center" wrapText="1"/>
    </xf>
    <xf numFmtId="169" fontId="9" fillId="0" borderId="59" xfId="6" applyNumberFormat="1" applyFont="1" applyFill="1" applyBorder="1" applyAlignment="1">
      <alignment horizontal="right"/>
    </xf>
    <xf numFmtId="0" fontId="8" fillId="0" borderId="56" xfId="6" applyFont="1" applyFill="1" applyBorder="1" applyAlignment="1">
      <alignment horizontal="right" wrapText="1"/>
    </xf>
    <xf numFmtId="176" fontId="9" fillId="0" borderId="20" xfId="16" applyNumberFormat="1" applyFont="1" applyFill="1" applyBorder="1" applyAlignment="1">
      <alignment horizontal="right" wrapText="1"/>
    </xf>
    <xf numFmtId="176" fontId="8" fillId="0" borderId="66" xfId="16" applyNumberFormat="1" applyFont="1" applyFill="1" applyBorder="1" applyAlignment="1">
      <alignment horizontal="right" wrapText="1"/>
    </xf>
    <xf numFmtId="165" fontId="9" fillId="0" borderId="10" xfId="6" applyNumberFormat="1" applyFont="1" applyFill="1" applyBorder="1" applyAlignment="1">
      <alignment horizontal="right"/>
    </xf>
    <xf numFmtId="0" fontId="12" fillId="0" borderId="26" xfId="6" applyFont="1" applyFill="1" applyBorder="1" applyProtection="1"/>
    <xf numFmtId="0" fontId="15" fillId="0" borderId="20" xfId="6" applyFont="1" applyFill="1" applyBorder="1" applyProtection="1"/>
    <xf numFmtId="0" fontId="15" fillId="0" borderId="59" xfId="6" applyFont="1" applyFill="1" applyBorder="1" applyProtection="1"/>
    <xf numFmtId="0" fontId="0" fillId="0" borderId="20" xfId="6" applyFont="1" applyFill="1" applyBorder="1" applyProtection="1"/>
    <xf numFmtId="0" fontId="0" fillId="0" borderId="22" xfId="6" applyFont="1" applyFill="1" applyBorder="1" applyProtection="1"/>
    <xf numFmtId="0" fontId="7" fillId="0" borderId="20" xfId="6" applyFont="1" applyFill="1" applyBorder="1"/>
    <xf numFmtId="1" fontId="9" fillId="0" borderId="20" xfId="6" applyNumberFormat="1" applyFont="1" applyFill="1" applyBorder="1"/>
    <xf numFmtId="1" fontId="9" fillId="0" borderId="22" xfId="6" applyNumberFormat="1" applyFont="1" applyFill="1" applyBorder="1"/>
    <xf numFmtId="0" fontId="7" fillId="0" borderId="59" xfId="6" applyFont="1" applyFill="1" applyBorder="1"/>
    <xf numFmtId="0" fontId="7" fillId="0" borderId="84" xfId="6" applyFont="1" applyFill="1" applyBorder="1"/>
    <xf numFmtId="0" fontId="8" fillId="0" borderId="26" xfId="6" applyFont="1" applyFill="1" applyBorder="1"/>
    <xf numFmtId="0" fontId="9" fillId="0" borderId="20" xfId="6" applyFont="1" applyFill="1" applyBorder="1"/>
    <xf numFmtId="186" fontId="9" fillId="0" borderId="22" xfId="6" applyNumberFormat="1" applyFont="1" applyFill="1" applyBorder="1" applyAlignment="1">
      <alignment horizontal="right"/>
    </xf>
    <xf numFmtId="0" fontId="8" fillId="0" borderId="55" xfId="6" applyFont="1" applyFill="1" applyBorder="1" applyAlignment="1">
      <alignment horizontal="right" wrapText="1"/>
    </xf>
    <xf numFmtId="0" fontId="9" fillId="0" borderId="12" xfId="15" applyFont="1" applyFill="1" applyBorder="1" applyAlignment="1">
      <alignment horizontal="right"/>
    </xf>
    <xf numFmtId="186" fontId="9" fillId="0" borderId="84" xfId="6" applyNumberFormat="1" applyFont="1" applyFill="1" applyBorder="1" applyAlignment="1">
      <alignment horizontal="right"/>
    </xf>
    <xf numFmtId="0" fontId="9" fillId="0" borderId="7" xfId="15" applyFont="1" applyFill="1" applyBorder="1" applyAlignment="1">
      <alignment horizontal="right"/>
    </xf>
    <xf numFmtId="186" fontId="9" fillId="0" borderId="20" xfId="6" applyNumberFormat="1" applyFont="1" applyFill="1" applyBorder="1" applyAlignment="1">
      <alignment horizontal="right"/>
    </xf>
    <xf numFmtId="0" fontId="9" fillId="0" borderId="9" xfId="15" applyFont="1" applyFill="1" applyBorder="1" applyAlignment="1">
      <alignment horizontal="right"/>
    </xf>
    <xf numFmtId="186" fontId="9" fillId="0" borderId="59" xfId="6" applyNumberFormat="1" applyFont="1" applyFill="1" applyBorder="1" applyAlignment="1">
      <alignment horizontal="right"/>
    </xf>
    <xf numFmtId="2" fontId="9" fillId="0" borderId="64" xfId="16" applyNumberFormat="1" applyFont="1" applyFill="1" applyBorder="1" applyAlignment="1">
      <alignment horizontal="right"/>
    </xf>
    <xf numFmtId="2" fontId="9" fillId="0" borderId="66" xfId="16" applyNumberFormat="1" applyFont="1" applyFill="1" applyBorder="1" applyAlignment="1">
      <alignment horizontal="right"/>
    </xf>
    <xf numFmtId="173" fontId="9" fillId="0" borderId="22" xfId="6" applyNumberFormat="1" applyFont="1" applyFill="1" applyBorder="1" applyAlignment="1">
      <alignment horizontal="right"/>
    </xf>
    <xf numFmtId="165" fontId="57" fillId="0" borderId="20" xfId="17" applyNumberFormat="1" applyFont="1" applyFill="1" applyBorder="1" applyAlignment="1">
      <alignment horizontal="right"/>
    </xf>
    <xf numFmtId="165" fontId="57" fillId="0" borderId="22" xfId="17" applyNumberFormat="1" applyFont="1" applyFill="1" applyBorder="1" applyAlignment="1">
      <alignment horizontal="right"/>
    </xf>
    <xf numFmtId="0" fontId="12" fillId="0" borderId="26" xfId="6" applyFont="1" applyFill="1" applyBorder="1"/>
    <xf numFmtId="0" fontId="9" fillId="0" borderId="20" xfId="17" applyFont="1" applyFill="1" applyBorder="1"/>
    <xf numFmtId="0" fontId="41" fillId="0" borderId="26" xfId="6" applyFont="1" applyFill="1" applyBorder="1" applyAlignment="1">
      <alignment horizontal="center"/>
    </xf>
    <xf numFmtId="165" fontId="19" fillId="0" borderId="20" xfId="6" applyNumberFormat="1" applyFont="1" applyFill="1" applyBorder="1" applyAlignment="1">
      <alignment horizontal="center"/>
    </xf>
    <xf numFmtId="165" fontId="19" fillId="0" borderId="54" xfId="6" applyNumberFormat="1" applyFont="1" applyFill="1" applyBorder="1" applyAlignment="1">
      <alignment horizontal="center"/>
    </xf>
    <xf numFmtId="165" fontId="19" fillId="0" borderId="66" xfId="6" applyNumberFormat="1" applyFont="1" applyFill="1" applyBorder="1" applyAlignment="1">
      <alignment horizontal="center"/>
    </xf>
    <xf numFmtId="0" fontId="19" fillId="0" borderId="22" xfId="6" applyFont="1" applyFill="1" applyBorder="1"/>
    <xf numFmtId="0" fontId="41" fillId="0" borderId="26" xfId="6" applyFont="1" applyFill="1" applyBorder="1" applyAlignment="1" applyProtection="1">
      <alignment horizontal="right"/>
    </xf>
    <xf numFmtId="165" fontId="9" fillId="0" borderId="20" xfId="6" applyNumberFormat="1" applyFont="1" applyFill="1" applyBorder="1" applyProtection="1"/>
    <xf numFmtId="165" fontId="9" fillId="0" borderId="22" xfId="6" applyNumberFormat="1" applyFont="1" applyFill="1" applyBorder="1" applyProtection="1"/>
    <xf numFmtId="0" fontId="9" fillId="0" borderId="92" xfId="6" applyFont="1" applyFill="1" applyBorder="1" applyAlignment="1">
      <alignment horizontal="center" vertical="top" wrapText="1"/>
    </xf>
    <xf numFmtId="1" fontId="9" fillId="0" borderId="85" xfId="6" applyNumberFormat="1" applyFont="1" applyFill="1" applyBorder="1" applyProtection="1"/>
    <xf numFmtId="1" fontId="9" fillId="0" borderId="93" xfId="6" applyNumberFormat="1" applyFont="1" applyFill="1" applyBorder="1" applyAlignment="1" applyProtection="1">
      <alignment horizontal="right"/>
    </xf>
    <xf numFmtId="186" fontId="19" fillId="0" borderId="20" xfId="6" applyNumberFormat="1" applyFont="1" applyFill="1" applyBorder="1" applyAlignment="1" applyProtection="1">
      <alignment horizontal="right"/>
    </xf>
    <xf numFmtId="1" fontId="19" fillId="0" borderId="22" xfId="6" applyNumberFormat="1" applyFont="1" applyFill="1" applyBorder="1" applyAlignment="1" applyProtection="1">
      <alignment horizontal="right"/>
    </xf>
    <xf numFmtId="0" fontId="8" fillId="0" borderId="26" xfId="6" applyNumberFormat="1" applyFont="1" applyFill="1" applyBorder="1" applyAlignment="1" applyProtection="1">
      <alignment horizontal="right"/>
    </xf>
    <xf numFmtId="2" fontId="9" fillId="0" borderId="20" xfId="6" applyNumberFormat="1" applyFont="1" applyFill="1" applyBorder="1" applyAlignment="1" applyProtection="1">
      <alignment horizontal="right"/>
    </xf>
    <xf numFmtId="165" fontId="9" fillId="0" borderId="20" xfId="6" applyNumberFormat="1" applyFont="1" applyFill="1" applyBorder="1" applyAlignment="1" applyProtection="1">
      <alignment horizontal="right"/>
    </xf>
    <xf numFmtId="177" fontId="9" fillId="0" borderId="59" xfId="6" applyNumberFormat="1" applyFont="1" applyFill="1" applyBorder="1" applyAlignment="1" applyProtection="1">
      <alignment horizontal="right"/>
    </xf>
    <xf numFmtId="177" fontId="9" fillId="0" borderId="20" xfId="6" applyNumberFormat="1" applyFont="1" applyFill="1" applyBorder="1" applyAlignment="1" applyProtection="1">
      <alignment horizontal="right"/>
    </xf>
    <xf numFmtId="177" fontId="9" fillId="0" borderId="22" xfId="6" applyNumberFormat="1" applyFont="1" applyFill="1" applyBorder="1" applyAlignment="1" applyProtection="1">
      <alignment horizontal="right"/>
    </xf>
    <xf numFmtId="0" fontId="5" fillId="0" borderId="20" xfId="6" applyFont="1" applyFill="1" applyBorder="1" applyProtection="1">
      <protection locked="0"/>
    </xf>
    <xf numFmtId="2" fontId="9" fillId="0" borderId="20" xfId="31" applyNumberFormat="1" applyFont="1" applyFill="1" applyBorder="1" applyAlignment="1">
      <alignment horizontal="right"/>
    </xf>
    <xf numFmtId="2" fontId="9" fillId="0" borderId="22" xfId="0" applyNumberFormat="1" applyFont="1" applyFill="1" applyBorder="1" applyAlignment="1">
      <alignment horizontal="right"/>
    </xf>
    <xf numFmtId="0" fontId="12" fillId="0" borderId="26" xfId="6" applyFont="1" applyFill="1" applyBorder="1" applyAlignment="1" applyProtection="1">
      <alignment horizontal="right"/>
    </xf>
    <xf numFmtId="3" fontId="15" fillId="0" borderId="20" xfId="6" applyNumberFormat="1" applyFont="1" applyFill="1" applyBorder="1" applyAlignment="1"/>
    <xf numFmtId="173" fontId="15" fillId="0" borderId="22" xfId="19" applyNumberFormat="1" applyFont="1" applyFill="1" applyBorder="1" applyAlignment="1" applyProtection="1">
      <alignment horizontal="right"/>
    </xf>
    <xf numFmtId="3" fontId="27" fillId="0" borderId="20" xfId="17" applyNumberFormat="1" applyFont="1" applyFill="1" applyBorder="1"/>
    <xf numFmtId="169" fontId="27" fillId="0" borderId="20" xfId="32" applyNumberFormat="1" applyFont="1" applyFill="1" applyBorder="1" applyAlignment="1" applyProtection="1">
      <alignment horizontal="right"/>
    </xf>
    <xf numFmtId="169" fontId="27" fillId="0" borderId="22" xfId="32" applyNumberFormat="1" applyFont="1" applyFill="1" applyBorder="1" applyAlignment="1" applyProtection="1">
      <alignment horizontal="right"/>
    </xf>
    <xf numFmtId="0" fontId="8" fillId="0" borderId="26" xfId="6" applyFont="1" applyFill="1" applyBorder="1" applyAlignment="1" applyProtection="1">
      <alignment horizontal="right"/>
    </xf>
    <xf numFmtId="173" fontId="9" fillId="0" borderId="20" xfId="19" applyNumberFormat="1" applyFont="1" applyFill="1" applyBorder="1" applyAlignment="1" applyProtection="1">
      <alignment horizontal="right"/>
    </xf>
    <xf numFmtId="173" fontId="9" fillId="0" borderId="59" xfId="19" applyNumberFormat="1" applyFont="1" applyFill="1" applyBorder="1" applyAlignment="1" applyProtection="1">
      <alignment horizontal="right"/>
    </xf>
    <xf numFmtId="173" fontId="9" fillId="0" borderId="22" xfId="19" applyNumberFormat="1" applyFont="1" applyFill="1" applyBorder="1" applyAlignment="1" applyProtection="1">
      <alignment horizontal="right"/>
    </xf>
    <xf numFmtId="173" fontId="9" fillId="0" borderId="20" xfId="2" applyNumberFormat="1" applyFont="1" applyFill="1" applyBorder="1" applyAlignment="1" applyProtection="1">
      <alignment horizontal="right"/>
    </xf>
    <xf numFmtId="173" fontId="9" fillId="0" borderId="59" xfId="2" applyNumberFormat="1" applyFont="1" applyFill="1" applyBorder="1" applyAlignment="1" applyProtection="1">
      <alignment horizontal="right"/>
    </xf>
    <xf numFmtId="173" fontId="9" fillId="0" borderId="22" xfId="2" applyNumberFormat="1" applyFont="1" applyFill="1" applyBorder="1" applyAlignment="1" applyProtection="1">
      <alignment horizontal="right"/>
    </xf>
    <xf numFmtId="173" fontId="8" fillId="0" borderId="20" xfId="2" applyNumberFormat="1" applyFont="1" applyFill="1" applyBorder="1" applyAlignment="1" applyProtection="1">
      <alignment horizontal="right" wrapText="1"/>
    </xf>
    <xf numFmtId="0" fontId="6" fillId="3" borderId="0" xfId="6" applyFont="1" applyFill="1" applyAlignment="1" applyProtection="1">
      <alignment vertical="top"/>
    </xf>
    <xf numFmtId="0" fontId="0" fillId="3" borderId="0" xfId="6" applyFont="1" applyFill="1" applyAlignment="1" applyProtection="1">
      <alignment vertical="top"/>
    </xf>
    <xf numFmtId="0" fontId="0" fillId="3" borderId="0" xfId="6" applyFont="1" applyFill="1" applyProtection="1"/>
    <xf numFmtId="0" fontId="0" fillId="3" borderId="0" xfId="6" applyFont="1" applyFill="1" applyBorder="1" applyProtection="1"/>
    <xf numFmtId="0" fontId="0" fillId="3" borderId="0" xfId="6" applyFont="1" applyFill="1" applyProtection="1">
      <protection locked="0"/>
    </xf>
    <xf numFmtId="0" fontId="5" fillId="3" borderId="0" xfId="6" applyFont="1" applyFill="1" applyBorder="1" applyAlignment="1" applyProtection="1">
      <alignment horizontal="left" vertical="top" wrapText="1"/>
    </xf>
    <xf numFmtId="0" fontId="0" fillId="3" borderId="0" xfId="6" applyFont="1" applyFill="1" applyBorder="1" applyProtection="1">
      <protection locked="0"/>
    </xf>
    <xf numFmtId="0" fontId="9" fillId="3" borderId="0" xfId="6" applyFont="1" applyFill="1" applyProtection="1">
      <protection locked="0"/>
    </xf>
    <xf numFmtId="0" fontId="9" fillId="3" borderId="0" xfId="6" applyFont="1" applyFill="1" applyBorder="1" applyProtection="1">
      <protection locked="0"/>
    </xf>
    <xf numFmtId="0" fontId="8" fillId="3" borderId="4" xfId="6" applyFont="1" applyFill="1" applyBorder="1" applyAlignment="1" applyProtection="1"/>
    <xf numFmtId="0" fontId="0" fillId="3" borderId="4" xfId="6" applyFont="1" applyFill="1" applyBorder="1" applyProtection="1"/>
    <xf numFmtId="0" fontId="9" fillId="3" borderId="0" xfId="6" applyFont="1" applyFill="1" applyBorder="1" applyProtection="1"/>
    <xf numFmtId="0" fontId="8" fillId="3" borderId="0" xfId="6" applyFont="1" applyFill="1" applyBorder="1" applyAlignment="1" applyProtection="1">
      <alignment horizontal="right"/>
    </xf>
    <xf numFmtId="0" fontId="8" fillId="3" borderId="5" xfId="6" applyFont="1" applyFill="1" applyBorder="1" applyAlignment="1" applyProtection="1">
      <alignment horizontal="right"/>
    </xf>
    <xf numFmtId="0" fontId="92" fillId="3" borderId="0" xfId="6" applyFont="1" applyFill="1" applyAlignment="1" applyProtection="1">
      <alignment horizontal="right" vertical="top"/>
    </xf>
    <xf numFmtId="0" fontId="95" fillId="3" borderId="0" xfId="6" applyFont="1" applyFill="1" applyBorder="1" applyAlignment="1">
      <alignment horizontal="left"/>
    </xf>
    <xf numFmtId="0" fontId="95" fillId="3" borderId="0" xfId="6" applyFont="1" applyFill="1" applyBorder="1" applyAlignment="1">
      <alignment horizontal="center"/>
    </xf>
    <xf numFmtId="3" fontId="8" fillId="3" borderId="8" xfId="6" applyNumberFormat="1" applyFont="1" applyFill="1" applyBorder="1"/>
    <xf numFmtId="2" fontId="0" fillId="3" borderId="0" xfId="6" applyNumberFormat="1" applyFont="1" applyFill="1" applyProtection="1">
      <protection locked="0"/>
    </xf>
    <xf numFmtId="0" fontId="94" fillId="3" borderId="10" xfId="6" applyFont="1" applyFill="1" applyBorder="1" applyAlignment="1">
      <alignment horizontal="right"/>
    </xf>
    <xf numFmtId="0" fontId="94" fillId="3" borderId="10" xfId="6" applyFont="1" applyFill="1" applyBorder="1" applyAlignment="1">
      <alignment horizontal="center"/>
    </xf>
    <xf numFmtId="3" fontId="9" fillId="3" borderId="0" xfId="6" applyNumberFormat="1" applyFont="1" applyFill="1"/>
    <xf numFmtId="3" fontId="9" fillId="3" borderId="10" xfId="6" applyNumberFormat="1" applyFont="1" applyFill="1" applyBorder="1"/>
    <xf numFmtId="0" fontId="94" fillId="3" borderId="0" xfId="6" applyFont="1" applyFill="1" applyBorder="1" applyAlignment="1">
      <alignment horizontal="right"/>
    </xf>
    <xf numFmtId="0" fontId="94" fillId="3" borderId="0" xfId="6" applyFont="1" applyFill="1" applyBorder="1" applyAlignment="1">
      <alignment horizontal="center"/>
    </xf>
    <xf numFmtId="3" fontId="9" fillId="3" borderId="0" xfId="6" applyNumberFormat="1" applyFont="1" applyFill="1" applyBorder="1"/>
    <xf numFmtId="0" fontId="94" fillId="3" borderId="8" xfId="6" applyFont="1" applyFill="1" applyBorder="1" applyAlignment="1">
      <alignment horizontal="right"/>
    </xf>
    <xf numFmtId="0" fontId="94" fillId="3" borderId="8" xfId="6" applyFont="1" applyFill="1" applyBorder="1" applyAlignment="1">
      <alignment horizontal="center"/>
    </xf>
    <xf numFmtId="3" fontId="9" fillId="3" borderId="8" xfId="6" applyNumberFormat="1" applyFont="1" applyFill="1" applyBorder="1"/>
    <xf numFmtId="0" fontId="8" fillId="3" borderId="0" xfId="6" applyFont="1" applyFill="1" applyBorder="1"/>
    <xf numFmtId="0" fontId="8" fillId="3" borderId="0" xfId="6" applyFont="1" applyFill="1" applyBorder="1" applyAlignment="1">
      <alignment horizontal="center"/>
    </xf>
    <xf numFmtId="3" fontId="8" fillId="3" borderId="2" xfId="6" applyNumberFormat="1" applyFont="1" applyFill="1" applyBorder="1"/>
    <xf numFmtId="2" fontId="0" fillId="3" borderId="0" xfId="6" applyNumberFormat="1" applyFont="1" applyFill="1" applyAlignment="1" applyProtection="1">
      <alignment horizontal="right"/>
      <protection locked="0"/>
    </xf>
    <xf numFmtId="0" fontId="8" fillId="3" borderId="0" xfId="6" applyFont="1" applyFill="1" applyProtection="1">
      <protection locked="0"/>
    </xf>
    <xf numFmtId="3" fontId="8" fillId="3" borderId="0" xfId="6" applyNumberFormat="1" applyFont="1" applyFill="1"/>
    <xf numFmtId="3" fontId="8" fillId="3" borderId="0" xfId="6" applyNumberFormat="1" applyFont="1" applyFill="1" applyBorder="1"/>
    <xf numFmtId="3" fontId="8" fillId="3" borderId="10" xfId="6" applyNumberFormat="1" applyFont="1" applyFill="1" applyBorder="1"/>
    <xf numFmtId="3" fontId="0" fillId="3" borderId="0" xfId="6" applyNumberFormat="1" applyFont="1" applyFill="1" applyAlignment="1" applyProtection="1">
      <alignment vertical="top"/>
    </xf>
    <xf numFmtId="0" fontId="15" fillId="3" borderId="10" xfId="6" applyFont="1" applyFill="1" applyBorder="1" applyProtection="1"/>
    <xf numFmtId="0" fontId="0" fillId="3" borderId="10" xfId="6" applyFont="1" applyFill="1" applyBorder="1" applyProtection="1"/>
    <xf numFmtId="172" fontId="0" fillId="3" borderId="10" xfId="6" applyNumberFormat="1" applyFont="1" applyFill="1" applyBorder="1" applyProtection="1">
      <protection locked="0"/>
    </xf>
    <xf numFmtId="0" fontId="9" fillId="3" borderId="10" xfId="6" applyFont="1" applyFill="1" applyBorder="1" applyProtection="1"/>
    <xf numFmtId="3" fontId="9" fillId="3" borderId="10" xfId="6" applyNumberFormat="1" applyFont="1" applyFill="1" applyBorder="1" applyProtection="1"/>
    <xf numFmtId="0" fontId="15" fillId="3" borderId="8" xfId="6" applyFont="1" applyFill="1" applyBorder="1" applyProtection="1"/>
    <xf numFmtId="172" fontId="0" fillId="3" borderId="8" xfId="6" applyNumberFormat="1" applyFont="1" applyFill="1" applyBorder="1" applyProtection="1">
      <protection locked="0"/>
    </xf>
    <xf numFmtId="0" fontId="9" fillId="3" borderId="8" xfId="6" applyFont="1" applyFill="1" applyBorder="1" applyProtection="1"/>
    <xf numFmtId="3" fontId="9" fillId="3" borderId="8" xfId="6" applyNumberFormat="1" applyFont="1" applyFill="1" applyBorder="1" applyProtection="1"/>
    <xf numFmtId="0" fontId="93" fillId="3" borderId="4" xfId="6" applyFont="1" applyFill="1" applyBorder="1" applyAlignment="1" applyProtection="1">
      <alignment horizontal="left" wrapText="1"/>
    </xf>
    <xf numFmtId="0" fontId="93" fillId="3" borderId="4" xfId="6" applyFont="1" applyFill="1" applyBorder="1" applyAlignment="1" applyProtection="1">
      <alignment horizontal="center" wrapText="1"/>
    </xf>
    <xf numFmtId="172" fontId="93" fillId="3" borderId="4" xfId="6" applyNumberFormat="1" applyFont="1" applyFill="1" applyBorder="1" applyProtection="1">
      <protection locked="0"/>
    </xf>
    <xf numFmtId="0" fontId="15" fillId="3" borderId="0" xfId="6" applyFont="1" applyFill="1" applyProtection="1"/>
    <xf numFmtId="172" fontId="0" fillId="3" borderId="0" xfId="6" applyNumberFormat="1" applyFont="1" applyFill="1" applyProtection="1">
      <protection locked="0"/>
    </xf>
    <xf numFmtId="3" fontId="9" fillId="3" borderId="0" xfId="6" applyNumberFormat="1" applyFont="1" applyFill="1" applyBorder="1" applyProtection="1"/>
    <xf numFmtId="0" fontId="9" fillId="3" borderId="0" xfId="6" applyFont="1" applyFill="1" applyProtection="1"/>
    <xf numFmtId="0" fontId="26" fillId="3" borderId="0" xfId="6" applyFont="1" applyFill="1" applyProtection="1"/>
    <xf numFmtId="0" fontId="31" fillId="3" borderId="0" xfId="6" applyFont="1" applyFill="1" applyProtection="1"/>
    <xf numFmtId="0" fontId="6" fillId="3" borderId="0" xfId="6" applyFont="1" applyFill="1" applyAlignment="1" applyProtection="1">
      <alignment vertical="top" wrapText="1"/>
    </xf>
    <xf numFmtId="0" fontId="7" fillId="3" borderId="0" xfId="6" applyFont="1" applyFill="1" applyAlignment="1" applyProtection="1">
      <alignment vertical="top"/>
      <protection locked="0"/>
    </xf>
    <xf numFmtId="0" fontId="6" fillId="3" borderId="0" xfId="6" applyFont="1" applyFill="1" applyAlignment="1" applyProtection="1">
      <alignment vertical="top"/>
      <protection locked="0"/>
    </xf>
    <xf numFmtId="0" fontId="0" fillId="3" borderId="0" xfId="6" applyFont="1" applyFill="1" applyAlignment="1" applyProtection="1">
      <alignment vertical="top"/>
      <protection locked="0"/>
    </xf>
    <xf numFmtId="0" fontId="8" fillId="3" borderId="26" xfId="6" applyFont="1" applyFill="1" applyBorder="1" applyAlignment="1" applyProtection="1">
      <alignment horizontal="right"/>
    </xf>
    <xf numFmtId="3" fontId="8" fillId="3" borderId="59" xfId="6" applyNumberFormat="1" applyFont="1" applyFill="1" applyBorder="1"/>
    <xf numFmtId="3" fontId="9" fillId="3" borderId="84" xfId="6" applyNumberFormat="1" applyFont="1" applyFill="1" applyBorder="1"/>
    <xf numFmtId="3" fontId="9" fillId="3" borderId="20" xfId="6" applyNumberFormat="1" applyFont="1" applyFill="1" applyBorder="1"/>
    <xf numFmtId="3" fontId="9" fillId="3" borderId="59" xfId="6" applyNumberFormat="1" applyFont="1" applyFill="1" applyBorder="1" applyAlignment="1">
      <alignment horizontal="center"/>
    </xf>
    <xf numFmtId="3" fontId="8" fillId="3" borderId="54" xfId="6" applyNumberFormat="1" applyFont="1" applyFill="1" applyBorder="1"/>
    <xf numFmtId="3" fontId="9" fillId="3" borderId="59" xfId="6" applyNumberFormat="1" applyFont="1" applyFill="1" applyBorder="1"/>
    <xf numFmtId="3" fontId="9" fillId="3" borderId="84" xfId="6" applyNumberFormat="1" applyFont="1" applyFill="1" applyBorder="1" applyProtection="1"/>
    <xf numFmtId="172" fontId="93" fillId="3" borderId="22" xfId="6" applyNumberFormat="1" applyFont="1" applyFill="1" applyBorder="1" applyProtection="1">
      <protection locked="0"/>
    </xf>
    <xf numFmtId="3" fontId="9" fillId="3" borderId="59" xfId="6" applyNumberFormat="1" applyFont="1" applyFill="1" applyBorder="1" applyProtection="1"/>
    <xf numFmtId="0" fontId="15" fillId="0" borderId="4" xfId="6" applyFont="1" applyFill="1" applyBorder="1" applyAlignment="1" applyProtection="1">
      <alignment horizontal="center"/>
      <protection locked="0"/>
    </xf>
    <xf numFmtId="3" fontId="8" fillId="0" borderId="6" xfId="6" applyNumberFormat="1" applyFont="1" applyFill="1" applyBorder="1"/>
    <xf numFmtId="3" fontId="8" fillId="0" borderId="43" xfId="6" applyNumberFormat="1" applyFont="1" applyFill="1" applyBorder="1"/>
    <xf numFmtId="0" fontId="8" fillId="0" borderId="26" xfId="17" applyFont="1" applyFill="1" applyBorder="1" applyAlignment="1">
      <alignment horizontal="right"/>
    </xf>
    <xf numFmtId="3" fontId="9" fillId="0" borderId="20" xfId="6" applyNumberFormat="1" applyFont="1" applyFill="1" applyBorder="1" applyAlignment="1" applyProtection="1">
      <alignment horizontal="right" vertical="center"/>
      <protection locked="0"/>
    </xf>
    <xf numFmtId="3" fontId="9" fillId="0" borderId="20" xfId="6" applyNumberFormat="1" applyFont="1" applyFill="1" applyBorder="1" applyAlignment="1" applyProtection="1">
      <alignment horizontal="right" wrapText="1"/>
      <protection locked="0"/>
    </xf>
    <xf numFmtId="3" fontId="9" fillId="0" borderId="59" xfId="6" applyNumberFormat="1" applyFont="1" applyFill="1" applyBorder="1" applyAlignment="1" applyProtection="1">
      <alignment horizontal="right"/>
    </xf>
    <xf numFmtId="3" fontId="8" fillId="0" borderId="22" xfId="6" applyNumberFormat="1" applyFont="1" applyFill="1" applyBorder="1" applyAlignment="1" applyProtection="1">
      <alignment horizontal="right" wrapText="1"/>
    </xf>
    <xf numFmtId="9" fontId="8" fillId="0" borderId="26" xfId="19" quotePrefix="1" applyFont="1" applyFill="1" applyBorder="1" applyAlignment="1">
      <alignment horizontal="right"/>
    </xf>
    <xf numFmtId="170" fontId="9" fillId="0" borderId="20" xfId="19" applyNumberFormat="1" applyFont="1" applyFill="1" applyBorder="1" applyAlignment="1">
      <alignment horizontal="right"/>
    </xf>
    <xf numFmtId="173" fontId="8" fillId="0" borderId="66" xfId="19" applyNumberFormat="1" applyFont="1" applyFill="1" applyBorder="1" applyAlignment="1">
      <alignment horizontal="right"/>
    </xf>
    <xf numFmtId="17" fontId="9" fillId="0" borderId="9" xfId="19" applyNumberFormat="1" applyFont="1" applyFill="1" applyBorder="1" applyAlignment="1">
      <alignment horizontal="right"/>
    </xf>
    <xf numFmtId="0" fontId="9" fillId="0" borderId="59" xfId="19" applyNumberFormat="1" applyFont="1" applyFill="1" applyBorder="1" applyAlignment="1">
      <alignment horizontal="right" wrapText="1"/>
    </xf>
    <xf numFmtId="17" fontId="9" fillId="0" borderId="7" xfId="19" applyNumberFormat="1" applyFont="1" applyFill="1" applyBorder="1" applyAlignment="1">
      <alignment horizontal="right"/>
    </xf>
    <xf numFmtId="0" fontId="9" fillId="0" borderId="20" xfId="19" applyNumberFormat="1" applyFont="1" applyFill="1" applyBorder="1" applyAlignment="1">
      <alignment horizontal="right" wrapText="1"/>
    </xf>
    <xf numFmtId="170" fontId="9" fillId="0" borderId="7" xfId="19" applyNumberFormat="1" applyFont="1" applyFill="1" applyBorder="1" applyAlignment="1">
      <alignment horizontal="right"/>
    </xf>
    <xf numFmtId="170" fontId="9" fillId="0" borderId="50" xfId="19" applyNumberFormat="1" applyFont="1" applyFill="1" applyBorder="1" applyAlignment="1">
      <alignment horizontal="right"/>
    </xf>
    <xf numFmtId="0" fontId="9" fillId="0" borderId="26" xfId="6" applyFont="1" applyFill="1" applyBorder="1" applyAlignment="1"/>
    <xf numFmtId="173" fontId="9" fillId="0" borderId="20" xfId="19" applyNumberFormat="1" applyFont="1" applyFill="1" applyBorder="1" applyAlignment="1"/>
    <xf numFmtId="186" fontId="9" fillId="0" borderId="20" xfId="16" applyNumberFormat="1" applyFont="1" applyFill="1" applyBorder="1" applyAlignment="1"/>
    <xf numFmtId="173" fontId="9" fillId="0" borderId="59" xfId="19" applyNumberFormat="1" applyFont="1" applyFill="1" applyBorder="1" applyAlignment="1"/>
    <xf numFmtId="0" fontId="8" fillId="0" borderId="20" xfId="6" applyFont="1" applyFill="1" applyBorder="1" applyAlignment="1">
      <alignment horizontal="center"/>
    </xf>
    <xf numFmtId="0" fontId="9" fillId="0" borderId="20" xfId="6" applyFont="1" applyFill="1" applyBorder="1" applyAlignment="1"/>
    <xf numFmtId="173" fontId="9" fillId="0" borderId="22" xfId="19" applyNumberFormat="1" applyFont="1" applyFill="1" applyBorder="1" applyAlignment="1"/>
    <xf numFmtId="186" fontId="9" fillId="0" borderId="20" xfId="16" applyNumberFormat="1" applyFont="1" applyFill="1" applyBorder="1" applyAlignment="1">
      <alignment horizontal="right"/>
    </xf>
    <xf numFmtId="173" fontId="9" fillId="0" borderId="59" xfId="19" applyNumberFormat="1" applyFont="1" applyFill="1" applyBorder="1" applyAlignment="1">
      <alignment horizontal="right"/>
    </xf>
    <xf numFmtId="0" fontId="93" fillId="0" borderId="20" xfId="6" applyFont="1" applyFill="1" applyBorder="1" applyAlignment="1">
      <alignment horizontal="right"/>
    </xf>
    <xf numFmtId="186" fontId="50" fillId="0" borderId="20" xfId="6" applyNumberFormat="1" applyFont="1" applyFill="1" applyBorder="1" applyAlignment="1">
      <alignment horizontal="right"/>
    </xf>
    <xf numFmtId="0" fontId="50" fillId="0" borderId="22" xfId="6" applyFont="1" applyFill="1" applyBorder="1" applyAlignment="1">
      <alignment horizontal="left"/>
    </xf>
    <xf numFmtId="0" fontId="9" fillId="0" borderId="25" xfId="6" applyFont="1" applyFill="1" applyBorder="1" applyAlignment="1">
      <alignment horizontal="right" wrapText="1"/>
    </xf>
    <xf numFmtId="0" fontId="9" fillId="0" borderId="25" xfId="6" applyFont="1" applyFill="1" applyBorder="1" applyAlignment="1">
      <alignment horizontal="left" wrapText="1"/>
    </xf>
    <xf numFmtId="0" fontId="9" fillId="0" borderId="19" xfId="6" applyFont="1" applyFill="1" applyBorder="1" applyAlignment="1">
      <alignment horizontal="left" wrapText="1"/>
    </xf>
    <xf numFmtId="186" fontId="9" fillId="0" borderId="19" xfId="16" applyNumberFormat="1" applyFont="1" applyFill="1" applyBorder="1" applyAlignment="1">
      <alignment wrapText="1"/>
    </xf>
    <xf numFmtId="0" fontId="9" fillId="0" borderId="33" xfId="6" applyFont="1" applyFill="1" applyBorder="1" applyAlignment="1">
      <alignment horizontal="left" wrapText="1"/>
    </xf>
    <xf numFmtId="0" fontId="8" fillId="0" borderId="19" xfId="6" applyFont="1" applyFill="1" applyBorder="1" applyAlignment="1">
      <alignment horizontal="left" vertical="center" wrapText="1"/>
    </xf>
    <xf numFmtId="0" fontId="9" fillId="0" borderId="21" xfId="6" applyFont="1" applyFill="1" applyBorder="1" applyAlignment="1">
      <alignment horizontal="left" wrapText="1"/>
    </xf>
    <xf numFmtId="0" fontId="8" fillId="0" borderId="25" xfId="6" applyFont="1" applyFill="1" applyBorder="1" applyAlignment="1">
      <alignment horizontal="left"/>
    </xf>
    <xf numFmtId="0" fontId="8" fillId="0" borderId="19" xfId="6" applyFont="1" applyFill="1" applyBorder="1" applyAlignment="1">
      <alignment horizontal="left"/>
    </xf>
    <xf numFmtId="0" fontId="9" fillId="0" borderId="94" xfId="6" applyFont="1" applyFill="1" applyBorder="1"/>
    <xf numFmtId="0" fontId="9" fillId="0" borderId="19" xfId="6" applyFont="1" applyFill="1" applyBorder="1"/>
    <xf numFmtId="0" fontId="9" fillId="0" borderId="33" xfId="6" applyFont="1" applyFill="1" applyBorder="1"/>
    <xf numFmtId="0" fontId="8" fillId="0" borderId="19" xfId="6" applyFont="1" applyFill="1" applyBorder="1"/>
    <xf numFmtId="0" fontId="8" fillId="0" borderId="21" xfId="6" applyFont="1" applyFill="1" applyBorder="1" applyAlignment="1"/>
    <xf numFmtId="0" fontId="8" fillId="0" borderId="33" xfId="6" applyFont="1" applyFill="1" applyBorder="1" applyAlignment="1">
      <alignment horizontal="left"/>
    </xf>
    <xf numFmtId="0" fontId="8" fillId="0" borderId="25" xfId="6" applyFont="1" applyFill="1" applyBorder="1" applyAlignment="1">
      <alignment wrapText="1"/>
    </xf>
    <xf numFmtId="0" fontId="8" fillId="0" borderId="57" xfId="6" applyFont="1" applyFill="1" applyBorder="1" applyAlignment="1">
      <alignment wrapText="1"/>
    </xf>
    <xf numFmtId="0" fontId="9" fillId="0" borderId="19" xfId="6" applyFont="1" applyFill="1" applyBorder="1" applyAlignment="1">
      <alignment wrapText="1"/>
    </xf>
    <xf numFmtId="0" fontId="8" fillId="0" borderId="63" xfId="6" applyFont="1" applyFill="1" applyBorder="1"/>
    <xf numFmtId="0" fontId="9" fillId="0" borderId="92" xfId="6" applyFont="1" applyFill="1" applyBorder="1"/>
    <xf numFmtId="0" fontId="8" fillId="0" borderId="89" xfId="6" applyFont="1" applyFill="1" applyBorder="1"/>
    <xf numFmtId="0" fontId="8" fillId="0" borderId="85" xfId="6" applyFont="1" applyFill="1" applyBorder="1"/>
    <xf numFmtId="0" fontId="9" fillId="0" borderId="85" xfId="6" applyFont="1" applyFill="1" applyBorder="1"/>
    <xf numFmtId="0" fontId="9" fillId="0" borderId="95" xfId="6" applyFont="1" applyFill="1" applyBorder="1"/>
    <xf numFmtId="0" fontId="8" fillId="0" borderId="86" xfId="6" applyFont="1" applyFill="1" applyBorder="1"/>
    <xf numFmtId="0" fontId="24" fillId="0" borderId="97" xfId="6" applyFont="1" applyFill="1" applyBorder="1" applyAlignment="1" applyProtection="1"/>
    <xf numFmtId="0" fontId="9" fillId="0" borderId="98" xfId="6" applyFont="1" applyFill="1" applyBorder="1" applyAlignment="1"/>
    <xf numFmtId="0" fontId="9" fillId="0" borderId="99" xfId="6" applyFont="1" applyFill="1" applyBorder="1" applyAlignment="1">
      <alignment wrapText="1"/>
    </xf>
    <xf numFmtId="0" fontId="8" fillId="0" borderId="7" xfId="6" applyFont="1" applyFill="1" applyBorder="1" applyAlignment="1">
      <alignment horizontal="right"/>
    </xf>
    <xf numFmtId="0" fontId="8" fillId="0" borderId="20" xfId="6" applyFont="1" applyFill="1" applyBorder="1" applyAlignment="1">
      <alignment horizontal="right"/>
    </xf>
    <xf numFmtId="1" fontId="9" fillId="0" borderId="50" xfId="6" applyNumberFormat="1" applyFont="1" applyFill="1" applyBorder="1"/>
    <xf numFmtId="0" fontId="8" fillId="0" borderId="100" xfId="6" applyFont="1" applyFill="1" applyBorder="1" applyAlignment="1" applyProtection="1">
      <alignment horizontal="left" wrapText="1"/>
    </xf>
    <xf numFmtId="0" fontId="8" fillId="0" borderId="85" xfId="6" applyFont="1" applyFill="1" applyBorder="1" applyAlignment="1" applyProtection="1">
      <alignment horizontal="left" wrapText="1"/>
    </xf>
    <xf numFmtId="0" fontId="9" fillId="0" borderId="85" xfId="6" applyFont="1" applyFill="1" applyBorder="1" applyAlignment="1" applyProtection="1">
      <alignment horizontal="left" wrapText="1"/>
    </xf>
    <xf numFmtId="186" fontId="9" fillId="0" borderId="85" xfId="6" applyNumberFormat="1" applyFont="1" applyFill="1" applyBorder="1" applyAlignment="1" applyProtection="1">
      <alignment wrapText="1"/>
    </xf>
    <xf numFmtId="0" fontId="9" fillId="0" borderId="85" xfId="6" applyFont="1" applyFill="1" applyBorder="1" applyAlignment="1" applyProtection="1">
      <alignment wrapText="1"/>
    </xf>
    <xf numFmtId="0" fontId="9" fillId="0" borderId="86" xfId="6" applyFont="1" applyFill="1" applyBorder="1" applyAlignment="1" applyProtection="1">
      <alignment wrapText="1"/>
    </xf>
    <xf numFmtId="0" fontId="9" fillId="0" borderId="25" xfId="6" applyFont="1" applyFill="1" applyBorder="1" applyProtection="1"/>
    <xf numFmtId="0" fontId="9" fillId="0" borderId="19" xfId="6" applyFont="1" applyFill="1" applyBorder="1" applyProtection="1"/>
    <xf numFmtId="0" fontId="9" fillId="0" borderId="21" xfId="6" applyFont="1" applyFill="1" applyBorder="1" applyProtection="1"/>
    <xf numFmtId="0" fontId="11" fillId="0" borderId="26" xfId="6" applyFont="1" applyFill="1" applyBorder="1" applyProtection="1"/>
    <xf numFmtId="0" fontId="9" fillId="0" borderId="20" xfId="6" applyFont="1" applyFill="1" applyBorder="1" applyProtection="1"/>
    <xf numFmtId="0" fontId="9" fillId="0" borderId="22" xfId="6" applyFont="1" applyFill="1" applyBorder="1" applyProtection="1"/>
    <xf numFmtId="0" fontId="9" fillId="0" borderId="25" xfId="6" applyFont="1" applyFill="1" applyBorder="1" applyAlignment="1" applyProtection="1">
      <alignment horizontal="right"/>
    </xf>
    <xf numFmtId="0" fontId="9" fillId="0" borderId="19" xfId="6" applyFont="1" applyFill="1" applyBorder="1" applyAlignment="1" applyProtection="1">
      <alignment horizontal="right"/>
    </xf>
    <xf numFmtId="0" fontId="9" fillId="0" borderId="21" xfId="6" applyFont="1" applyFill="1" applyBorder="1" applyAlignment="1" applyProtection="1">
      <alignment wrapText="1"/>
    </xf>
    <xf numFmtId="0" fontId="8" fillId="0" borderId="25" xfId="17" applyFont="1" applyFill="1" applyBorder="1"/>
    <xf numFmtId="0" fontId="9" fillId="0" borderId="19" xfId="17" applyFont="1" applyFill="1" applyBorder="1" applyAlignment="1">
      <alignment horizontal="left"/>
    </xf>
    <xf numFmtId="0" fontId="9" fillId="0" borderId="21" xfId="17" applyFont="1" applyFill="1" applyBorder="1" applyAlignment="1">
      <alignment horizontal="left"/>
    </xf>
    <xf numFmtId="0" fontId="9" fillId="0" borderId="20" xfId="17" quotePrefix="1" applyFont="1" applyFill="1" applyBorder="1" applyAlignment="1">
      <alignment horizontal="right"/>
    </xf>
    <xf numFmtId="0" fontId="9" fillId="0" borderId="22" xfId="17" quotePrefix="1" applyFont="1" applyFill="1" applyBorder="1" applyAlignment="1">
      <alignment horizontal="right"/>
    </xf>
    <xf numFmtId="0" fontId="9" fillId="0" borderId="54" xfId="17" applyFont="1" applyFill="1" applyBorder="1" applyAlignment="1">
      <alignment horizontal="right" wrapText="1"/>
    </xf>
    <xf numFmtId="165" fontId="9" fillId="0" borderId="20" xfId="17" quotePrefix="1" applyNumberFormat="1" applyFont="1" applyFill="1" applyBorder="1" applyAlignment="1">
      <alignment horizontal="right"/>
    </xf>
    <xf numFmtId="165" fontId="9" fillId="0" borderId="59" xfId="17" quotePrefix="1" applyNumberFormat="1" applyFont="1" applyFill="1" applyBorder="1" applyAlignment="1">
      <alignment horizontal="right"/>
    </xf>
    <xf numFmtId="165" fontId="8" fillId="0" borderId="22" xfId="17" applyNumberFormat="1" applyFont="1" applyFill="1" applyBorder="1" applyAlignment="1">
      <alignment horizontal="right"/>
    </xf>
    <xf numFmtId="165" fontId="9" fillId="0" borderId="20" xfId="17" applyNumberFormat="1" applyFont="1" applyFill="1" applyBorder="1" applyAlignment="1">
      <alignment horizontal="right"/>
    </xf>
    <xf numFmtId="165" fontId="9" fillId="0" borderId="59" xfId="17" applyNumberFormat="1" applyFont="1" applyFill="1" applyBorder="1" applyAlignment="1">
      <alignment horizontal="right"/>
    </xf>
    <xf numFmtId="0" fontId="9" fillId="0" borderId="25" xfId="6" applyFont="1" applyFill="1" applyBorder="1"/>
    <xf numFmtId="0" fontId="8" fillId="0" borderId="63" xfId="6" applyFont="1" applyFill="1" applyBorder="1" applyAlignment="1">
      <alignment horizontal="left"/>
    </xf>
    <xf numFmtId="17" fontId="8" fillId="0" borderId="26" xfId="6" quotePrefix="1" applyNumberFormat="1" applyFont="1" applyFill="1" applyBorder="1" applyAlignment="1">
      <alignment horizontal="right"/>
    </xf>
    <xf numFmtId="17" fontId="8" fillId="0" borderId="20" xfId="6" quotePrefix="1" applyNumberFormat="1" applyFont="1" applyFill="1" applyBorder="1" applyAlignment="1">
      <alignment horizontal="right"/>
    </xf>
    <xf numFmtId="171" fontId="9" fillId="0" borderId="20" xfId="41" applyNumberFormat="1" applyFont="1" applyFill="1" applyBorder="1" applyAlignment="1">
      <alignment horizontal="right"/>
    </xf>
    <xf numFmtId="171" fontId="9" fillId="0" borderId="59" xfId="41" applyNumberFormat="1" applyFont="1" applyFill="1" applyBorder="1" applyAlignment="1">
      <alignment horizontal="right"/>
    </xf>
    <xf numFmtId="171" fontId="8" fillId="0" borderId="66" xfId="6" applyNumberFormat="1" applyFont="1" applyFill="1" applyBorder="1" applyAlignment="1">
      <alignment horizontal="right"/>
    </xf>
    <xf numFmtId="0" fontId="9" fillId="0" borderId="19" xfId="6" applyFont="1" applyFill="1" applyBorder="1" applyAlignment="1">
      <alignment vertical="top" wrapText="1"/>
    </xf>
    <xf numFmtId="0" fontId="9" fillId="0" borderId="21" xfId="6" applyFont="1" applyFill="1" applyBorder="1" applyAlignment="1">
      <alignment vertical="top" wrapText="1"/>
    </xf>
    <xf numFmtId="173" fontId="8" fillId="0" borderId="26" xfId="2" quotePrefix="1" applyNumberFormat="1" applyFont="1" applyFill="1" applyBorder="1" applyAlignment="1">
      <alignment horizontal="right" wrapText="1"/>
    </xf>
    <xf numFmtId="173" fontId="9" fillId="0" borderId="20" xfId="2" applyNumberFormat="1" applyFont="1" applyFill="1" applyBorder="1" applyAlignment="1">
      <alignment horizontal="right" vertical="top" wrapText="1"/>
    </xf>
    <xf numFmtId="173" fontId="9" fillId="0" borderId="22" xfId="2" applyNumberFormat="1" applyFont="1" applyFill="1" applyBorder="1" applyAlignment="1">
      <alignment horizontal="right" vertical="top" wrapText="1"/>
    </xf>
    <xf numFmtId="0" fontId="8" fillId="0" borderId="21" xfId="6" applyFont="1" applyFill="1" applyBorder="1" applyProtection="1"/>
    <xf numFmtId="0" fontId="9" fillId="0" borderId="65" xfId="6" applyFont="1" applyFill="1" applyBorder="1"/>
    <xf numFmtId="0" fontId="9" fillId="0" borderId="65" xfId="6" applyFont="1" applyFill="1" applyBorder="1" applyAlignment="1">
      <alignment horizontal="left" vertical="top"/>
    </xf>
    <xf numFmtId="0" fontId="8" fillId="0" borderId="26" xfId="6" quotePrefix="1" applyFont="1" applyFill="1" applyBorder="1" applyAlignment="1">
      <alignment horizontal="right"/>
    </xf>
    <xf numFmtId="0" fontId="9" fillId="0" borderId="59" xfId="6" applyFont="1" applyFill="1" applyBorder="1" applyAlignment="1" applyProtection="1">
      <protection locked="0"/>
    </xf>
    <xf numFmtId="3" fontId="15" fillId="0" borderId="20" xfId="17" applyNumberFormat="1" applyFont="1" applyFill="1" applyBorder="1"/>
    <xf numFmtId="3" fontId="12" fillId="0" borderId="22" xfId="17" applyNumberFormat="1" applyFont="1" applyFill="1" applyBorder="1"/>
    <xf numFmtId="0" fontId="8" fillId="0" borderId="56" xfId="6" quotePrefix="1" applyFont="1" applyFill="1" applyBorder="1" applyAlignment="1">
      <alignment horizontal="right"/>
    </xf>
    <xf numFmtId="165" fontId="15" fillId="0" borderId="20" xfId="17" applyNumberFormat="1" applyFont="1" applyFill="1" applyBorder="1"/>
    <xf numFmtId="165" fontId="12" fillId="0" borderId="22" xfId="17" applyNumberFormat="1" applyFont="1" applyFill="1" applyBorder="1"/>
    <xf numFmtId="0" fontId="12" fillId="0" borderId="56" xfId="17" applyFont="1" applyFill="1" applyBorder="1" applyAlignment="1">
      <alignment horizontal="right" wrapText="1"/>
    </xf>
    <xf numFmtId="173" fontId="15" fillId="0" borderId="20" xfId="17" applyNumberFormat="1" applyFont="1" applyFill="1" applyBorder="1" applyAlignment="1">
      <alignment horizontal="right"/>
    </xf>
    <xf numFmtId="173" fontId="12" fillId="0" borderId="22" xfId="17" applyNumberFormat="1" applyFont="1" applyFill="1" applyBorder="1" applyAlignment="1">
      <alignment horizontal="right"/>
    </xf>
    <xf numFmtId="0" fontId="9" fillId="0" borderId="59" xfId="6" applyFont="1" applyFill="1" applyBorder="1" applyAlignment="1" applyProtection="1">
      <alignment horizontal="right"/>
      <protection locked="0"/>
    </xf>
    <xf numFmtId="3" fontId="15" fillId="0" borderId="20" xfId="17" applyNumberFormat="1" applyFont="1" applyFill="1" applyBorder="1" applyAlignment="1">
      <alignment horizontal="right"/>
    </xf>
    <xf numFmtId="3" fontId="12" fillId="0" borderId="22" xfId="17" applyNumberFormat="1" applyFont="1" applyFill="1" applyBorder="1" applyAlignment="1">
      <alignment horizontal="right"/>
    </xf>
    <xf numFmtId="165" fontId="15" fillId="0" borderId="20" xfId="17" applyNumberFormat="1" applyFont="1" applyFill="1" applyBorder="1" applyAlignment="1">
      <alignment horizontal="right"/>
    </xf>
    <xf numFmtId="165" fontId="12" fillId="0" borderId="22" xfId="17" applyNumberFormat="1" applyFont="1" applyFill="1" applyBorder="1" applyAlignment="1">
      <alignment horizontal="right"/>
    </xf>
    <xf numFmtId="10" fontId="15" fillId="0" borderId="20" xfId="17" applyNumberFormat="1" applyFont="1" applyFill="1" applyBorder="1" applyAlignment="1">
      <alignment horizontal="right"/>
    </xf>
    <xf numFmtId="10" fontId="12" fillId="0" borderId="22" xfId="17" applyNumberFormat="1" applyFont="1" applyFill="1" applyBorder="1" applyAlignment="1">
      <alignment horizontal="right"/>
    </xf>
    <xf numFmtId="0" fontId="8" fillId="0" borderId="26" xfId="6" applyFont="1" applyFill="1" applyBorder="1" applyAlignment="1">
      <alignment horizontal="right" wrapText="1"/>
    </xf>
    <xf numFmtId="173" fontId="9" fillId="0" borderId="20" xfId="2" applyNumberFormat="1" applyFont="1" applyFill="1" applyBorder="1" applyAlignment="1">
      <alignment horizontal="right"/>
    </xf>
    <xf numFmtId="173" fontId="9" fillId="0" borderId="54" xfId="2" applyNumberFormat="1" applyFont="1" applyFill="1" applyBorder="1" applyAlignment="1">
      <alignment horizontal="right"/>
    </xf>
    <xf numFmtId="173" fontId="9" fillId="0" borderId="59" xfId="2" applyNumberFormat="1" applyFont="1" applyFill="1" applyBorder="1" applyAlignment="1">
      <alignment horizontal="right"/>
    </xf>
    <xf numFmtId="173" fontId="9" fillId="0" borderId="22" xfId="2" applyNumberFormat="1" applyFont="1" applyFill="1" applyBorder="1" applyAlignment="1">
      <alignment horizontal="right"/>
    </xf>
    <xf numFmtId="0" fontId="9" fillId="0" borderId="25" xfId="6" applyFont="1" applyFill="1" applyBorder="1" applyAlignment="1">
      <alignment horizontal="left"/>
    </xf>
    <xf numFmtId="0" fontId="9" fillId="0" borderId="19" xfId="6" applyFont="1" applyFill="1" applyBorder="1" applyAlignment="1">
      <alignment horizontal="left"/>
    </xf>
    <xf numFmtId="186" fontId="9" fillId="0" borderId="21" xfId="6" applyNumberFormat="1" applyFont="1" applyFill="1" applyBorder="1" applyAlignment="1">
      <alignment horizontal="left"/>
    </xf>
    <xf numFmtId="0" fontId="8" fillId="0" borderId="20" xfId="6" applyFont="1" applyFill="1" applyBorder="1" applyAlignment="1">
      <alignment horizontal="right" wrapText="1"/>
    </xf>
    <xf numFmtId="0" fontId="15" fillId="0" borderId="19" xfId="6" applyFont="1" applyFill="1" applyBorder="1" applyProtection="1"/>
    <xf numFmtId="0" fontId="9" fillId="0" borderId="33" xfId="6" applyFont="1" applyFill="1" applyBorder="1" applyProtection="1"/>
    <xf numFmtId="0" fontId="8" fillId="0" borderId="63" xfId="6" applyFont="1" applyFill="1" applyBorder="1" applyProtection="1"/>
    <xf numFmtId="0" fontId="9" fillId="0" borderId="21" xfId="6" applyFont="1" applyFill="1" applyBorder="1" applyAlignment="1" applyProtection="1">
      <alignment horizontal="right"/>
    </xf>
    <xf numFmtId="0" fontId="9" fillId="0" borderId="21" xfId="6" applyFont="1" applyFill="1" applyBorder="1" applyAlignment="1">
      <alignment horizontal="left"/>
    </xf>
    <xf numFmtId="170" fontId="9" fillId="0" borderId="20" xfId="6" applyNumberFormat="1" applyFont="1" applyFill="1" applyBorder="1" applyAlignment="1" applyProtection="1">
      <alignment horizontal="right"/>
    </xf>
    <xf numFmtId="170" fontId="9" fillId="0" borderId="59" xfId="6" applyNumberFormat="1" applyFont="1" applyFill="1" applyBorder="1" applyProtection="1">
      <protection locked="0"/>
    </xf>
    <xf numFmtId="170" fontId="9" fillId="0" borderId="20" xfId="6" applyNumberFormat="1" applyFont="1" applyFill="1" applyBorder="1" applyProtection="1">
      <protection locked="0"/>
    </xf>
    <xf numFmtId="170" fontId="8" fillId="0" borderId="66" xfId="6" applyNumberFormat="1" applyFont="1" applyFill="1" applyBorder="1" applyAlignment="1" applyProtection="1">
      <alignment horizontal="right"/>
    </xf>
    <xf numFmtId="170" fontId="9" fillId="0" borderId="22" xfId="6" applyNumberFormat="1" applyFont="1" applyFill="1" applyBorder="1" applyProtection="1">
      <protection locked="0"/>
    </xf>
    <xf numFmtId="169" fontId="9" fillId="0" borderId="22" xfId="6" applyNumberFormat="1" applyFont="1" applyFill="1" applyBorder="1" applyAlignment="1">
      <alignment horizontal="right"/>
    </xf>
    <xf numFmtId="0" fontId="19" fillId="0" borderId="25" xfId="6" applyFont="1" applyFill="1" applyBorder="1" applyProtection="1"/>
    <xf numFmtId="0" fontId="19" fillId="0" borderId="33" xfId="6" applyFont="1" applyFill="1" applyBorder="1" applyProtection="1"/>
    <xf numFmtId="0" fontId="19" fillId="0" borderId="19" xfId="6" applyFont="1" applyFill="1" applyBorder="1" applyAlignment="1" applyProtection="1">
      <alignment horizontal="left"/>
    </xf>
    <xf numFmtId="0" fontId="19" fillId="0" borderId="19" xfId="6" applyFont="1" applyFill="1" applyBorder="1" applyAlignment="1">
      <alignment horizontal="left"/>
    </xf>
    <xf numFmtId="0" fontId="19" fillId="0" borderId="33" xfId="6" applyFont="1" applyFill="1" applyBorder="1" applyAlignment="1">
      <alignment horizontal="left"/>
    </xf>
    <xf numFmtId="0" fontId="19" fillId="0" borderId="21" xfId="6" applyFont="1" applyFill="1" applyBorder="1" applyAlignment="1">
      <alignment horizontal="left"/>
    </xf>
    <xf numFmtId="0" fontId="41" fillId="0" borderId="21" xfId="6" applyFont="1" applyFill="1" applyBorder="1" applyAlignment="1">
      <alignment horizontal="left"/>
    </xf>
    <xf numFmtId="0" fontId="41" fillId="0" borderId="26" xfId="6" quotePrefix="1" applyFont="1" applyFill="1" applyBorder="1" applyAlignment="1">
      <alignment horizontal="right"/>
    </xf>
    <xf numFmtId="207" fontId="19" fillId="0" borderId="59" xfId="6" applyNumberFormat="1" applyFont="1" applyFill="1" applyBorder="1" applyAlignment="1" applyProtection="1">
      <alignment horizontal="right"/>
    </xf>
    <xf numFmtId="207" fontId="41" fillId="0" borderId="20" xfId="6" applyNumberFormat="1" applyFont="1" applyFill="1" applyBorder="1" applyAlignment="1" applyProtection="1">
      <alignment horizontal="right"/>
    </xf>
    <xf numFmtId="207" fontId="19" fillId="0" borderId="20" xfId="6" applyNumberFormat="1" applyFont="1" applyFill="1" applyBorder="1" applyAlignment="1" applyProtection="1">
      <alignment horizontal="right"/>
    </xf>
    <xf numFmtId="169" fontId="19" fillId="0" borderId="59" xfId="6" applyNumberFormat="1" applyFont="1" applyFill="1" applyBorder="1" applyAlignment="1">
      <alignment horizontal="right"/>
    </xf>
    <xf numFmtId="169" fontId="19" fillId="0" borderId="20" xfId="6" applyNumberFormat="1" applyFont="1" applyFill="1" applyBorder="1" applyAlignment="1">
      <alignment horizontal="right"/>
    </xf>
    <xf numFmtId="169" fontId="19" fillId="0" borderId="22" xfId="6" applyNumberFormat="1" applyFont="1" applyFill="1" applyBorder="1" applyAlignment="1">
      <alignment horizontal="right"/>
    </xf>
    <xf numFmtId="169" fontId="41" fillId="0" borderId="22" xfId="6" applyNumberFormat="1" applyFont="1" applyFill="1" applyBorder="1" applyAlignment="1">
      <alignment horizontal="right"/>
    </xf>
    <xf numFmtId="0" fontId="67" fillId="0" borderId="25" xfId="0" applyFont="1" applyFill="1" applyBorder="1" applyAlignment="1">
      <alignment horizontal="center" vertical="top" wrapText="1"/>
    </xf>
    <xf numFmtId="169" fontId="15" fillId="0" borderId="19" xfId="6" applyNumberFormat="1" applyFont="1" applyFill="1" applyBorder="1" applyAlignment="1">
      <alignment horizontal="left" vertical="top" wrapText="1"/>
    </xf>
    <xf numFmtId="169" fontId="15" fillId="0" borderId="63" xfId="6" applyNumberFormat="1" applyFont="1" applyFill="1" applyBorder="1" applyAlignment="1">
      <alignment horizontal="left" vertical="top" wrapText="1"/>
    </xf>
    <xf numFmtId="0" fontId="67" fillId="0" borderId="25" xfId="0" applyFont="1" applyFill="1" applyBorder="1" applyAlignment="1">
      <alignment horizontal="left" vertical="top" wrapText="1"/>
    </xf>
    <xf numFmtId="0" fontId="12" fillId="0" borderId="26" xfId="6" applyFont="1" applyFill="1" applyBorder="1" applyAlignment="1" applyProtection="1">
      <alignment horizontal="center" vertical="top" wrapText="1"/>
      <protection locked="0"/>
    </xf>
    <xf numFmtId="169" fontId="15" fillId="0" borderId="20" xfId="6" applyNumberFormat="1" applyFont="1" applyFill="1" applyBorder="1" applyAlignment="1">
      <alignment horizontal="center" vertical="top"/>
    </xf>
    <xf numFmtId="9" fontId="12" fillId="0" borderId="66" xfId="2" applyFont="1" applyFill="1" applyBorder="1" applyAlignment="1">
      <alignment horizontal="center" vertical="top"/>
    </xf>
    <xf numFmtId="169" fontId="15" fillId="0" borderId="20" xfId="6" applyNumberFormat="1" applyFont="1" applyFill="1" applyBorder="1" applyAlignment="1">
      <alignment horizontal="center"/>
    </xf>
    <xf numFmtId="176" fontId="9" fillId="0" borderId="20" xfId="16" applyNumberFormat="1" applyFont="1" applyFill="1" applyBorder="1" applyAlignment="1" applyProtection="1">
      <alignment horizontal="right"/>
    </xf>
    <xf numFmtId="9" fontId="9" fillId="0" borderId="20" xfId="19" applyFont="1" applyFill="1" applyBorder="1" applyAlignment="1" applyProtection="1">
      <alignment horizontal="right"/>
    </xf>
    <xf numFmtId="176" fontId="9" fillId="0" borderId="20" xfId="6" applyNumberFormat="1" applyFont="1" applyFill="1" applyBorder="1" applyAlignment="1" applyProtection="1">
      <alignment horizontal="right"/>
    </xf>
    <xf numFmtId="176" fontId="9" fillId="0" borderId="22" xfId="6" applyNumberFormat="1" applyFont="1" applyFill="1" applyBorder="1" applyAlignment="1" applyProtection="1">
      <alignment horizontal="right"/>
    </xf>
    <xf numFmtId="0" fontId="9" fillId="0" borderId="19" xfId="6" applyFont="1" applyFill="1" applyBorder="1" applyAlignment="1" applyProtection="1">
      <alignment wrapText="1"/>
    </xf>
    <xf numFmtId="49" fontId="9" fillId="0" borderId="19" xfId="6" applyNumberFormat="1" applyFont="1" applyFill="1" applyBorder="1" applyAlignment="1" applyProtection="1">
      <alignment wrapText="1"/>
    </xf>
    <xf numFmtId="0" fontId="15" fillId="0" borderId="19" xfId="6" applyFont="1" applyFill="1" applyBorder="1" applyAlignment="1">
      <alignment horizontal="left"/>
    </xf>
    <xf numFmtId="0" fontId="12" fillId="0" borderId="26" xfId="6" quotePrefix="1" applyFont="1" applyFill="1" applyBorder="1" applyAlignment="1">
      <alignment horizontal="right"/>
    </xf>
    <xf numFmtId="0" fontId="15" fillId="0" borderId="20" xfId="6" applyFont="1" applyFill="1" applyBorder="1" applyAlignment="1">
      <alignment horizontal="right"/>
    </xf>
    <xf numFmtId="170" fontId="15" fillId="0" borderId="22" xfId="6" applyNumberFormat="1" applyFont="1" applyFill="1" applyBorder="1" applyAlignment="1">
      <alignment horizontal="right"/>
    </xf>
    <xf numFmtId="0" fontId="8" fillId="0" borderId="20" xfId="17" applyFont="1" applyFill="1" applyBorder="1" applyAlignment="1">
      <alignment horizontal="right"/>
    </xf>
    <xf numFmtId="3" fontId="9" fillId="0" borderId="20" xfId="17" applyNumberFormat="1" applyFont="1" applyFill="1" applyBorder="1" applyAlignment="1">
      <alignment horizontal="right"/>
    </xf>
    <xf numFmtId="0" fontId="8" fillId="0" borderId="20" xfId="6" applyFont="1" applyFill="1" applyBorder="1"/>
    <xf numFmtId="176" fontId="9" fillId="0" borderId="59" xfId="16" applyNumberFormat="1" applyFont="1" applyFill="1" applyBorder="1" applyAlignment="1">
      <alignment horizontal="right"/>
    </xf>
    <xf numFmtId="173" fontId="9" fillId="0" borderId="20" xfId="6" applyNumberFormat="1" applyFont="1" applyFill="1" applyBorder="1"/>
    <xf numFmtId="165" fontId="9" fillId="0" borderId="20" xfId="6" applyNumberFormat="1" applyFont="1" applyFill="1" applyBorder="1"/>
    <xf numFmtId="1" fontId="9" fillId="0" borderId="5" xfId="6" applyNumberFormat="1" applyFont="1" applyFill="1" applyBorder="1" applyAlignment="1">
      <alignment horizontal="right"/>
    </xf>
    <xf numFmtId="176" fontId="9" fillId="0" borderId="5" xfId="16" applyNumberFormat="1" applyFont="1" applyFill="1" applyBorder="1" applyAlignment="1">
      <alignment horizontal="right"/>
    </xf>
    <xf numFmtId="3" fontId="9" fillId="0" borderId="5" xfId="6" applyNumberFormat="1" applyFont="1" applyFill="1" applyBorder="1" applyAlignment="1">
      <alignment horizontal="right"/>
    </xf>
    <xf numFmtId="173" fontId="9" fillId="0" borderId="5" xfId="6" applyNumberFormat="1" applyFont="1" applyFill="1" applyBorder="1" applyAlignment="1">
      <alignment horizontal="right"/>
    </xf>
    <xf numFmtId="173" fontId="9" fillId="0" borderId="5" xfId="16" applyNumberFormat="1" applyFont="1" applyFill="1" applyBorder="1" applyAlignment="1">
      <alignment horizontal="right"/>
    </xf>
    <xf numFmtId="0" fontId="9" fillId="0" borderId="26" xfId="6" applyFont="1" applyFill="1" applyBorder="1"/>
    <xf numFmtId="0" fontId="8" fillId="0" borderId="25" xfId="6" applyFont="1" applyFill="1" applyBorder="1" applyAlignment="1"/>
    <xf numFmtId="0" fontId="8" fillId="0" borderId="63" xfId="6" applyFont="1" applyFill="1" applyBorder="1" applyAlignment="1">
      <alignment horizontal="left" wrapText="1"/>
    </xf>
    <xf numFmtId="0" fontId="8" fillId="0" borderId="25" xfId="6" applyFont="1" applyFill="1" applyBorder="1"/>
    <xf numFmtId="0" fontId="8" fillId="0" borderId="19" xfId="6" applyFont="1" applyFill="1" applyBorder="1" applyAlignment="1"/>
    <xf numFmtId="0" fontId="9" fillId="0" borderId="59" xfId="6" applyFont="1" applyFill="1" applyBorder="1"/>
    <xf numFmtId="0" fontId="8" fillId="0" borderId="22" xfId="6" applyFont="1" applyFill="1" applyBorder="1"/>
    <xf numFmtId="0" fontId="9" fillId="0" borderId="22" xfId="6" applyFont="1" applyFill="1" applyBorder="1" applyAlignment="1">
      <alignment horizontal="right"/>
    </xf>
    <xf numFmtId="1" fontId="9" fillId="0" borderId="20" xfId="6" quotePrefix="1" applyNumberFormat="1" applyFont="1" applyFill="1" applyBorder="1" applyAlignment="1">
      <alignment horizontal="right"/>
    </xf>
    <xf numFmtId="1" fontId="8" fillId="0" borderId="66" xfId="6" applyNumberFormat="1" applyFont="1" applyFill="1" applyBorder="1" applyAlignment="1">
      <alignment horizontal="right" wrapText="1"/>
    </xf>
    <xf numFmtId="0" fontId="12" fillId="0" borderId="26" xfId="6" applyFont="1" applyFill="1" applyBorder="1" applyAlignment="1">
      <alignment horizontal="right"/>
    </xf>
    <xf numFmtId="0" fontId="15" fillId="0" borderId="22" xfId="6" applyFont="1" applyFill="1" applyBorder="1" applyAlignment="1">
      <alignment horizontal="right"/>
    </xf>
    <xf numFmtId="0" fontId="9" fillId="0" borderId="33" xfId="6" applyFont="1" applyFill="1" applyBorder="1" applyAlignment="1">
      <alignment wrapText="1"/>
    </xf>
    <xf numFmtId="0" fontId="9" fillId="0" borderId="33" xfId="6" applyFont="1" applyFill="1" applyBorder="1" applyAlignment="1">
      <alignment horizontal="left"/>
    </xf>
    <xf numFmtId="0" fontId="8" fillId="0" borderId="19" xfId="6" applyFont="1" applyFill="1" applyBorder="1" applyAlignment="1">
      <alignment wrapText="1"/>
    </xf>
    <xf numFmtId="3" fontId="9" fillId="0" borderId="19" xfId="6" applyNumberFormat="1" applyFont="1" applyFill="1" applyBorder="1"/>
    <xf numFmtId="0" fontId="8" fillId="0" borderId="63" xfId="6" applyFont="1" applyFill="1" applyBorder="1" applyAlignment="1">
      <alignment wrapText="1"/>
    </xf>
    <xf numFmtId="202" fontId="8" fillId="0" borderId="26" xfId="6" quotePrefix="1" applyNumberFormat="1" applyFont="1" applyFill="1" applyBorder="1" applyAlignment="1">
      <alignment horizontal="right"/>
    </xf>
    <xf numFmtId="165" fontId="9" fillId="0" borderId="20" xfId="1" applyNumberFormat="1" applyFont="1" applyFill="1" applyBorder="1"/>
    <xf numFmtId="176" fontId="9" fillId="0" borderId="20" xfId="1" applyNumberFormat="1" applyFont="1" applyFill="1" applyBorder="1"/>
    <xf numFmtId="176" fontId="9" fillId="0" borderId="59" xfId="1" applyNumberFormat="1" applyFont="1" applyFill="1" applyBorder="1"/>
    <xf numFmtId="172" fontId="9" fillId="0" borderId="20" xfId="1" applyNumberFormat="1" applyFont="1" applyFill="1" applyBorder="1"/>
    <xf numFmtId="172" fontId="9" fillId="0" borderId="59" xfId="6" applyNumberFormat="1" applyFont="1" applyFill="1" applyBorder="1" applyAlignment="1">
      <alignment horizontal="right"/>
    </xf>
    <xf numFmtId="172" fontId="8" fillId="0" borderId="66" xfId="1" applyNumberFormat="1" applyFont="1" applyFill="1" applyBorder="1"/>
    <xf numFmtId="9" fontId="9" fillId="0" borderId="20" xfId="2" applyFont="1" applyFill="1" applyBorder="1" applyAlignment="1">
      <alignment horizontal="right"/>
    </xf>
    <xf numFmtId="173" fontId="9" fillId="0" borderId="59" xfId="6" applyNumberFormat="1" applyFont="1" applyFill="1" applyBorder="1" applyAlignment="1">
      <alignment horizontal="right"/>
    </xf>
    <xf numFmtId="0" fontId="15" fillId="0" borderId="25" xfId="0" applyFont="1" applyFill="1" applyBorder="1" applyAlignment="1">
      <alignment vertical="center"/>
    </xf>
    <xf numFmtId="0" fontId="15" fillId="0" borderId="19" xfId="0" applyFont="1" applyFill="1" applyBorder="1" applyAlignment="1">
      <alignment vertical="center" wrapText="1"/>
    </xf>
    <xf numFmtId="0" fontId="15" fillId="0" borderId="21" xfId="0" applyFont="1" applyFill="1" applyBorder="1" applyAlignment="1">
      <alignment vertical="center" wrapText="1"/>
    </xf>
    <xf numFmtId="0" fontId="12" fillId="0" borderId="26" xfId="0" applyFont="1" applyFill="1" applyBorder="1" applyAlignment="1">
      <alignment horizontal="right" vertical="center" wrapText="1"/>
    </xf>
    <xf numFmtId="0" fontId="15" fillId="0" borderId="20" xfId="0" applyFont="1" applyFill="1" applyBorder="1" applyAlignment="1">
      <alignment horizontal="right" vertical="center" wrapText="1"/>
    </xf>
    <xf numFmtId="0" fontId="15" fillId="0" borderId="22" xfId="0" applyFont="1" applyFill="1" applyBorder="1" applyAlignment="1">
      <alignment horizontal="right" vertical="center" wrapText="1"/>
    </xf>
    <xf numFmtId="0" fontId="9" fillId="0" borderId="19" xfId="6" applyFont="1" applyFill="1" applyBorder="1" applyAlignment="1"/>
    <xf numFmtId="0" fontId="9" fillId="0" borderId="21" xfId="6" applyFont="1" applyFill="1" applyBorder="1" applyAlignment="1">
      <alignment wrapText="1"/>
    </xf>
    <xf numFmtId="17" fontId="41" fillId="0" borderId="7" xfId="6" applyNumberFormat="1" applyFont="1" applyFill="1" applyBorder="1" applyAlignment="1">
      <alignment horizontal="right"/>
    </xf>
    <xf numFmtId="0" fontId="41" fillId="0" borderId="20" xfId="6" applyFont="1" applyFill="1" applyBorder="1" applyAlignment="1">
      <alignment horizontal="right"/>
    </xf>
    <xf numFmtId="176" fontId="19" fillId="0" borderId="50" xfId="16" applyNumberFormat="1" applyFont="1" applyFill="1" applyBorder="1" applyAlignment="1">
      <alignment horizontal="right"/>
    </xf>
    <xf numFmtId="176" fontId="19" fillId="0" borderId="22" xfId="16" applyNumberFormat="1" applyFont="1" applyFill="1" applyBorder="1" applyAlignment="1">
      <alignment horizontal="right"/>
    </xf>
    <xf numFmtId="0" fontId="8" fillId="0" borderId="26" xfId="6" applyFont="1" applyFill="1" applyBorder="1" applyAlignment="1">
      <alignment horizontal="right"/>
    </xf>
    <xf numFmtId="0" fontId="8" fillId="0" borderId="26" xfId="6" applyFont="1" applyFill="1" applyBorder="1" applyAlignment="1">
      <alignment horizontal="right" vertical="top" wrapText="1"/>
    </xf>
    <xf numFmtId="176" fontId="9" fillId="0" borderId="20" xfId="16" quotePrefix="1" applyNumberFormat="1" applyFont="1" applyFill="1" applyBorder="1" applyAlignment="1">
      <alignment horizontal="right"/>
    </xf>
    <xf numFmtId="176" fontId="8" fillId="0" borderId="20" xfId="16" quotePrefix="1" applyNumberFormat="1" applyFont="1" applyFill="1" applyBorder="1" applyAlignment="1">
      <alignment horizontal="right"/>
    </xf>
    <xf numFmtId="0" fontId="9" fillId="0" borderId="66" xfId="6" applyFont="1" applyFill="1" applyBorder="1"/>
    <xf numFmtId="176" fontId="8" fillId="0" borderId="22" xfId="16" quotePrefix="1" applyNumberFormat="1" applyFont="1" applyFill="1" applyBorder="1" applyAlignment="1">
      <alignment horizontal="right"/>
    </xf>
    <xf numFmtId="0" fontId="9" fillId="0" borderId="63" xfId="6" applyFont="1" applyFill="1" applyBorder="1" applyAlignment="1">
      <alignment horizontal="left"/>
    </xf>
    <xf numFmtId="0" fontId="8" fillId="0" borderId="25" xfId="18" applyFont="1" applyFill="1" applyBorder="1" applyAlignment="1">
      <alignment vertical="top"/>
    </xf>
    <xf numFmtId="0" fontId="9" fillId="0" borderId="19" xfId="18" applyFont="1" applyFill="1" applyBorder="1" applyAlignment="1">
      <alignment horizontal="left" vertical="top"/>
    </xf>
    <xf numFmtId="0" fontId="9" fillId="0" borderId="19" xfId="18" applyFont="1" applyFill="1" applyBorder="1" applyAlignment="1">
      <alignment horizontal="left" vertical="center"/>
    </xf>
    <xf numFmtId="0" fontId="9" fillId="0" borderId="21" xfId="18" applyFont="1" applyFill="1" applyBorder="1" applyAlignment="1">
      <alignment horizontal="left" vertical="top"/>
    </xf>
    <xf numFmtId="0" fontId="8" fillId="0" borderId="26" xfId="6" applyFont="1" applyFill="1" applyBorder="1" applyAlignment="1">
      <alignment horizontal="right" vertical="center"/>
    </xf>
    <xf numFmtId="0" fontId="9" fillId="0" borderId="54" xfId="6" applyFont="1" applyFill="1" applyBorder="1"/>
    <xf numFmtId="0" fontId="9" fillId="0" borderId="25" xfId="6" applyFont="1" applyFill="1" applyBorder="1" applyAlignment="1"/>
    <xf numFmtId="2" fontId="9" fillId="0" borderId="20" xfId="6" applyNumberFormat="1" applyFont="1" applyFill="1" applyBorder="1"/>
    <xf numFmtId="2" fontId="108" fillId="0" borderId="22" xfId="6" applyNumberFormat="1" applyFont="1" applyFill="1" applyBorder="1"/>
    <xf numFmtId="0" fontId="8" fillId="0" borderId="25" xfId="6" applyFont="1" applyFill="1" applyBorder="1" applyAlignment="1">
      <alignment horizontal="center" vertical="center"/>
    </xf>
    <xf numFmtId="0" fontId="9" fillId="0" borderId="19" xfId="6" applyFont="1" applyFill="1" applyBorder="1" applyAlignment="1">
      <alignment vertical="center" wrapText="1"/>
    </xf>
    <xf numFmtId="0" fontId="108" fillId="0" borderId="21" xfId="6" applyFont="1" applyFill="1" applyBorder="1" applyAlignment="1">
      <alignment wrapText="1"/>
    </xf>
    <xf numFmtId="173" fontId="9" fillId="0" borderId="20" xfId="2" applyNumberFormat="1" applyFont="1" applyFill="1" applyBorder="1"/>
    <xf numFmtId="173" fontId="9" fillId="0" borderId="22" xfId="2" applyNumberFormat="1" applyFont="1" applyFill="1" applyBorder="1"/>
    <xf numFmtId="0" fontId="8" fillId="0" borderId="25" xfId="6" applyFont="1" applyFill="1" applyBorder="1" applyAlignment="1">
      <alignment horizontal="left" vertical="center"/>
    </xf>
    <xf numFmtId="10" fontId="44" fillId="0" borderId="19" xfId="0" applyNumberFormat="1" applyFont="1" applyFill="1" applyBorder="1" applyAlignment="1">
      <alignment horizontal="left" vertical="center" wrapText="1"/>
    </xf>
    <xf numFmtId="10" fontId="9" fillId="0" borderId="20" xfId="2" applyNumberFormat="1" applyFont="1" applyFill="1" applyBorder="1"/>
    <xf numFmtId="0" fontId="9" fillId="0" borderId="25" xfId="6" applyFont="1" applyFill="1" applyBorder="1" applyAlignment="1" applyProtection="1">
      <alignment horizontal="left"/>
      <protection locked="0"/>
    </xf>
    <xf numFmtId="0" fontId="9" fillId="0" borderId="19" xfId="6" applyFont="1" applyFill="1" applyBorder="1" applyAlignment="1" applyProtection="1">
      <alignment horizontal="left"/>
      <protection locked="0"/>
    </xf>
    <xf numFmtId="0" fontId="9" fillId="0" borderId="21" xfId="6" applyFont="1" applyFill="1" applyBorder="1" applyAlignment="1" applyProtection="1">
      <alignment horizontal="left"/>
      <protection locked="0"/>
    </xf>
    <xf numFmtId="0" fontId="8" fillId="0" borderId="19" xfId="6" applyFont="1" applyFill="1" applyBorder="1" applyAlignment="1" applyProtection="1">
      <alignment horizontal="left"/>
      <protection locked="0"/>
    </xf>
    <xf numFmtId="0" fontId="9" fillId="0" borderId="19" xfId="9" applyFont="1" applyFill="1" applyBorder="1"/>
    <xf numFmtId="0" fontId="9" fillId="0" borderId="21" xfId="9" applyFont="1" applyFill="1" applyBorder="1"/>
    <xf numFmtId="0" fontId="9" fillId="0" borderId="25" xfId="6" applyFont="1" applyFill="1" applyBorder="1" applyAlignment="1" applyProtection="1">
      <alignment horizontal="left" wrapText="1"/>
    </xf>
    <xf numFmtId="0" fontId="8" fillId="0" borderId="21" xfId="6" applyFont="1" applyFill="1" applyBorder="1" applyAlignment="1" applyProtection="1">
      <alignment wrapText="1"/>
    </xf>
    <xf numFmtId="165" fontId="9" fillId="0" borderId="21" xfId="6" applyNumberFormat="1" applyFont="1" applyFill="1" applyBorder="1" applyProtection="1"/>
    <xf numFmtId="0" fontId="1" fillId="0" borderId="25" xfId="6" applyFont="1" applyFill="1" applyBorder="1" applyProtection="1"/>
    <xf numFmtId="0" fontId="9" fillId="0" borderId="21" xfId="6" applyFont="1" applyFill="1" applyBorder="1" applyAlignment="1" applyProtection="1">
      <alignment horizontal="left" wrapText="1"/>
    </xf>
    <xf numFmtId="174" fontId="8" fillId="0" borderId="26" xfId="6" applyNumberFormat="1" applyFont="1" applyFill="1" applyBorder="1" applyAlignment="1" applyProtection="1">
      <alignment horizontal="right"/>
    </xf>
    <xf numFmtId="1" fontId="15" fillId="0" borderId="22" xfId="0" applyNumberFormat="1" applyFont="1" applyFill="1" applyBorder="1" applyAlignment="1">
      <alignment horizontal="right"/>
    </xf>
    <xf numFmtId="0" fontId="8" fillId="0" borderId="19" xfId="6" applyFont="1" applyFill="1" applyBorder="1" applyProtection="1"/>
    <xf numFmtId="0" fontId="9" fillId="0" borderId="65" xfId="6" applyFont="1" applyFill="1" applyBorder="1" applyProtection="1"/>
    <xf numFmtId="0" fontId="9" fillId="0" borderId="57" xfId="6" applyFont="1" applyFill="1" applyBorder="1" applyProtection="1"/>
    <xf numFmtId="0" fontId="9" fillId="0" borderId="63" xfId="6" applyFont="1" applyFill="1" applyBorder="1" applyProtection="1"/>
    <xf numFmtId="49" fontId="8" fillId="0" borderId="101" xfId="10" applyNumberFormat="1" applyFont="1" applyFill="1" applyBorder="1" applyAlignment="1" applyProtection="1">
      <alignment horizontal="right"/>
    </xf>
    <xf numFmtId="170" fontId="15" fillId="0" borderId="20" xfId="10" applyNumberFormat="1" applyFont="1" applyFill="1" applyBorder="1" applyAlignment="1" applyProtection="1">
      <alignment horizontal="right"/>
    </xf>
    <xf numFmtId="170" fontId="15" fillId="0" borderId="102" xfId="10" applyNumberFormat="1" applyFont="1" applyFill="1" applyBorder="1" applyAlignment="1" applyProtection="1">
      <alignment horizontal="right"/>
    </xf>
    <xf numFmtId="170" fontId="12" fillId="0" borderId="20" xfId="10" applyNumberFormat="1" applyFont="1" applyFill="1" applyBorder="1" applyAlignment="1" applyProtection="1">
      <alignment horizontal="right"/>
    </xf>
    <xf numFmtId="0" fontId="15" fillId="0" borderId="20" xfId="10" applyFont="1" applyFill="1" applyBorder="1" applyAlignment="1" applyProtection="1">
      <alignment horizontal="right"/>
    </xf>
    <xf numFmtId="170" fontId="15" fillId="0" borderId="103" xfId="10" applyNumberFormat="1" applyFont="1" applyFill="1" applyBorder="1" applyAlignment="1" applyProtection="1">
      <alignment horizontal="right"/>
    </xf>
    <xf numFmtId="170" fontId="15" fillId="0" borderId="104" xfId="10" applyNumberFormat="1" applyFont="1" applyFill="1" applyBorder="1" applyAlignment="1" applyProtection="1">
      <alignment horizontal="right"/>
    </xf>
    <xf numFmtId="0" fontId="15" fillId="0" borderId="105" xfId="10" applyFont="1" applyFill="1" applyBorder="1" applyAlignment="1" applyProtection="1">
      <alignment horizontal="right"/>
    </xf>
    <xf numFmtId="49" fontId="8" fillId="0" borderId="26" xfId="8" applyNumberFormat="1" applyFont="1" applyFill="1" applyBorder="1" applyAlignment="1" applyProtection="1">
      <alignment horizontal="right"/>
    </xf>
    <xf numFmtId="171" fontId="15" fillId="0" borderId="22" xfId="8" applyNumberFormat="1" applyFont="1" applyFill="1" applyBorder="1" applyProtection="1"/>
    <xf numFmtId="165" fontId="27" fillId="0" borderId="22" xfId="6" applyNumberFormat="1" applyFont="1" applyFill="1" applyBorder="1" applyProtection="1">
      <protection locked="0"/>
    </xf>
    <xf numFmtId="1" fontId="8" fillId="0" borderId="26" xfId="8" quotePrefix="1" applyNumberFormat="1" applyFont="1" applyFill="1" applyBorder="1" applyAlignment="1" applyProtection="1">
      <alignment horizontal="right"/>
    </xf>
    <xf numFmtId="165" fontId="15" fillId="0" borderId="20" xfId="6" applyNumberFormat="1" applyFont="1" applyFill="1" applyBorder="1" applyProtection="1"/>
    <xf numFmtId="165" fontId="15" fillId="0" borderId="22" xfId="0" applyNumberFormat="1" applyFont="1" applyFill="1" applyBorder="1"/>
    <xf numFmtId="165" fontId="15" fillId="0" borderId="22" xfId="6" applyNumberFormat="1" applyFont="1" applyFill="1" applyBorder="1" applyProtection="1"/>
    <xf numFmtId="0" fontId="41" fillId="0" borderId="25" xfId="7" applyFont="1" applyFill="1" applyBorder="1" applyAlignment="1" applyProtection="1">
      <alignment horizontal="left"/>
      <protection locked="0"/>
    </xf>
    <xf numFmtId="0" fontId="27" fillId="0" borderId="19" xfId="0" applyFont="1" applyFill="1" applyBorder="1" applyAlignment="1">
      <alignment wrapText="1"/>
    </xf>
    <xf numFmtId="0" fontId="27" fillId="0" borderId="21" xfId="0" applyFont="1" applyFill="1" applyBorder="1" applyAlignment="1">
      <alignment wrapText="1"/>
    </xf>
    <xf numFmtId="0" fontId="8" fillId="0" borderId="25" xfId="7" applyFont="1" applyFill="1" applyBorder="1" applyAlignment="1" applyProtection="1">
      <alignment horizontal="left"/>
      <protection locked="0"/>
    </xf>
    <xf numFmtId="0" fontId="9" fillId="0" borderId="21" xfId="7" applyFont="1" applyFill="1" applyBorder="1" applyAlignment="1" applyProtection="1">
      <alignment horizontal="left"/>
      <protection locked="0"/>
    </xf>
    <xf numFmtId="0" fontId="15" fillId="0" borderId="19" xfId="0" applyFont="1" applyFill="1" applyBorder="1" applyAlignment="1">
      <alignment vertical="center"/>
    </xf>
    <xf numFmtId="0" fontId="15" fillId="0" borderId="33" xfId="0" applyFont="1" applyFill="1" applyBorder="1" applyAlignment="1">
      <alignment vertical="center"/>
    </xf>
    <xf numFmtId="0" fontId="8" fillId="0" borderId="19" xfId="7" applyFont="1" applyFill="1" applyBorder="1" applyAlignment="1" applyProtection="1">
      <alignment horizontal="left"/>
      <protection locked="0"/>
    </xf>
    <xf numFmtId="0" fontId="15" fillId="0" borderId="21" xfId="0" applyFont="1" applyFill="1" applyBorder="1" applyAlignment="1">
      <alignment vertical="center"/>
    </xf>
    <xf numFmtId="0" fontId="8" fillId="0" borderId="26" xfId="7" applyFont="1" applyFill="1" applyBorder="1" applyAlignment="1" applyProtection="1">
      <protection locked="0"/>
    </xf>
    <xf numFmtId="181" fontId="15" fillId="0" borderId="20" xfId="0" applyNumberFormat="1" applyFont="1" applyFill="1" applyBorder="1"/>
    <xf numFmtId="165" fontId="15" fillId="0" borderId="20" xfId="0" applyNumberFormat="1" applyFont="1" applyFill="1" applyBorder="1"/>
    <xf numFmtId="0" fontId="68" fillId="0" borderId="26" xfId="7" applyFont="1" applyFill="1" applyBorder="1" applyAlignment="1" applyProtection="1">
      <protection locked="0"/>
    </xf>
    <xf numFmtId="1" fontId="15" fillId="0" borderId="22" xfId="7" applyNumberFormat="1" applyFont="1" applyFill="1" applyBorder="1" applyAlignment="1" applyProtection="1">
      <alignment horizontal="right"/>
      <protection locked="0"/>
    </xf>
    <xf numFmtId="10" fontId="44" fillId="0" borderId="20" xfId="0" applyNumberFormat="1" applyFont="1" applyFill="1" applyBorder="1" applyAlignment="1">
      <alignment horizontal="right" vertical="center"/>
    </xf>
    <xf numFmtId="10" fontId="44" fillId="0" borderId="59" xfId="0" applyNumberFormat="1" applyFont="1" applyFill="1" applyBorder="1" applyAlignment="1">
      <alignment horizontal="right" vertical="center"/>
    </xf>
    <xf numFmtId="10" fontId="9" fillId="0" borderId="20" xfId="2" applyNumberFormat="1" applyFont="1" applyFill="1" applyBorder="1" applyProtection="1">
      <protection locked="0"/>
    </xf>
    <xf numFmtId="10" fontId="44" fillId="0" borderId="22" xfId="0" applyNumberFormat="1" applyFont="1" applyFill="1" applyBorder="1" applyAlignment="1">
      <alignment horizontal="right" vertical="center"/>
    </xf>
    <xf numFmtId="0" fontId="8" fillId="0" borderId="26" xfId="6" applyFont="1" applyFill="1" applyBorder="1" applyAlignment="1" applyProtection="1"/>
    <xf numFmtId="179" fontId="15" fillId="0" borderId="20" xfId="6" applyNumberFormat="1" applyFont="1" applyFill="1" applyBorder="1" applyProtection="1"/>
    <xf numFmtId="179" fontId="9" fillId="0" borderId="20" xfId="6" applyNumberFormat="1" applyFont="1" applyFill="1" applyBorder="1" applyProtection="1"/>
    <xf numFmtId="179" fontId="9" fillId="0" borderId="22" xfId="6" applyNumberFormat="1" applyFont="1" applyFill="1" applyBorder="1" applyProtection="1"/>
    <xf numFmtId="0" fontId="9" fillId="0" borderId="20" xfId="6" applyFont="1" applyFill="1" applyBorder="1" applyAlignment="1" applyProtection="1">
      <alignment horizontal="right"/>
    </xf>
    <xf numFmtId="0" fontId="9" fillId="0" borderId="20" xfId="6" quotePrefix="1" applyFont="1" applyFill="1" applyBorder="1" applyAlignment="1" applyProtection="1">
      <alignment horizontal="right"/>
    </xf>
    <xf numFmtId="3" fontId="9" fillId="0" borderId="20" xfId="6" applyNumberFormat="1" applyFont="1" applyFill="1" applyBorder="1" applyAlignment="1" applyProtection="1">
      <alignment horizontal="right"/>
    </xf>
    <xf numFmtId="0" fontId="9" fillId="0" borderId="66" xfId="6" applyFont="1" applyFill="1" applyBorder="1" applyAlignment="1" applyProtection="1">
      <alignment horizontal="right"/>
    </xf>
    <xf numFmtId="0" fontId="8" fillId="0" borderId="25" xfId="6" applyFont="1" applyFill="1" applyBorder="1" applyAlignment="1" applyProtection="1"/>
    <xf numFmtId="0" fontId="9" fillId="0" borderId="19" xfId="6" applyFont="1" applyFill="1" applyBorder="1" applyAlignment="1" applyProtection="1"/>
    <xf numFmtId="0" fontId="9" fillId="0" borderId="21" xfId="6" applyFont="1" applyFill="1" applyBorder="1" applyAlignment="1" applyProtection="1"/>
    <xf numFmtId="0" fontId="9" fillId="0" borderId="19" xfId="6" applyFont="1" applyFill="1" applyBorder="1" applyProtection="1">
      <protection locked="0"/>
    </xf>
    <xf numFmtId="0" fontId="9" fillId="0" borderId="33" xfId="6" applyFont="1" applyFill="1" applyBorder="1" applyProtection="1">
      <protection locked="0"/>
    </xf>
    <xf numFmtId="0" fontId="8" fillId="0" borderId="63" xfId="6" applyFont="1" applyFill="1" applyBorder="1" applyAlignment="1" applyProtection="1"/>
    <xf numFmtId="0" fontId="47" fillId="0" borderId="19" xfId="15" applyFont="1" applyFill="1" applyBorder="1" applyAlignment="1">
      <alignment horizontal="left" wrapText="1"/>
    </xf>
    <xf numFmtId="0" fontId="9" fillId="0" borderId="26" xfId="6" applyFont="1" applyFill="1" applyBorder="1" applyAlignment="1" applyProtection="1">
      <alignment horizontal="right"/>
    </xf>
    <xf numFmtId="0" fontId="9" fillId="0" borderId="22" xfId="6" applyFont="1" applyFill="1" applyBorder="1" applyAlignment="1" applyProtection="1">
      <alignment horizontal="right"/>
    </xf>
    <xf numFmtId="0" fontId="47" fillId="0" borderId="26" xfId="15" applyFont="1" applyFill="1" applyBorder="1" applyAlignment="1">
      <alignment horizontal="right" wrapText="1"/>
    </xf>
    <xf numFmtId="181" fontId="15" fillId="0" borderId="20" xfId="15" applyNumberFormat="1" applyFont="1" applyFill="1" applyBorder="1" applyAlignment="1">
      <alignment horizontal="right" wrapText="1"/>
    </xf>
    <xf numFmtId="0" fontId="45" fillId="0" borderId="59" xfId="15" applyFont="1" applyFill="1" applyBorder="1" applyAlignment="1">
      <alignment horizontal="right" wrapText="1"/>
    </xf>
    <xf numFmtId="183" fontId="15" fillId="0" borderId="20" xfId="15" applyNumberFormat="1" applyFont="1" applyFill="1" applyBorder="1" applyAlignment="1">
      <alignment horizontal="right" wrapText="1"/>
    </xf>
    <xf numFmtId="0" fontId="45" fillId="0" borderId="22" xfId="15" applyFont="1" applyFill="1" applyBorder="1" applyAlignment="1">
      <alignment horizontal="right" wrapText="1"/>
    </xf>
    <xf numFmtId="0" fontId="9" fillId="0" borderId="25" xfId="6" applyFont="1" applyFill="1" applyBorder="1" applyAlignment="1" applyProtection="1"/>
    <xf numFmtId="49" fontId="41" fillId="0" borderId="26" xfId="5" applyNumberFormat="1" applyFont="1" applyFill="1" applyBorder="1" applyAlignment="1" applyProtection="1">
      <alignment horizontal="right"/>
    </xf>
    <xf numFmtId="165" fontId="19" fillId="0" borderId="20" xfId="0" applyNumberFormat="1" applyFont="1" applyFill="1" applyBorder="1"/>
    <xf numFmtId="165" fontId="19" fillId="0" borderId="20" xfId="6" applyNumberFormat="1" applyFont="1" applyFill="1" applyBorder="1"/>
    <xf numFmtId="165" fontId="19" fillId="0" borderId="54" xfId="6" applyNumberFormat="1" applyFont="1" applyFill="1" applyBorder="1"/>
    <xf numFmtId="165" fontId="19" fillId="0" borderId="66" xfId="6" applyNumberFormat="1" applyFont="1" applyFill="1" applyBorder="1" applyProtection="1">
      <protection locked="0"/>
    </xf>
    <xf numFmtId="0" fontId="55" fillId="0" borderId="19" xfId="6" applyFont="1" applyFill="1" applyBorder="1"/>
    <xf numFmtId="0" fontId="57" fillId="0" borderId="19" xfId="6" applyFont="1" applyFill="1" applyBorder="1" applyAlignment="1">
      <alignment horizontal="left"/>
    </xf>
    <xf numFmtId="0" fontId="11" fillId="0" borderId="16" xfId="6" applyFont="1" applyFill="1" applyBorder="1" applyAlignment="1">
      <alignment horizontal="left"/>
    </xf>
    <xf numFmtId="176" fontId="8" fillId="0" borderId="26" xfId="16" quotePrefix="1" applyNumberFormat="1" applyFont="1" applyFill="1" applyBorder="1" applyAlignment="1">
      <alignment horizontal="right"/>
    </xf>
    <xf numFmtId="0" fontId="9" fillId="0" borderId="20" xfId="6" applyFont="1" applyFill="1" applyBorder="1" applyAlignment="1">
      <alignment horizontal="right"/>
    </xf>
    <xf numFmtId="0" fontId="56" fillId="0" borderId="20" xfId="6" applyFont="1" applyFill="1" applyBorder="1" applyAlignment="1">
      <alignment horizontal="right"/>
    </xf>
    <xf numFmtId="0" fontId="8" fillId="0" borderId="18" xfId="6" applyFont="1" applyFill="1" applyBorder="1"/>
    <xf numFmtId="0" fontId="8" fillId="0" borderId="33" xfId="6" applyFont="1" applyFill="1" applyBorder="1"/>
    <xf numFmtId="0" fontId="8" fillId="0" borderId="59" xfId="6" applyFont="1" applyFill="1" applyBorder="1"/>
    <xf numFmtId="0" fontId="9" fillId="0" borderId="84" xfId="6" applyFont="1" applyFill="1" applyBorder="1"/>
    <xf numFmtId="0" fontId="55" fillId="0" borderId="20" xfId="6" applyFont="1" applyFill="1" applyBorder="1"/>
    <xf numFmtId="1" fontId="8" fillId="0" borderId="26" xfId="16" applyNumberFormat="1" applyFont="1" applyFill="1" applyBorder="1" applyAlignment="1">
      <alignment horizontal="right"/>
    </xf>
    <xf numFmtId="176" fontId="9" fillId="0" borderId="20" xfId="16" applyNumberFormat="1" applyFont="1" applyFill="1" applyBorder="1" applyAlignment="1">
      <alignment horizontal="right"/>
    </xf>
    <xf numFmtId="176" fontId="57" fillId="0" borderId="20" xfId="16" applyNumberFormat="1" applyFont="1" applyFill="1" applyBorder="1" applyAlignment="1">
      <alignment horizontal="right"/>
    </xf>
    <xf numFmtId="176" fontId="9" fillId="0" borderId="22" xfId="16" applyNumberFormat="1" applyFont="1" applyFill="1" applyBorder="1" applyAlignment="1">
      <alignment horizontal="right"/>
    </xf>
    <xf numFmtId="49" fontId="12" fillId="0" borderId="26" xfId="6" applyNumberFormat="1" applyFont="1" applyFill="1" applyBorder="1" applyAlignment="1" applyProtection="1">
      <alignment horizontal="right"/>
    </xf>
    <xf numFmtId="173" fontId="15" fillId="0" borderId="20" xfId="19" applyNumberFormat="1" applyFont="1" applyFill="1" applyBorder="1" applyProtection="1"/>
    <xf numFmtId="173" fontId="15" fillId="0" borderId="22" xfId="2" applyNumberFormat="1" applyFont="1" applyFill="1" applyBorder="1" applyProtection="1"/>
    <xf numFmtId="0" fontId="15" fillId="0" borderId="25" xfId="6" applyFont="1" applyFill="1" applyBorder="1" applyAlignment="1" applyProtection="1">
      <alignment wrapText="1"/>
    </xf>
    <xf numFmtId="0" fontId="15" fillId="0" borderId="19" xfId="6" applyFont="1" applyFill="1" applyBorder="1" applyAlignment="1" applyProtection="1">
      <alignment wrapText="1"/>
    </xf>
    <xf numFmtId="0" fontId="15" fillId="0" borderId="21" xfId="6" applyFont="1" applyFill="1" applyBorder="1" applyAlignment="1" applyProtection="1">
      <alignment wrapText="1"/>
    </xf>
    <xf numFmtId="173" fontId="15" fillId="0" borderId="22" xfId="19" applyNumberFormat="1" applyFont="1" applyFill="1" applyBorder="1" applyProtection="1"/>
    <xf numFmtId="0" fontId="9" fillId="0" borderId="25" xfId="9" applyFont="1" applyFill="1" applyBorder="1" applyAlignment="1" applyProtection="1">
      <alignment wrapText="1"/>
    </xf>
    <xf numFmtId="0" fontId="8" fillId="0" borderId="19" xfId="9" applyFont="1" applyFill="1" applyBorder="1" applyProtection="1">
      <protection locked="0"/>
    </xf>
    <xf numFmtId="0" fontId="9" fillId="0" borderId="19" xfId="9" applyFont="1" applyFill="1" applyBorder="1" applyAlignment="1" applyProtection="1">
      <alignment vertical="top" wrapText="1"/>
    </xf>
    <xf numFmtId="0" fontId="9" fillId="0" borderId="19" xfId="9" applyFont="1" applyFill="1" applyBorder="1" applyAlignment="1" applyProtection="1">
      <alignment vertical="top"/>
    </xf>
    <xf numFmtId="0" fontId="8" fillId="0" borderId="21" xfId="9" applyFont="1" applyFill="1" applyBorder="1" applyAlignment="1" applyProtection="1">
      <alignment wrapText="1"/>
    </xf>
    <xf numFmtId="0" fontId="8" fillId="0" borderId="94" xfId="9" applyFont="1" applyFill="1" applyBorder="1" applyAlignment="1" applyProtection="1">
      <alignment wrapText="1"/>
    </xf>
    <xf numFmtId="0" fontId="9" fillId="0" borderId="19" xfId="9" applyFont="1" applyFill="1" applyBorder="1" applyAlignment="1" applyProtection="1">
      <alignment wrapText="1"/>
    </xf>
    <xf numFmtId="0" fontId="9" fillId="0" borderId="21" xfId="9" applyFont="1" applyFill="1" applyBorder="1" applyAlignment="1" applyProtection="1">
      <alignment wrapText="1"/>
    </xf>
    <xf numFmtId="0" fontId="8" fillId="0" borderId="26" xfId="17" quotePrefix="1" applyFont="1" applyFill="1" applyBorder="1" applyAlignment="1" applyProtection="1">
      <alignment horizontal="center"/>
      <protection locked="0"/>
    </xf>
    <xf numFmtId="0" fontId="8" fillId="0" borderId="20" xfId="17" applyFont="1" applyFill="1" applyBorder="1" applyAlignment="1" applyProtection="1">
      <alignment horizontal="right"/>
      <protection locked="0"/>
    </xf>
    <xf numFmtId="176" fontId="9" fillId="0" borderId="20" xfId="20" applyNumberFormat="1" applyFont="1" applyFill="1" applyBorder="1"/>
    <xf numFmtId="176" fontId="8" fillId="0" borderId="22" xfId="1" applyNumberFormat="1" applyFont="1" applyFill="1" applyBorder="1" applyAlignment="1" applyProtection="1">
      <alignment wrapText="1"/>
    </xf>
    <xf numFmtId="0" fontId="5" fillId="0" borderId="26" xfId="9" applyFill="1" applyBorder="1" applyProtection="1">
      <protection locked="0"/>
    </xf>
    <xf numFmtId="184" fontId="9" fillId="0" borderId="20" xfId="17" applyNumberFormat="1" applyFont="1" applyFill="1" applyBorder="1" applyAlignment="1" applyProtection="1">
      <alignment horizontal="right"/>
    </xf>
    <xf numFmtId="184" fontId="8" fillId="0" borderId="22" xfId="17" applyNumberFormat="1" applyFont="1" applyFill="1" applyBorder="1" applyAlignment="1" applyProtection="1">
      <alignment horizontal="right"/>
    </xf>
    <xf numFmtId="184" fontId="9" fillId="0" borderId="4" xfId="17" applyNumberFormat="1" applyFont="1" applyFill="1" applyBorder="1" applyAlignment="1" applyProtection="1">
      <alignment horizontal="right"/>
    </xf>
    <xf numFmtId="184" fontId="9" fillId="0" borderId="22" xfId="17" applyNumberFormat="1" applyFont="1" applyFill="1" applyBorder="1" applyAlignment="1" applyProtection="1">
      <alignment horizontal="right"/>
    </xf>
    <xf numFmtId="0" fontId="9" fillId="0" borderId="19" xfId="17" applyFont="1" applyFill="1" applyBorder="1" applyAlignment="1" applyProtection="1">
      <alignment vertical="top" wrapText="1"/>
    </xf>
    <xf numFmtId="0" fontId="8" fillId="0" borderId="21" xfId="9" applyFont="1" applyFill="1" applyBorder="1" applyAlignment="1" applyProtection="1">
      <alignment vertical="top" wrapText="1"/>
    </xf>
    <xf numFmtId="0" fontId="7" fillId="0" borderId="19" xfId="6" applyFont="1" applyFill="1" applyBorder="1"/>
    <xf numFmtId="0" fontId="8" fillId="0" borderId="21" xfId="6" applyFont="1" applyFill="1" applyBorder="1" applyAlignment="1">
      <alignment wrapText="1"/>
    </xf>
    <xf numFmtId="0" fontId="8" fillId="0" borderId="94" xfId="6" applyFont="1" applyFill="1" applyBorder="1" applyAlignment="1">
      <alignment horizontal="left" wrapText="1"/>
    </xf>
    <xf numFmtId="0" fontId="8" fillId="0" borderId="65" xfId="6" applyFont="1" applyFill="1" applyBorder="1" applyAlignment="1">
      <alignment horizontal="center" wrapText="1"/>
    </xf>
    <xf numFmtId="0" fontId="7" fillId="0" borderId="25" xfId="6" applyFont="1" applyFill="1" applyBorder="1" applyProtection="1">
      <protection locked="0"/>
    </xf>
    <xf numFmtId="49" fontId="9" fillId="0" borderId="25" xfId="6" applyNumberFormat="1" applyFont="1" applyFill="1" applyBorder="1"/>
    <xf numFmtId="0" fontId="50" fillId="0" borderId="19" xfId="6" applyFont="1" applyFill="1" applyBorder="1" applyAlignment="1">
      <alignment horizontal="right" vertical="top" wrapText="1"/>
    </xf>
    <xf numFmtId="0" fontId="9" fillId="0" borderId="21" xfId="6" applyFont="1" applyFill="1" applyBorder="1" applyAlignment="1">
      <alignment vertical="center" wrapText="1"/>
    </xf>
    <xf numFmtId="49" fontId="15" fillId="0" borderId="16" xfId="6" applyNumberFormat="1" applyFont="1" applyFill="1" applyBorder="1"/>
    <xf numFmtId="0" fontId="9" fillId="0" borderId="19" xfId="6" applyFont="1" applyFill="1" applyBorder="1" applyAlignment="1" applyProtection="1">
      <alignment horizontal="center" vertical="top"/>
      <protection locked="0"/>
    </xf>
    <xf numFmtId="0" fontId="15" fillId="0" borderId="25" xfId="6" applyFont="1" applyFill="1" applyBorder="1"/>
    <xf numFmtId="0" fontId="15" fillId="0" borderId="19" xfId="6" applyFont="1" applyFill="1" applyBorder="1"/>
    <xf numFmtId="0" fontId="15" fillId="0" borderId="21" xfId="6" applyFont="1" applyFill="1" applyBorder="1"/>
    <xf numFmtId="49" fontId="9" fillId="0" borderId="25" xfId="6" applyNumberFormat="1" applyFont="1" applyFill="1" applyBorder="1" applyAlignment="1" applyProtection="1">
      <alignment horizontal="center"/>
    </xf>
    <xf numFmtId="0" fontId="9" fillId="0" borderId="19" xfId="6" applyFont="1" applyFill="1" applyBorder="1" applyAlignment="1" applyProtection="1">
      <alignment horizontal="left" vertical="top" wrapText="1"/>
    </xf>
    <xf numFmtId="0" fontId="9" fillId="0" borderId="21" xfId="6" applyFont="1" applyFill="1" applyBorder="1" applyAlignment="1" applyProtection="1">
      <alignment horizontal="left" vertical="top" wrapText="1"/>
    </xf>
    <xf numFmtId="0" fontId="7" fillId="0" borderId="25" xfId="6" applyFont="1" applyFill="1" applyBorder="1" applyAlignment="1" applyProtection="1">
      <alignment vertical="top"/>
      <protection locked="0"/>
    </xf>
    <xf numFmtId="0" fontId="15" fillId="0" borderId="19" xfId="0" applyFont="1" applyFill="1" applyBorder="1" applyAlignment="1">
      <alignment wrapText="1"/>
    </xf>
    <xf numFmtId="0" fontId="12" fillId="0" borderId="21" xfId="0" applyFont="1" applyFill="1" applyBorder="1" applyAlignment="1">
      <alignment wrapText="1"/>
    </xf>
    <xf numFmtId="0" fontId="8" fillId="0" borderId="19" xfId="6" applyFont="1" applyFill="1" applyBorder="1" applyAlignment="1" applyProtection="1"/>
    <xf numFmtId="0" fontId="9" fillId="0" borderId="19" xfId="6" applyFont="1" applyFill="1" applyBorder="1" applyAlignment="1">
      <alignment horizontal="right" wrapText="1"/>
    </xf>
    <xf numFmtId="0" fontId="9" fillId="0" borderId="33" xfId="6" applyFont="1" applyFill="1" applyBorder="1" applyAlignment="1">
      <alignment horizontal="right" wrapText="1"/>
    </xf>
    <xf numFmtId="0" fontId="9" fillId="0" borderId="94" xfId="6" applyFont="1" applyFill="1" applyBorder="1" applyAlignment="1">
      <alignment wrapText="1"/>
    </xf>
    <xf numFmtId="0" fontId="9" fillId="0" borderId="19" xfId="6" applyFont="1" applyFill="1" applyBorder="1" applyAlignment="1">
      <alignment horizontal="left" vertical="top" wrapText="1"/>
    </xf>
    <xf numFmtId="0" fontId="0" fillId="0" borderId="21" xfId="6" applyFont="1" applyFill="1" applyBorder="1" applyAlignment="1">
      <alignment wrapText="1"/>
    </xf>
    <xf numFmtId="0" fontId="9" fillId="0" borderId="21" xfId="6" applyFont="1" applyFill="1" applyBorder="1" applyAlignment="1">
      <alignment horizontal="right" wrapText="1"/>
    </xf>
    <xf numFmtId="0" fontId="7" fillId="0" borderId="106" xfId="6" applyFont="1" applyFill="1" applyBorder="1"/>
    <xf numFmtId="0" fontId="0" fillId="0" borderId="107" xfId="6" applyFont="1" applyFill="1" applyBorder="1" applyAlignment="1">
      <alignment vertical="top" wrapText="1"/>
    </xf>
    <xf numFmtId="0" fontId="9" fillId="0" borderId="108" xfId="6" applyFont="1" applyFill="1" applyBorder="1"/>
    <xf numFmtId="0" fontId="9" fillId="0" borderId="98" xfId="6" applyFont="1" applyFill="1" applyBorder="1"/>
    <xf numFmtId="0" fontId="9" fillId="0" borderId="107" xfId="6" applyFont="1" applyFill="1" applyBorder="1"/>
    <xf numFmtId="0" fontId="8" fillId="0" borderId="109" xfId="6" applyFont="1" applyFill="1" applyBorder="1"/>
    <xf numFmtId="0" fontId="8" fillId="0" borderId="25" xfId="17" applyFont="1" applyFill="1" applyBorder="1" applyAlignment="1">
      <alignment horizontal="left"/>
    </xf>
    <xf numFmtId="0" fontId="8" fillId="0" borderId="19" xfId="17" applyFont="1" applyFill="1" applyBorder="1" applyAlignment="1">
      <alignment horizontal="left"/>
    </xf>
    <xf numFmtId="0" fontId="9" fillId="0" borderId="33" xfId="17" applyFont="1" applyFill="1" applyBorder="1"/>
    <xf numFmtId="0" fontId="8" fillId="0" borderId="33" xfId="17" applyFont="1" applyFill="1" applyBorder="1"/>
    <xf numFmtId="0" fontId="9" fillId="0" borderId="57" xfId="17" applyFont="1" applyFill="1" applyBorder="1" applyAlignment="1">
      <alignment wrapText="1"/>
    </xf>
    <xf numFmtId="0" fontId="8" fillId="0" borderId="16" xfId="17" applyFont="1" applyFill="1" applyBorder="1"/>
    <xf numFmtId="0" fontId="8" fillId="0" borderId="21" xfId="17" applyFont="1" applyFill="1" applyBorder="1" applyAlignment="1">
      <alignment horizontal="left"/>
    </xf>
    <xf numFmtId="0" fontId="9" fillId="0" borderId="19" xfId="17" applyFont="1" applyFill="1" applyBorder="1" applyAlignment="1"/>
    <xf numFmtId="0" fontId="8" fillId="0" borderId="63" xfId="17" applyFont="1" applyFill="1" applyBorder="1" applyAlignment="1">
      <alignment horizontal="left"/>
    </xf>
    <xf numFmtId="0" fontId="9" fillId="0" borderId="100" xfId="17" applyFont="1" applyFill="1" applyBorder="1" applyAlignment="1">
      <alignment horizontal="left"/>
    </xf>
    <xf numFmtId="0" fontId="9" fillId="0" borderId="85" xfId="17" applyFont="1" applyFill="1" applyBorder="1" applyAlignment="1">
      <alignment horizontal="left"/>
    </xf>
    <xf numFmtId="0" fontId="8" fillId="0" borderId="85" xfId="17" applyFont="1" applyFill="1" applyBorder="1" applyAlignment="1">
      <alignment horizontal="left"/>
    </xf>
    <xf numFmtId="0" fontId="8" fillId="0" borderId="86" xfId="17" applyFont="1" applyFill="1" applyBorder="1" applyAlignment="1">
      <alignment horizontal="left"/>
    </xf>
    <xf numFmtId="0" fontId="8" fillId="0" borderId="57" xfId="6" applyFont="1" applyFill="1" applyBorder="1"/>
    <xf numFmtId="9" fontId="9" fillId="0" borderId="19" xfId="24" applyFont="1" applyFill="1" applyBorder="1"/>
    <xf numFmtId="0" fontId="8" fillId="0" borderId="25" xfId="6" applyFont="1" applyFill="1" applyBorder="1" applyAlignment="1">
      <alignment vertical="top" wrapText="1"/>
    </xf>
    <xf numFmtId="0" fontId="50" fillId="0" borderId="25" xfId="6" applyFont="1" applyFill="1" applyBorder="1"/>
    <xf numFmtId="0" fontId="50" fillId="0" borderId="21" xfId="6" applyFont="1" applyFill="1" applyBorder="1"/>
    <xf numFmtId="0" fontId="8" fillId="0" borderId="16" xfId="6" applyFont="1" applyFill="1" applyBorder="1"/>
    <xf numFmtId="0" fontId="8" fillId="0" borderId="96" xfId="6" applyFont="1" applyFill="1" applyBorder="1"/>
    <xf numFmtId="0" fontId="1" fillId="0" borderId="25" xfId="6" applyFont="1" applyFill="1" applyBorder="1"/>
    <xf numFmtId="173" fontId="15" fillId="0" borderId="22" xfId="6" applyNumberFormat="1" applyFont="1" applyFill="1" applyBorder="1" applyAlignment="1"/>
    <xf numFmtId="0" fontId="8" fillId="0" borderId="110" xfId="6" applyFont="1" applyFill="1" applyBorder="1" applyAlignment="1">
      <alignment horizontal="center" vertical="top" wrapText="1"/>
    </xf>
    <xf numFmtId="176" fontId="9" fillId="0" borderId="61" xfId="16" applyNumberFormat="1" applyFont="1" applyFill="1" applyBorder="1" applyAlignment="1" applyProtection="1">
      <alignment horizontal="right"/>
    </xf>
    <xf numFmtId="176" fontId="9" fillId="0" borderId="60" xfId="16" applyNumberFormat="1" applyFont="1" applyFill="1" applyBorder="1" applyAlignment="1" applyProtection="1">
      <alignment horizontal="right"/>
    </xf>
    <xf numFmtId="169" fontId="9" fillId="0" borderId="26" xfId="6" applyNumberFormat="1" applyFont="1" applyFill="1" applyBorder="1" applyAlignment="1">
      <alignment horizontal="right"/>
    </xf>
    <xf numFmtId="169" fontId="9" fillId="0" borderId="61" xfId="6" applyNumberFormat="1" applyFont="1" applyFill="1" applyBorder="1" applyAlignment="1">
      <alignment horizontal="right"/>
    </xf>
    <xf numFmtId="169" fontId="9" fillId="0" borderId="60" xfId="6" applyNumberFormat="1" applyFont="1" applyFill="1" applyBorder="1" applyAlignment="1">
      <alignment horizontal="right"/>
    </xf>
    <xf numFmtId="3" fontId="8" fillId="0" borderId="54" xfId="6" applyNumberFormat="1" applyFont="1" applyFill="1" applyBorder="1" applyAlignment="1">
      <alignment horizontal="right"/>
    </xf>
    <xf numFmtId="9" fontId="9" fillId="0" borderId="20" xfId="24" applyFont="1" applyFill="1" applyBorder="1" applyAlignment="1">
      <alignment horizontal="right"/>
    </xf>
    <xf numFmtId="176" fontId="9" fillId="0" borderId="22" xfId="16" applyNumberFormat="1" applyFont="1" applyFill="1" applyBorder="1" applyAlignment="1" applyProtection="1">
      <alignment horizontal="right"/>
    </xf>
    <xf numFmtId="197" fontId="9" fillId="0" borderId="20" xfId="17" applyNumberFormat="1" applyFont="1" applyFill="1" applyBorder="1" applyAlignment="1">
      <alignment horizontal="right"/>
    </xf>
    <xf numFmtId="197" fontId="8" fillId="0" borderId="20" xfId="17" applyNumberFormat="1" applyFont="1" applyFill="1" applyBorder="1" applyAlignment="1">
      <alignment horizontal="right"/>
    </xf>
    <xf numFmtId="0" fontId="9" fillId="0" borderId="22" xfId="2" applyNumberFormat="1" applyFont="1" applyFill="1" applyBorder="1" applyAlignment="1">
      <alignment horizontal="right"/>
    </xf>
    <xf numFmtId="0" fontId="8" fillId="0" borderId="26" xfId="17" quotePrefix="1" applyFont="1" applyFill="1" applyBorder="1" applyAlignment="1">
      <alignment horizontal="right"/>
    </xf>
    <xf numFmtId="3" fontId="9" fillId="0" borderId="20" xfId="17" applyNumberFormat="1" applyFont="1" applyFill="1" applyBorder="1"/>
    <xf numFmtId="3" fontId="9" fillId="0" borderId="54" xfId="16" applyNumberFormat="1" applyFont="1" applyFill="1" applyBorder="1" applyAlignment="1" applyProtection="1">
      <alignment horizontal="right"/>
    </xf>
    <xf numFmtId="9" fontId="9" fillId="0" borderId="20" xfId="17" applyNumberFormat="1" applyFont="1" applyFill="1" applyBorder="1"/>
    <xf numFmtId="3" fontId="8" fillId="0" borderId="18" xfId="17" applyNumberFormat="1" applyFont="1" applyFill="1" applyBorder="1" applyAlignment="1">
      <alignment horizontal="right"/>
    </xf>
    <xf numFmtId="1" fontId="9" fillId="0" borderId="84" xfId="17" applyNumberFormat="1" applyFont="1" applyFill="1" applyBorder="1" applyAlignment="1">
      <alignment horizontal="right"/>
    </xf>
    <xf numFmtId="1" fontId="9" fillId="0" borderId="20" xfId="17" applyNumberFormat="1" applyFont="1" applyFill="1" applyBorder="1" applyAlignment="1">
      <alignment horizontal="right"/>
    </xf>
    <xf numFmtId="1" fontId="9" fillId="0" borderId="59" xfId="17" applyNumberFormat="1" applyFont="1" applyFill="1" applyBorder="1" applyAlignment="1">
      <alignment horizontal="right"/>
    </xf>
    <xf numFmtId="1" fontId="8" fillId="0" borderId="66" xfId="17" applyNumberFormat="1" applyFont="1" applyFill="1" applyBorder="1" applyAlignment="1">
      <alignment horizontal="right"/>
    </xf>
    <xf numFmtId="0" fontId="27" fillId="0" borderId="26" xfId="0" applyFont="1" applyFill="1" applyBorder="1" applyAlignment="1">
      <alignment horizontal="right"/>
    </xf>
    <xf numFmtId="0" fontId="27" fillId="0" borderId="20" xfId="0" applyFont="1" applyFill="1" applyBorder="1" applyAlignment="1">
      <alignment horizontal="right"/>
    </xf>
    <xf numFmtId="0" fontId="27" fillId="0" borderId="18" xfId="0" applyFont="1" applyFill="1" applyBorder="1"/>
    <xf numFmtId="0" fontId="41" fillId="0" borderId="18" xfId="6" applyFont="1" applyFill="1" applyBorder="1" applyAlignment="1">
      <alignment horizontal="right"/>
    </xf>
    <xf numFmtId="0" fontId="41" fillId="0" borderId="16" xfId="6" applyFont="1" applyFill="1" applyBorder="1" applyAlignment="1" applyProtection="1">
      <alignment vertical="top"/>
    </xf>
    <xf numFmtId="3" fontId="19" fillId="0" borderId="19" xfId="6" applyNumberFormat="1" applyFont="1" applyFill="1" applyBorder="1"/>
    <xf numFmtId="0" fontId="41" fillId="0" borderId="16" xfId="6" applyFont="1" applyFill="1" applyBorder="1"/>
    <xf numFmtId="0" fontId="27" fillId="0" borderId="18" xfId="0" applyFont="1" applyFill="1" applyBorder="1" applyAlignment="1">
      <alignment horizontal="right"/>
    </xf>
    <xf numFmtId="194" fontId="19" fillId="0" borderId="20" xfId="6" applyNumberFormat="1" applyFont="1" applyFill="1" applyBorder="1" applyAlignment="1" applyProtection="1">
      <alignment horizontal="right"/>
      <protection locked="0"/>
    </xf>
    <xf numFmtId="0" fontId="8" fillId="0" borderId="56" xfId="6" applyFont="1" applyFill="1" applyBorder="1" applyAlignment="1" applyProtection="1">
      <alignment horizontal="right"/>
    </xf>
    <xf numFmtId="177" fontId="8" fillId="0" borderId="20" xfId="6" applyNumberFormat="1" applyFont="1" applyFill="1" applyBorder="1" applyAlignment="1" applyProtection="1">
      <alignment horizontal="right"/>
    </xf>
    <xf numFmtId="2" fontId="15" fillId="0" borderId="20" xfId="0" applyNumberFormat="1" applyFont="1" applyFill="1" applyBorder="1"/>
    <xf numFmtId="2" fontId="15" fillId="0" borderId="22" xfId="0" applyNumberFormat="1" applyFont="1" applyFill="1" applyBorder="1"/>
    <xf numFmtId="0" fontId="39" fillId="0" borderId="20" xfId="0" applyFont="1" applyFill="1" applyBorder="1"/>
    <xf numFmtId="0" fontId="39" fillId="0" borderId="22" xfId="0" applyFont="1" applyFill="1" applyBorder="1"/>
    <xf numFmtId="0" fontId="41" fillId="0" borderId="20" xfId="7" applyFont="1" applyFill="1" applyBorder="1" applyAlignment="1" applyProtection="1">
      <alignment horizontal="right"/>
    </xf>
    <xf numFmtId="2" fontId="27" fillId="0" borderId="20" xfId="0" applyNumberFormat="1" applyFont="1" applyFill="1" applyBorder="1"/>
    <xf numFmtId="2" fontId="68" fillId="0" borderId="22" xfId="0" applyNumberFormat="1" applyFont="1" applyFill="1" applyBorder="1"/>
    <xf numFmtId="0" fontId="8" fillId="0" borderId="25" xfId="7" applyFont="1" applyFill="1" applyBorder="1" applyProtection="1"/>
    <xf numFmtId="0" fontId="41" fillId="0" borderId="19" xfId="7" applyFont="1" applyFill="1" applyBorder="1" applyProtection="1"/>
    <xf numFmtId="3" fontId="19" fillId="0" borderId="19" xfId="7" applyNumberFormat="1" applyFont="1" applyFill="1" applyBorder="1"/>
    <xf numFmtId="3" fontId="41" fillId="0" borderId="21" xfId="7" applyNumberFormat="1" applyFont="1" applyFill="1" applyBorder="1"/>
    <xf numFmtId="0" fontId="8" fillId="0" borderId="25" xfId="6" applyFont="1" applyFill="1" applyBorder="1" applyProtection="1"/>
    <xf numFmtId="3" fontId="8" fillId="0" borderId="21" xfId="6" applyNumberFormat="1" applyFont="1" applyFill="1" applyBorder="1"/>
    <xf numFmtId="0" fontId="8" fillId="0" borderId="20" xfId="6" applyFont="1" applyFill="1" applyBorder="1" applyAlignment="1" applyProtection="1">
      <alignment horizontal="right"/>
    </xf>
    <xf numFmtId="192" fontId="9" fillId="0" borderId="7" xfId="6" quotePrefix="1" applyNumberFormat="1" applyFont="1" applyFill="1" applyBorder="1" applyAlignment="1" applyProtection="1">
      <alignment horizontal="right"/>
    </xf>
    <xf numFmtId="192" fontId="9" fillId="0" borderId="20" xfId="6" applyNumberFormat="1" applyFont="1" applyFill="1" applyBorder="1" applyAlignment="1" applyProtection="1">
      <alignment horizontal="right"/>
    </xf>
    <xf numFmtId="192" fontId="9" fillId="0" borderId="50" xfId="6" quotePrefix="1" applyNumberFormat="1" applyFont="1" applyFill="1" applyBorder="1" applyAlignment="1" applyProtection="1">
      <alignment horizontal="right"/>
    </xf>
    <xf numFmtId="192" fontId="8" fillId="0" borderId="22" xfId="6" applyNumberFormat="1" applyFont="1" applyFill="1" applyBorder="1" applyProtection="1">
      <protection locked="0"/>
    </xf>
    <xf numFmtId="0" fontId="8" fillId="0" borderId="25" xfId="6" applyFont="1" applyFill="1" applyBorder="1" applyAlignment="1" applyProtection="1">
      <alignment wrapText="1"/>
    </xf>
    <xf numFmtId="0" fontId="8" fillId="0" borderId="19" xfId="6" applyFont="1" applyFill="1" applyBorder="1" applyAlignment="1" applyProtection="1">
      <alignment wrapText="1"/>
    </xf>
    <xf numFmtId="177" fontId="9" fillId="0" borderId="26" xfId="6" applyNumberFormat="1" applyFont="1" applyFill="1" applyBorder="1" applyAlignment="1" applyProtection="1">
      <alignment horizontal="right"/>
    </xf>
    <xf numFmtId="0" fontId="8" fillId="0" borderId="25" xfId="17" applyFont="1" applyFill="1" applyBorder="1" applyAlignment="1" applyProtection="1">
      <alignment horizontal="right"/>
    </xf>
    <xf numFmtId="0" fontId="9" fillId="0" borderId="33" xfId="17" applyFont="1" applyFill="1" applyBorder="1" applyAlignment="1" applyProtection="1">
      <alignment horizontal="right" wrapText="1"/>
    </xf>
    <xf numFmtId="0" fontId="8" fillId="0" borderId="19" xfId="17" applyFont="1" applyFill="1" applyBorder="1" applyAlignment="1" applyProtection="1">
      <alignment horizontal="left"/>
    </xf>
    <xf numFmtId="0" fontId="8" fillId="0" borderId="21" xfId="17" applyFont="1" applyFill="1" applyBorder="1" applyAlignment="1" applyProtection="1">
      <alignment horizontal="left"/>
    </xf>
    <xf numFmtId="0" fontId="8" fillId="0" borderId="108" xfId="17" applyFont="1" applyFill="1" applyBorder="1" applyAlignment="1" applyProtection="1">
      <alignment horizontal="center"/>
    </xf>
    <xf numFmtId="0" fontId="9" fillId="0" borderId="107" xfId="17" applyFont="1" applyFill="1" applyBorder="1" applyProtection="1"/>
    <xf numFmtId="0" fontId="8" fillId="0" borderId="98" xfId="17" applyFont="1" applyFill="1" applyBorder="1" applyAlignment="1" applyProtection="1">
      <alignment horizontal="left"/>
    </xf>
    <xf numFmtId="0" fontId="8" fillId="0" borderId="98" xfId="17" applyFont="1" applyFill="1" applyBorder="1" applyAlignment="1" applyProtection="1">
      <alignment horizontal="left" wrapText="1"/>
    </xf>
    <xf numFmtId="0" fontId="8" fillId="0" borderId="99" xfId="17" applyFont="1" applyFill="1" applyBorder="1" applyAlignment="1" applyProtection="1">
      <alignment horizontal="left"/>
    </xf>
    <xf numFmtId="0" fontId="9" fillId="0" borderId="59" xfId="17" applyFont="1" applyFill="1" applyBorder="1" applyAlignment="1" applyProtection="1">
      <alignment horizontal="center" wrapText="1"/>
    </xf>
    <xf numFmtId="190" fontId="9" fillId="0" borderId="20" xfId="17" applyNumberFormat="1" applyFont="1" applyFill="1" applyBorder="1" applyAlignment="1" applyProtection="1">
      <alignment horizontal="right"/>
    </xf>
    <xf numFmtId="190" fontId="9" fillId="0" borderId="22" xfId="17" applyNumberFormat="1" applyFont="1" applyFill="1" applyBorder="1" applyAlignment="1" applyProtection="1">
      <alignment horizontal="right"/>
    </xf>
    <xf numFmtId="186" fontId="9" fillId="0" borderId="20" xfId="17" applyNumberFormat="1" applyFont="1" applyFill="1" applyBorder="1" applyAlignment="1" applyProtection="1">
      <alignment horizontal="right"/>
    </xf>
    <xf numFmtId="0" fontId="12" fillId="0" borderId="7" xfId="0" applyFont="1" applyFill="1" applyBorder="1" applyAlignment="1">
      <alignment horizontal="right"/>
    </xf>
    <xf numFmtId="0" fontId="12" fillId="0" borderId="20" xfId="0" applyFont="1" applyFill="1" applyBorder="1" applyAlignment="1">
      <alignment horizontal="right"/>
    </xf>
    <xf numFmtId="189" fontId="15" fillId="0" borderId="7" xfId="0" applyNumberFormat="1" applyFont="1" applyFill="1" applyBorder="1"/>
    <xf numFmtId="10" fontId="15" fillId="0" borderId="20" xfId="0" applyNumberFormat="1" applyFont="1" applyFill="1" applyBorder="1"/>
    <xf numFmtId="189" fontId="15" fillId="0" borderId="7" xfId="0" applyNumberFormat="1" applyFont="1" applyFill="1" applyBorder="1" applyAlignment="1">
      <alignment horizontal="right"/>
    </xf>
    <xf numFmtId="189" fontId="15" fillId="0" borderId="50" xfId="0" applyNumberFormat="1" applyFont="1" applyFill="1" applyBorder="1" applyAlignment="1">
      <alignment horizontal="right"/>
    </xf>
    <xf numFmtId="10" fontId="15" fillId="0" borderId="22" xfId="0" applyNumberFormat="1" applyFont="1" applyFill="1" applyBorder="1"/>
    <xf numFmtId="188" fontId="9" fillId="0" borderId="19" xfId="6" applyNumberFormat="1" applyFont="1" applyFill="1" applyBorder="1" applyAlignment="1">
      <alignment horizontal="left" wrapText="1"/>
    </xf>
    <xf numFmtId="188" fontId="9" fillId="0" borderId="21" xfId="6" applyNumberFormat="1" applyFont="1" applyFill="1" applyBorder="1" applyAlignment="1">
      <alignment horizontal="left"/>
    </xf>
    <xf numFmtId="188" fontId="1" fillId="0" borderId="25" xfId="6" applyNumberFormat="1" applyFont="1" applyFill="1" applyBorder="1" applyAlignment="1" applyProtection="1">
      <alignment horizontal="left"/>
      <protection locked="0"/>
    </xf>
    <xf numFmtId="188" fontId="1" fillId="0" borderId="19" xfId="6" applyNumberFormat="1" applyFont="1" applyFill="1" applyBorder="1" applyAlignment="1" applyProtection="1">
      <alignment horizontal="left"/>
      <protection locked="0"/>
    </xf>
    <xf numFmtId="173" fontId="9" fillId="0" borderId="19" xfId="22" applyNumberFormat="1" applyFont="1" applyFill="1" applyBorder="1" applyAlignment="1" applyProtection="1">
      <alignment horizontal="left"/>
    </xf>
    <xf numFmtId="173" fontId="9" fillId="0" borderId="33" xfId="22" applyNumberFormat="1" applyFont="1" applyFill="1" applyBorder="1" applyAlignment="1" applyProtection="1">
      <alignment horizontal="left"/>
    </xf>
    <xf numFmtId="0" fontId="57" fillId="0" borderId="21" xfId="6" applyFont="1" applyFill="1" applyBorder="1" applyAlignment="1">
      <alignment horizontal="left"/>
    </xf>
    <xf numFmtId="189" fontId="57" fillId="0" borderId="20" xfId="23" applyNumberFormat="1" applyFont="1" applyFill="1" applyBorder="1" applyAlignment="1">
      <alignment horizontal="right"/>
    </xf>
    <xf numFmtId="189" fontId="57" fillId="0" borderId="59" xfId="23" applyNumberFormat="1" applyFont="1" applyFill="1" applyBorder="1" applyAlignment="1">
      <alignment horizontal="right"/>
    </xf>
    <xf numFmtId="189" fontId="57" fillId="0" borderId="84" xfId="23" applyNumberFormat="1" applyFont="1" applyFill="1" applyBorder="1" applyAlignment="1">
      <alignment horizontal="right"/>
    </xf>
    <xf numFmtId="189" fontId="57" fillId="0" borderId="22" xfId="23" applyNumberFormat="1" applyFont="1" applyFill="1" applyBorder="1" applyAlignment="1">
      <alignment horizontal="right"/>
    </xf>
    <xf numFmtId="0" fontId="8" fillId="0" borderId="65" xfId="7" applyFont="1" applyFill="1" applyBorder="1"/>
    <xf numFmtId="0" fontId="8" fillId="0" borderId="19" xfId="7" applyFont="1" applyFill="1" applyBorder="1" applyAlignment="1">
      <alignment horizontal="right"/>
    </xf>
    <xf numFmtId="188" fontId="9" fillId="0" borderId="19" xfId="7" applyNumberFormat="1" applyFont="1" applyFill="1" applyBorder="1" applyAlignment="1">
      <alignment horizontal="left" wrapText="1"/>
    </xf>
    <xf numFmtId="188" fontId="9" fillId="0" borderId="21" xfId="7" applyNumberFormat="1" applyFont="1" applyFill="1" applyBorder="1" applyAlignment="1">
      <alignment horizontal="left"/>
    </xf>
    <xf numFmtId="0" fontId="15" fillId="0" borderId="16" xfId="0" applyFont="1" applyFill="1" applyBorder="1"/>
    <xf numFmtId="0" fontId="12" fillId="0" borderId="19" xfId="0" applyFont="1" applyFill="1" applyBorder="1"/>
    <xf numFmtId="0" fontId="15" fillId="0" borderId="19" xfId="0" applyFont="1" applyFill="1" applyBorder="1"/>
    <xf numFmtId="3" fontId="12" fillId="0" borderId="21" xfId="0" applyNumberFormat="1" applyFont="1" applyFill="1" applyBorder="1"/>
    <xf numFmtId="188" fontId="9" fillId="0" borderId="19" xfId="7" applyNumberFormat="1" applyFont="1" applyFill="1" applyBorder="1" applyAlignment="1">
      <alignment horizontal="left"/>
    </xf>
    <xf numFmtId="188" fontId="15" fillId="0" borderId="19" xfId="7" applyNumberFormat="1" applyFont="1" applyFill="1" applyBorder="1" applyProtection="1">
      <protection locked="0"/>
    </xf>
    <xf numFmtId="2" fontId="12" fillId="0" borderId="7" xfId="0" applyNumberFormat="1" applyFont="1" applyFill="1" applyBorder="1" applyAlignment="1">
      <alignment horizontal="right"/>
    </xf>
    <xf numFmtId="0" fontId="12" fillId="0" borderId="20" xfId="0" applyFont="1" applyFill="1" applyBorder="1" applyAlignment="1">
      <alignment horizontal="right" wrapText="1"/>
    </xf>
    <xf numFmtId="188" fontId="9" fillId="0" borderId="7" xfId="7" applyNumberFormat="1" applyFont="1" applyFill="1" applyBorder="1" applyAlignment="1">
      <alignment horizontal="right" wrapText="1"/>
    </xf>
    <xf numFmtId="188" fontId="9" fillId="0" borderId="20" xfId="7" applyNumberFormat="1" applyFont="1" applyFill="1" applyBorder="1" applyAlignment="1">
      <alignment horizontal="right" wrapText="1"/>
    </xf>
    <xf numFmtId="188" fontId="9" fillId="0" borderId="50" xfId="7" applyNumberFormat="1" applyFont="1" applyFill="1" applyBorder="1" applyAlignment="1">
      <alignment horizontal="right"/>
    </xf>
    <xf numFmtId="188" fontId="9" fillId="0" borderId="22" xfId="7" applyNumberFormat="1" applyFont="1" applyFill="1" applyBorder="1" applyAlignment="1">
      <alignment horizontal="right"/>
    </xf>
    <xf numFmtId="3" fontId="15" fillId="0" borderId="19" xfId="0" applyNumberFormat="1" applyFont="1" applyFill="1" applyBorder="1"/>
    <xf numFmtId="3" fontId="15" fillId="0" borderId="21" xfId="0" applyNumberFormat="1" applyFont="1" applyFill="1" applyBorder="1"/>
    <xf numFmtId="0" fontId="8" fillId="0" borderId="56" xfId="6" applyFont="1" applyFill="1" applyBorder="1" applyAlignment="1" applyProtection="1">
      <alignment horizontal="right" vertical="center" wrapText="1"/>
      <protection locked="0"/>
    </xf>
    <xf numFmtId="3" fontId="8" fillId="0" borderId="17" xfId="6" applyNumberFormat="1" applyFont="1" applyFill="1" applyBorder="1" applyAlignment="1">
      <alignment horizontal="right"/>
    </xf>
    <xf numFmtId="0" fontId="8" fillId="0" borderId="106" xfId="6" applyFont="1" applyFill="1" applyBorder="1" applyProtection="1"/>
    <xf numFmtId="0" fontId="9" fillId="0" borderId="98" xfId="21" applyFont="1" applyFill="1" applyBorder="1"/>
    <xf numFmtId="0" fontId="8" fillId="0" borderId="108" xfId="6" applyFont="1" applyFill="1" applyBorder="1" applyProtection="1"/>
    <xf numFmtId="0" fontId="9" fillId="0" borderId="99" xfId="6" applyFont="1" applyFill="1" applyBorder="1" applyProtection="1"/>
    <xf numFmtId="0" fontId="8" fillId="0" borderId="65" xfId="6" applyFont="1" applyFill="1" applyBorder="1" applyAlignment="1" applyProtection="1">
      <alignment horizontal="left" vertical="center" wrapText="1"/>
      <protection locked="0"/>
    </xf>
    <xf numFmtId="169" fontId="9" fillId="0" borderId="94" xfId="6" applyNumberFormat="1" applyFont="1" applyFill="1" applyBorder="1" applyAlignment="1" applyProtection="1">
      <alignment horizontal="left"/>
      <protection locked="0"/>
    </xf>
    <xf numFmtId="169" fontId="9" fillId="0" borderId="19" xfId="6" applyNumberFormat="1" applyFont="1" applyFill="1" applyBorder="1" applyAlignment="1" applyProtection="1">
      <alignment horizontal="left"/>
      <protection locked="0"/>
    </xf>
    <xf numFmtId="169" fontId="9" fillId="0" borderId="33" xfId="6" applyNumberFormat="1" applyFont="1" applyFill="1" applyBorder="1" applyAlignment="1" applyProtection="1">
      <alignment horizontal="left"/>
      <protection locked="0"/>
    </xf>
    <xf numFmtId="0" fontId="8" fillId="0" borderId="56" xfId="6" applyFont="1" applyFill="1" applyBorder="1" applyAlignment="1" applyProtection="1">
      <alignment horizontal="right" vertical="top" wrapText="1"/>
      <protection locked="0"/>
    </xf>
    <xf numFmtId="0" fontId="9" fillId="0" borderId="20" xfId="6" applyFont="1" applyFill="1" applyBorder="1" applyAlignment="1" applyProtection="1">
      <alignment horizontal="right"/>
      <protection locked="0"/>
    </xf>
    <xf numFmtId="169" fontId="9" fillId="0" borderId="84" xfId="6" applyNumberFormat="1" applyFont="1" applyFill="1" applyBorder="1" applyAlignment="1" applyProtection="1">
      <alignment horizontal="right"/>
      <protection locked="0"/>
    </xf>
    <xf numFmtId="0" fontId="9" fillId="0" borderId="33" xfId="6" applyFont="1" applyFill="1" applyBorder="1" applyAlignment="1" applyProtection="1">
      <alignment horizontal="left"/>
      <protection locked="0"/>
    </xf>
    <xf numFmtId="0" fontId="8" fillId="0" borderId="22" xfId="6" applyFont="1" applyFill="1" applyBorder="1" applyAlignment="1" applyProtection="1">
      <alignment horizontal="right"/>
      <protection locked="0"/>
    </xf>
    <xf numFmtId="0" fontId="8" fillId="0" borderId="21" xfId="6" applyFont="1" applyFill="1" applyBorder="1" applyAlignment="1" applyProtection="1">
      <alignment horizontal="left"/>
      <protection locked="0"/>
    </xf>
    <xf numFmtId="0" fontId="9" fillId="0" borderId="25" xfId="9" applyFont="1" applyFill="1" applyBorder="1" applyProtection="1"/>
    <xf numFmtId="0" fontId="9" fillId="0" borderId="21" xfId="9" applyFont="1" applyFill="1" applyBorder="1" applyProtection="1"/>
    <xf numFmtId="0" fontId="8" fillId="0" borderId="19" xfId="9" applyFont="1" applyFill="1" applyBorder="1" applyProtection="1"/>
    <xf numFmtId="0" fontId="9" fillId="0" borderId="19" xfId="9" applyFont="1" applyFill="1" applyBorder="1" applyProtection="1"/>
    <xf numFmtId="0" fontId="8" fillId="0" borderId="25" xfId="17" applyFont="1" applyFill="1" applyBorder="1" applyAlignment="1" applyProtection="1"/>
    <xf numFmtId="0" fontId="9" fillId="0" borderId="19" xfId="17" applyFont="1" applyFill="1" applyBorder="1" applyAlignment="1" applyProtection="1">
      <alignment horizontal="left" shrinkToFit="1"/>
    </xf>
    <xf numFmtId="165" fontId="9" fillId="0" borderId="19" xfId="17" applyNumberFormat="1" applyFont="1" applyFill="1" applyBorder="1" applyProtection="1"/>
    <xf numFmtId="165" fontId="8" fillId="0" borderId="21" xfId="17" applyNumberFormat="1" applyFont="1" applyFill="1" applyBorder="1" applyProtection="1"/>
    <xf numFmtId="0" fontId="9" fillId="0" borderId="19" xfId="17" applyFont="1" applyFill="1" applyBorder="1" applyAlignment="1" applyProtection="1">
      <alignment wrapText="1"/>
    </xf>
    <xf numFmtId="0" fontId="9" fillId="0" borderId="19" xfId="17" applyFont="1" applyFill="1" applyBorder="1" applyProtection="1"/>
    <xf numFmtId="0" fontId="8" fillId="0" borderId="19" xfId="17" applyFont="1" applyFill="1" applyBorder="1" applyProtection="1"/>
    <xf numFmtId="0" fontId="9" fillId="0" borderId="16" xfId="17" applyFont="1" applyFill="1" applyBorder="1" applyAlignment="1" applyProtection="1">
      <alignment wrapText="1"/>
    </xf>
    <xf numFmtId="0" fontId="8" fillId="0" borderId="25" xfId="9" applyFont="1" applyFill="1" applyBorder="1" applyProtection="1">
      <protection locked="0"/>
    </xf>
    <xf numFmtId="0" fontId="8" fillId="0" borderId="26" xfId="9" applyFont="1" applyFill="1" applyBorder="1" applyAlignment="1" applyProtection="1">
      <alignment horizontal="center"/>
    </xf>
    <xf numFmtId="176" fontId="9" fillId="0" borderId="20" xfId="1" applyNumberFormat="1" applyFont="1" applyFill="1" applyBorder="1" applyAlignment="1" applyProtection="1">
      <alignment horizontal="right"/>
    </xf>
    <xf numFmtId="176" fontId="8" fillId="0" borderId="22" xfId="1" applyNumberFormat="1" applyFont="1" applyFill="1" applyBorder="1" applyAlignment="1" applyProtection="1">
      <alignment horizontal="right"/>
    </xf>
    <xf numFmtId="165" fontId="8" fillId="0" borderId="22" xfId="9" applyNumberFormat="1" applyFont="1" applyFill="1" applyBorder="1" applyProtection="1"/>
    <xf numFmtId="0" fontId="8" fillId="0" borderId="26" xfId="17" quotePrefix="1" applyFont="1" applyFill="1" applyBorder="1" applyAlignment="1" applyProtection="1">
      <alignment horizontal="center"/>
    </xf>
    <xf numFmtId="0" fontId="9" fillId="0" borderId="20" xfId="17" applyFont="1" applyFill="1" applyBorder="1" applyAlignment="1" applyProtection="1">
      <alignment horizontal="right" shrinkToFit="1"/>
    </xf>
    <xf numFmtId="165" fontId="9" fillId="0" borderId="20" xfId="17" applyNumberFormat="1" applyFont="1" applyFill="1" applyBorder="1" applyProtection="1"/>
    <xf numFmtId="165" fontId="8" fillId="0" borderId="22" xfId="17" applyNumberFormat="1" applyFont="1" applyFill="1" applyBorder="1" applyAlignment="1" applyProtection="1">
      <alignment horizontal="right"/>
    </xf>
    <xf numFmtId="1" fontId="8" fillId="0" borderId="26" xfId="9" applyNumberFormat="1" applyFont="1" applyFill="1" applyBorder="1" applyAlignment="1" applyProtection="1">
      <alignment horizontal="center"/>
    </xf>
    <xf numFmtId="3" fontId="62" fillId="0" borderId="20" xfId="0" applyNumberFormat="1" applyFont="1" applyFill="1" applyBorder="1"/>
    <xf numFmtId="3" fontId="63" fillId="0" borderId="22" xfId="0" applyNumberFormat="1" applyFont="1" applyFill="1" applyBorder="1"/>
    <xf numFmtId="165" fontId="9" fillId="0" borderId="20" xfId="17" applyNumberFormat="1" applyFont="1" applyFill="1" applyBorder="1" applyAlignment="1" applyProtection="1">
      <alignment horizontal="right"/>
    </xf>
    <xf numFmtId="165" fontId="9" fillId="0" borderId="22" xfId="17" applyNumberFormat="1" applyFont="1" applyFill="1" applyBorder="1" applyAlignment="1" applyProtection="1">
      <alignment horizontal="right"/>
    </xf>
    <xf numFmtId="0" fontId="7" fillId="0" borderId="5" xfId="6" applyFont="1" applyFill="1" applyBorder="1"/>
    <xf numFmtId="0" fontId="7" fillId="0" borderId="26" xfId="6" applyFont="1" applyFill="1" applyBorder="1"/>
    <xf numFmtId="0" fontId="9" fillId="0" borderId="19" xfId="6" applyFont="1" applyFill="1" applyBorder="1" applyAlignment="1" applyProtection="1">
      <alignment wrapText="1"/>
      <protection locked="0"/>
    </xf>
    <xf numFmtId="0" fontId="9" fillId="0" borderId="94" xfId="6" applyFont="1" applyFill="1" applyBorder="1" applyAlignment="1" applyProtection="1">
      <alignment wrapText="1"/>
      <protection locked="0"/>
    </xf>
    <xf numFmtId="0" fontId="9" fillId="0" borderId="21" xfId="6" applyFont="1" applyFill="1" applyBorder="1" applyAlignment="1" applyProtection="1">
      <alignment wrapText="1"/>
      <protection locked="0"/>
    </xf>
    <xf numFmtId="0" fontId="8" fillId="0" borderId="94" xfId="6" applyFont="1" applyFill="1" applyBorder="1" applyAlignment="1">
      <alignment wrapText="1"/>
    </xf>
    <xf numFmtId="1" fontId="15" fillId="0" borderId="0" xfId="6" applyNumberFormat="1" applyFont="1" applyFill="1" applyBorder="1" applyAlignment="1">
      <alignment horizontal="right" vertical="top"/>
    </xf>
    <xf numFmtId="1" fontId="15" fillId="0" borderId="0" xfId="6" applyNumberFormat="1" applyFont="1" applyFill="1" applyBorder="1"/>
    <xf numFmtId="1" fontId="15" fillId="0" borderId="20" xfId="6" applyNumberFormat="1" applyFont="1" applyFill="1" applyBorder="1"/>
    <xf numFmtId="1" fontId="15" fillId="0" borderId="4" xfId="6" applyNumberFormat="1" applyFont="1" applyFill="1" applyBorder="1" applyAlignment="1">
      <alignment horizontal="right" vertical="top"/>
    </xf>
    <xf numFmtId="1" fontId="15" fillId="0" borderId="4" xfId="6" applyNumberFormat="1" applyFont="1" applyFill="1" applyBorder="1"/>
    <xf numFmtId="1" fontId="15" fillId="0" borderId="22" xfId="6" applyNumberFormat="1" applyFont="1" applyFill="1" applyBorder="1"/>
    <xf numFmtId="0" fontId="129" fillId="0" borderId="0" xfId="6" applyFont="1" applyFill="1" applyAlignment="1"/>
    <xf numFmtId="0" fontId="9" fillId="0" borderId="25" xfId="6" applyFont="1" applyFill="1" applyBorder="1" applyAlignment="1">
      <alignment wrapText="1"/>
    </xf>
    <xf numFmtId="3" fontId="19" fillId="0" borderId="0" xfId="19" applyNumberFormat="1" applyFont="1" applyFill="1" applyBorder="1"/>
    <xf numFmtId="0" fontId="41" fillId="0" borderId="26" xfId="6" applyFont="1" applyFill="1" applyBorder="1" applyAlignment="1">
      <alignment horizontal="right"/>
    </xf>
    <xf numFmtId="186" fontId="19" fillId="0" borderId="20" xfId="6" applyNumberFormat="1" applyFont="1" applyFill="1" applyBorder="1" applyAlignment="1">
      <alignment horizontal="right"/>
    </xf>
    <xf numFmtId="3" fontId="19" fillId="0" borderId="20" xfId="19" applyNumberFormat="1" applyFont="1" applyFill="1" applyBorder="1" applyAlignment="1">
      <alignment horizontal="right"/>
    </xf>
    <xf numFmtId="3" fontId="19" fillId="0" borderId="20" xfId="19" applyNumberFormat="1" applyFont="1" applyFill="1" applyBorder="1"/>
    <xf numFmtId="3" fontId="19" fillId="0" borderId="22" xfId="19" applyNumberFormat="1" applyFont="1" applyFill="1" applyBorder="1"/>
    <xf numFmtId="186" fontId="9" fillId="0" borderId="19" xfId="6" applyNumberFormat="1" applyFont="1" applyFill="1" applyBorder="1"/>
    <xf numFmtId="186" fontId="9" fillId="0" borderId="19" xfId="6" applyNumberFormat="1" applyFont="1" applyFill="1" applyBorder="1" applyAlignment="1">
      <alignment wrapText="1"/>
    </xf>
    <xf numFmtId="186" fontId="9" fillId="0" borderId="21" xfId="6" applyNumberFormat="1" applyFont="1" applyFill="1" applyBorder="1" applyAlignment="1">
      <alignment wrapText="1"/>
    </xf>
    <xf numFmtId="1" fontId="9" fillId="0" borderId="20" xfId="6" applyNumberFormat="1" applyFont="1" applyFill="1" applyBorder="1" applyAlignment="1">
      <alignment horizontal="right"/>
    </xf>
    <xf numFmtId="1" fontId="9" fillId="0" borderId="22" xfId="6" applyNumberFormat="1" applyFont="1" applyFill="1" applyBorder="1" applyAlignment="1">
      <alignment horizontal="right"/>
    </xf>
    <xf numFmtId="0" fontId="9" fillId="0" borderId="20" xfId="6" applyNumberFormat="1" applyFont="1" applyFill="1" applyBorder="1" applyAlignment="1">
      <alignment horizontal="right"/>
    </xf>
    <xf numFmtId="205" fontId="9" fillId="0" borderId="20" xfId="6" applyNumberFormat="1" applyFont="1" applyFill="1" applyBorder="1" applyAlignment="1">
      <alignment horizontal="right"/>
    </xf>
    <xf numFmtId="205" fontId="9" fillId="0" borderId="22" xfId="6" applyNumberFormat="1" applyFont="1" applyFill="1" applyBorder="1" applyAlignment="1">
      <alignment horizontal="right"/>
    </xf>
    <xf numFmtId="186" fontId="19" fillId="0" borderId="20" xfId="6" applyNumberFormat="1" applyFont="1" applyFill="1" applyBorder="1"/>
    <xf numFmtId="0" fontId="19" fillId="0" borderId="20" xfId="6" applyFont="1" applyFill="1" applyBorder="1"/>
    <xf numFmtId="10" fontId="19" fillId="0" borderId="22" xfId="19" applyNumberFormat="1" applyFont="1" applyFill="1" applyBorder="1" applyAlignment="1">
      <alignment horizontal="right"/>
    </xf>
    <xf numFmtId="2" fontId="9" fillId="0" borderId="0" xfId="6" applyNumberFormat="1" applyFont="1" applyFill="1" applyBorder="1" applyAlignment="1">
      <alignment horizontal="right" vertical="top"/>
    </xf>
    <xf numFmtId="0" fontId="5" fillId="0" borderId="1" xfId="3" applyFont="1" applyFill="1" applyBorder="1" applyAlignment="1" applyProtection="1">
      <alignment horizontal="left" vertical="top" wrapText="1"/>
    </xf>
    <xf numFmtId="0" fontId="5" fillId="0" borderId="2" xfId="3" applyFont="1" applyFill="1" applyBorder="1" applyAlignment="1" applyProtection="1">
      <alignment horizontal="left" vertical="top" wrapText="1"/>
    </xf>
    <xf numFmtId="0" fontId="5" fillId="0" borderId="3" xfId="3" applyFont="1" applyFill="1" applyBorder="1" applyAlignment="1" applyProtection="1">
      <alignment horizontal="left" vertical="top" wrapText="1"/>
    </xf>
    <xf numFmtId="0" fontId="21" fillId="0" borderId="1" xfId="3" applyFont="1" applyFill="1" applyBorder="1" applyAlignment="1" applyProtection="1">
      <alignment horizontal="left" vertical="top" wrapText="1"/>
    </xf>
    <xf numFmtId="0" fontId="21" fillId="0" borderId="2" xfId="3" applyFont="1" applyFill="1" applyBorder="1" applyAlignment="1" applyProtection="1">
      <alignment horizontal="left" vertical="top" wrapText="1"/>
    </xf>
    <xf numFmtId="0" fontId="21" fillId="0" borderId="3" xfId="3" applyFont="1" applyFill="1" applyBorder="1" applyAlignment="1" applyProtection="1">
      <alignment horizontal="left" vertical="top" wrapText="1"/>
    </xf>
    <xf numFmtId="169" fontId="9" fillId="0" borderId="10" xfId="3" applyNumberFormat="1" applyFont="1" applyFill="1" applyBorder="1" applyAlignment="1" applyProtection="1">
      <alignment horizontal="right"/>
    </xf>
    <xf numFmtId="169" fontId="9" fillId="0" borderId="11" xfId="3" applyNumberFormat="1" applyFont="1" applyFill="1" applyBorder="1" applyAlignment="1" applyProtection="1">
      <alignment horizontal="right"/>
    </xf>
    <xf numFmtId="169" fontId="17" fillId="0" borderId="12" xfId="3" applyNumberFormat="1" applyFont="1" applyFill="1" applyBorder="1" applyAlignment="1" applyProtection="1">
      <alignment horizontal="right"/>
    </xf>
    <xf numFmtId="169" fontId="17" fillId="0" borderId="11" xfId="3" applyNumberFormat="1" applyFont="1" applyFill="1" applyBorder="1" applyAlignment="1" applyProtection="1">
      <alignment horizontal="right"/>
    </xf>
    <xf numFmtId="169" fontId="9" fillId="0" borderId="0" xfId="3" applyNumberFormat="1" applyFont="1" applyFill="1" applyBorder="1" applyAlignment="1" applyProtection="1">
      <alignment horizontal="right"/>
    </xf>
    <xf numFmtId="169" fontId="9" fillId="0" borderId="6" xfId="3" applyNumberFormat="1" applyFont="1" applyFill="1" applyBorder="1" applyAlignment="1" applyProtection="1">
      <alignment horizontal="right"/>
    </xf>
    <xf numFmtId="169" fontId="17" fillId="0" borderId="7" xfId="3" applyNumberFormat="1" applyFont="1" applyFill="1" applyBorder="1" applyAlignment="1" applyProtection="1">
      <alignment horizontal="right"/>
    </xf>
    <xf numFmtId="169" fontId="17" fillId="0" borderId="6" xfId="3" applyNumberFormat="1" applyFont="1" applyFill="1" applyBorder="1" applyAlignment="1" applyProtection="1">
      <alignment horizontal="right"/>
    </xf>
    <xf numFmtId="169" fontId="9" fillId="0" borderId="8" xfId="3" applyNumberFormat="1" applyFont="1" applyFill="1" applyBorder="1" applyAlignment="1" applyProtection="1">
      <alignment horizontal="right"/>
    </xf>
    <xf numFmtId="169" fontId="9" fillId="0" borderId="13" xfId="3" applyNumberFormat="1" applyFont="1" applyFill="1" applyBorder="1" applyAlignment="1" applyProtection="1">
      <alignment horizontal="right"/>
    </xf>
    <xf numFmtId="169" fontId="17" fillId="0" borderId="9" xfId="3" applyNumberFormat="1" applyFont="1" applyFill="1" applyBorder="1" applyAlignment="1" applyProtection="1">
      <alignment horizontal="right"/>
    </xf>
    <xf numFmtId="169" fontId="17" fillId="0" borderId="13" xfId="3" applyNumberFormat="1" applyFont="1" applyFill="1" applyBorder="1" applyAlignment="1" applyProtection="1">
      <alignment horizontal="right"/>
    </xf>
    <xf numFmtId="0" fontId="7" fillId="0" borderId="1" xfId="6" applyNumberFormat="1" applyFont="1" applyFill="1" applyBorder="1" applyAlignment="1" applyProtection="1">
      <alignment horizontal="left" vertical="top" wrapText="1"/>
      <protection locked="0"/>
    </xf>
    <xf numFmtId="0" fontId="7" fillId="0" borderId="2" xfId="6" applyNumberFormat="1" applyFont="1" applyFill="1" applyBorder="1" applyAlignment="1" applyProtection="1">
      <alignment horizontal="left" vertical="top" wrapText="1"/>
      <protection locked="0"/>
    </xf>
    <xf numFmtId="0" fontId="7" fillId="0" borderId="1" xfId="6" applyFont="1" applyFill="1" applyBorder="1" applyAlignment="1" applyProtection="1">
      <alignment horizontal="left" vertical="top" wrapText="1"/>
      <protection locked="0"/>
    </xf>
    <xf numFmtId="0" fontId="7" fillId="0" borderId="2" xfId="6" applyFont="1" applyFill="1" applyBorder="1" applyAlignment="1" applyProtection="1">
      <alignment horizontal="left" vertical="top" wrapText="1"/>
      <protection locked="0"/>
    </xf>
    <xf numFmtId="0" fontId="5" fillId="0" borderId="16" xfId="6" quotePrefix="1" applyFont="1" applyFill="1" applyBorder="1" applyAlignment="1" applyProtection="1">
      <alignment horizontal="center" vertical="top" wrapText="1"/>
      <protection locked="0"/>
    </xf>
    <xf numFmtId="0" fontId="5" fillId="0" borderId="17" xfId="6" quotePrefix="1" applyFont="1" applyFill="1" applyBorder="1" applyAlignment="1" applyProtection="1">
      <alignment horizontal="center" vertical="top" wrapText="1"/>
      <protection locked="0"/>
    </xf>
    <xf numFmtId="0" fontId="5" fillId="0" borderId="18" xfId="6" quotePrefix="1" applyFont="1" applyFill="1" applyBorder="1" applyAlignment="1" applyProtection="1">
      <alignment horizontal="center" vertical="top" wrapText="1"/>
      <protection locked="0"/>
    </xf>
    <xf numFmtId="0" fontId="9" fillId="0" borderId="0" xfId="6" applyFont="1" applyFill="1" applyBorder="1" applyAlignment="1" applyProtection="1">
      <alignment horizontal="center" vertical="top" wrapText="1"/>
    </xf>
    <xf numFmtId="0" fontId="7" fillId="0" borderId="3" xfId="6" applyFont="1" applyFill="1" applyBorder="1" applyAlignment="1" applyProtection="1">
      <alignment horizontal="left" vertical="top" wrapText="1"/>
      <protection locked="0"/>
    </xf>
    <xf numFmtId="0" fontId="5" fillId="0" borderId="1" xfId="6" applyFont="1" applyFill="1" applyBorder="1" applyAlignment="1" applyProtection="1">
      <alignment horizontal="left" vertical="top" wrapText="1"/>
      <protection locked="0"/>
    </xf>
    <xf numFmtId="0" fontId="5" fillId="0" borderId="2" xfId="6" applyFont="1" applyFill="1" applyBorder="1" applyAlignment="1" applyProtection="1">
      <alignment horizontal="left" vertical="top" wrapText="1"/>
      <protection locked="0"/>
    </xf>
    <xf numFmtId="0" fontId="5" fillId="0" borderId="3" xfId="6" applyFont="1" applyFill="1" applyBorder="1" applyAlignment="1" applyProtection="1">
      <alignment horizontal="left" vertical="top" wrapText="1"/>
      <protection locked="0"/>
    </xf>
    <xf numFmtId="0" fontId="5" fillId="0" borderId="1" xfId="6" applyNumberFormat="1" applyFont="1" applyFill="1" applyBorder="1" applyAlignment="1" applyProtection="1">
      <alignment horizontal="left" vertical="top" wrapText="1"/>
      <protection locked="0"/>
    </xf>
    <xf numFmtId="0" fontId="5" fillId="0" borderId="2" xfId="6" applyNumberFormat="1" applyFont="1" applyFill="1" applyBorder="1" applyAlignment="1" applyProtection="1">
      <alignment horizontal="left" vertical="top" wrapText="1"/>
      <protection locked="0"/>
    </xf>
    <xf numFmtId="0" fontId="5" fillId="0" borderId="3" xfId="6" applyNumberFormat="1" applyFont="1" applyFill="1" applyBorder="1" applyAlignment="1" applyProtection="1">
      <alignment horizontal="left" vertical="top" wrapText="1"/>
      <protection locked="0"/>
    </xf>
    <xf numFmtId="0" fontId="5" fillId="0" borderId="1" xfId="7" applyFont="1" applyFill="1" applyBorder="1" applyAlignment="1" applyProtection="1">
      <alignment vertical="top"/>
      <protection locked="0"/>
    </xf>
    <xf numFmtId="0" fontId="5" fillId="0" borderId="2" xfId="7" applyFont="1" applyFill="1" applyBorder="1" applyAlignment="1" applyProtection="1">
      <alignment vertical="top"/>
      <protection locked="0"/>
    </xf>
    <xf numFmtId="0" fontId="5" fillId="0" borderId="3" xfId="7" applyFont="1" applyFill="1" applyBorder="1" applyAlignment="1" applyProtection="1">
      <alignment vertical="top"/>
      <protection locked="0"/>
    </xf>
    <xf numFmtId="0" fontId="5" fillId="0" borderId="1" xfId="7" applyFont="1" applyFill="1" applyBorder="1" applyAlignment="1" applyProtection="1">
      <alignment horizontal="left" vertical="top" wrapText="1"/>
      <protection locked="0"/>
    </xf>
    <xf numFmtId="0" fontId="5" fillId="0" borderId="2" xfId="7" applyFont="1" applyFill="1" applyBorder="1" applyAlignment="1" applyProtection="1">
      <alignment horizontal="left" vertical="top" wrapText="1"/>
      <protection locked="0"/>
    </xf>
    <xf numFmtId="0" fontId="5" fillId="0" borderId="3" xfId="7" applyFont="1" applyFill="1" applyBorder="1" applyAlignment="1" applyProtection="1">
      <alignment horizontal="left" vertical="top" wrapText="1"/>
      <protection locked="0"/>
    </xf>
    <xf numFmtId="0" fontId="21" fillId="0" borderId="1" xfId="7" applyFont="1" applyFill="1" applyBorder="1" applyAlignment="1" applyProtection="1">
      <alignment horizontal="left" vertical="top" wrapText="1"/>
      <protection locked="0"/>
    </xf>
    <xf numFmtId="0" fontId="21" fillId="0" borderId="2" xfId="7" applyFont="1" applyFill="1" applyBorder="1" applyAlignment="1" applyProtection="1">
      <alignment horizontal="left" vertical="top" wrapText="1"/>
      <protection locked="0"/>
    </xf>
    <xf numFmtId="0" fontId="21" fillId="0" borderId="3" xfId="7" applyFont="1" applyFill="1" applyBorder="1" applyAlignment="1" applyProtection="1">
      <alignment horizontal="left" vertical="top" wrapText="1"/>
      <protection locked="0"/>
    </xf>
    <xf numFmtId="0" fontId="5" fillId="0" borderId="1" xfId="7" applyFont="1" applyFill="1" applyBorder="1" applyAlignment="1" applyProtection="1">
      <alignment vertical="top"/>
    </xf>
    <xf numFmtId="0" fontId="5" fillId="0" borderId="2" xfId="7" applyFont="1" applyFill="1" applyBorder="1" applyAlignment="1" applyProtection="1">
      <alignment vertical="top"/>
    </xf>
    <xf numFmtId="0" fontId="5" fillId="0" borderId="3" xfId="7" applyFont="1" applyFill="1" applyBorder="1" applyAlignment="1" applyProtection="1">
      <alignment vertical="top"/>
    </xf>
    <xf numFmtId="0" fontId="5" fillId="0" borderId="1" xfId="7" applyFont="1" applyFill="1" applyBorder="1" applyAlignment="1" applyProtection="1">
      <alignment vertical="top" wrapText="1"/>
    </xf>
    <xf numFmtId="0" fontId="5" fillId="0" borderId="2" xfId="7" applyFont="1" applyFill="1" applyBorder="1" applyAlignment="1" applyProtection="1">
      <alignment vertical="top" wrapText="1"/>
    </xf>
    <xf numFmtId="0" fontId="5" fillId="0" borderId="3" xfId="7" applyFont="1" applyFill="1" applyBorder="1" applyAlignment="1" applyProtection="1">
      <alignment vertical="top" wrapText="1"/>
    </xf>
    <xf numFmtId="0" fontId="5" fillId="0" borderId="9" xfId="6" applyFont="1" applyFill="1" applyBorder="1" applyAlignment="1" applyProtection="1">
      <alignment horizontal="left" vertical="top" wrapText="1"/>
    </xf>
    <xf numFmtId="0" fontId="5" fillId="0" borderId="8" xfId="6" applyFont="1" applyFill="1" applyBorder="1" applyAlignment="1" applyProtection="1">
      <alignment horizontal="left" vertical="top" wrapText="1"/>
    </xf>
    <xf numFmtId="0" fontId="5" fillId="0" borderId="13" xfId="6" applyFont="1" applyFill="1" applyBorder="1" applyAlignment="1" applyProtection="1">
      <alignment horizontal="left" vertical="top" wrapText="1"/>
    </xf>
    <xf numFmtId="0" fontId="5" fillId="0" borderId="1" xfId="6" applyFont="1" applyFill="1" applyBorder="1" applyAlignment="1" applyProtection="1">
      <alignment horizontal="left" vertical="top" wrapText="1"/>
    </xf>
    <xf numFmtId="0" fontId="5" fillId="0" borderId="2" xfId="6" applyFont="1" applyFill="1" applyBorder="1" applyAlignment="1" applyProtection="1">
      <alignment horizontal="left" vertical="top" wrapText="1"/>
    </xf>
    <xf numFmtId="0" fontId="5" fillId="0" borderId="3" xfId="6" applyFont="1" applyFill="1" applyBorder="1" applyAlignment="1" applyProtection="1">
      <alignment horizontal="left" vertical="top" wrapText="1"/>
    </xf>
    <xf numFmtId="0" fontId="5" fillId="0" borderId="1" xfId="6" applyFont="1" applyFill="1" applyBorder="1" applyAlignment="1" applyProtection="1">
      <alignment vertical="top" wrapText="1"/>
    </xf>
    <xf numFmtId="0" fontId="5" fillId="0" borderId="2" xfId="6" applyFont="1" applyFill="1" applyBorder="1" applyAlignment="1" applyProtection="1">
      <alignment vertical="top" wrapText="1"/>
    </xf>
    <xf numFmtId="0" fontId="5" fillId="0" borderId="3" xfId="6" applyFont="1" applyFill="1" applyBorder="1" applyAlignment="1" applyProtection="1">
      <alignment vertical="top" wrapText="1"/>
    </xf>
    <xf numFmtId="0" fontId="5" fillId="0" borderId="1" xfId="7" applyFont="1" applyFill="1" applyBorder="1" applyAlignment="1" applyProtection="1">
      <alignment horizontal="left" vertical="top"/>
    </xf>
    <xf numFmtId="0" fontId="5" fillId="0" borderId="2" xfId="7" applyFont="1" applyFill="1" applyBorder="1" applyAlignment="1" applyProtection="1">
      <alignment horizontal="left" vertical="top"/>
    </xf>
    <xf numFmtId="0" fontId="5" fillId="0" borderId="3" xfId="7" applyFont="1" applyFill="1" applyBorder="1" applyAlignment="1" applyProtection="1">
      <alignment horizontal="left" vertical="top"/>
    </xf>
    <xf numFmtId="0" fontId="5" fillId="0" borderId="1" xfId="7" applyFont="1" applyFill="1" applyBorder="1" applyAlignment="1" applyProtection="1">
      <alignment horizontal="left" vertical="top" wrapText="1"/>
    </xf>
    <xf numFmtId="0" fontId="5" fillId="0" borderId="2" xfId="7" applyFont="1" applyFill="1" applyBorder="1" applyAlignment="1" applyProtection="1">
      <alignment horizontal="left" vertical="top" wrapText="1"/>
    </xf>
    <xf numFmtId="0" fontId="5" fillId="0" borderId="3" xfId="7" applyFont="1" applyFill="1" applyBorder="1" applyAlignment="1" applyProtection="1">
      <alignment horizontal="left" vertical="top" wrapText="1"/>
    </xf>
    <xf numFmtId="0" fontId="21" fillId="0" borderId="1" xfId="7" applyFont="1" applyFill="1" applyBorder="1" applyAlignment="1" applyProtection="1">
      <alignment horizontal="left" vertical="top" wrapText="1"/>
    </xf>
    <xf numFmtId="0" fontId="21" fillId="0" borderId="2" xfId="7" applyFont="1" applyFill="1" applyBorder="1" applyAlignment="1" applyProtection="1">
      <alignment horizontal="left" vertical="top" wrapText="1"/>
    </xf>
    <xf numFmtId="0" fontId="21" fillId="0" borderId="3" xfId="7" applyFont="1" applyFill="1" applyBorder="1" applyAlignment="1" applyProtection="1">
      <alignment horizontal="left" vertical="top" wrapText="1"/>
    </xf>
    <xf numFmtId="0" fontId="5" fillId="0" borderId="1" xfId="6" applyNumberFormat="1" applyFont="1" applyFill="1" applyBorder="1" applyAlignment="1" applyProtection="1">
      <alignment vertical="top" wrapText="1"/>
    </xf>
    <xf numFmtId="0" fontId="5" fillId="0" borderId="2" xfId="6" applyNumberFormat="1" applyFont="1" applyFill="1" applyBorder="1" applyAlignment="1" applyProtection="1">
      <alignment vertical="top" wrapText="1"/>
    </xf>
    <xf numFmtId="0" fontId="5" fillId="0" borderId="3" xfId="6" applyNumberFormat="1" applyFont="1" applyFill="1" applyBorder="1" applyAlignment="1" applyProtection="1">
      <alignment vertical="top" wrapText="1"/>
    </xf>
    <xf numFmtId="0" fontId="5" fillId="0" borderId="24" xfId="6" quotePrefix="1" applyFont="1" applyFill="1" applyBorder="1" applyAlignment="1" applyProtection="1">
      <alignment horizontal="center" vertical="top" wrapText="1"/>
    </xf>
    <xf numFmtId="0" fontId="5" fillId="0" borderId="1" xfId="7" applyFont="1" applyFill="1" applyBorder="1" applyAlignment="1" applyProtection="1">
      <alignment horizontal="left" vertical="top" wrapText="1" readingOrder="1"/>
    </xf>
    <xf numFmtId="0" fontId="5" fillId="0" borderId="2" xfId="7" applyFont="1" applyFill="1" applyBorder="1" applyAlignment="1" applyProtection="1">
      <alignment horizontal="left" vertical="top" wrapText="1" readingOrder="1"/>
    </xf>
    <xf numFmtId="0" fontId="5" fillId="0" borderId="3" xfId="7" applyFont="1" applyFill="1" applyBorder="1" applyAlignment="1" applyProtection="1">
      <alignment horizontal="left" vertical="top" wrapText="1" readingOrder="1"/>
    </xf>
    <xf numFmtId="0" fontId="21" fillId="0" borderId="1" xfId="7" applyFont="1" applyFill="1" applyBorder="1" applyAlignment="1" applyProtection="1">
      <alignment horizontal="left" vertical="top" wrapText="1" readingOrder="1"/>
    </xf>
    <xf numFmtId="0" fontId="21" fillId="0" borderId="2" xfId="7" applyFont="1" applyFill="1" applyBorder="1" applyAlignment="1" applyProtection="1">
      <alignment horizontal="left" vertical="top" wrapText="1" readingOrder="1"/>
    </xf>
    <xf numFmtId="0" fontId="21" fillId="0" borderId="3" xfId="7" applyFont="1" applyFill="1" applyBorder="1" applyAlignment="1" applyProtection="1">
      <alignment horizontal="left" vertical="top" wrapText="1" readingOrder="1"/>
    </xf>
    <xf numFmtId="0" fontId="5" fillId="0" borderId="1" xfId="6" applyNumberFormat="1" applyFont="1" applyFill="1" applyBorder="1" applyAlignment="1" applyProtection="1">
      <alignment horizontal="left" vertical="top" wrapText="1"/>
    </xf>
    <xf numFmtId="0" fontId="5" fillId="0" borderId="2" xfId="6" applyNumberFormat="1" applyFont="1" applyFill="1" applyBorder="1" applyAlignment="1" applyProtection="1">
      <alignment horizontal="left" vertical="top" wrapText="1"/>
    </xf>
    <xf numFmtId="0" fontId="5" fillId="0" borderId="3" xfId="6" applyNumberFormat="1" applyFont="1" applyFill="1" applyBorder="1" applyAlignment="1" applyProtection="1">
      <alignment horizontal="left" vertical="top" wrapText="1"/>
    </xf>
    <xf numFmtId="0" fontId="21" fillId="0" borderId="1" xfId="7" applyFont="1" applyFill="1" applyBorder="1" applyAlignment="1" applyProtection="1">
      <alignment vertical="top"/>
    </xf>
    <xf numFmtId="0" fontId="21" fillId="0" borderId="2" xfId="7" applyFont="1" applyFill="1" applyBorder="1" applyAlignment="1" applyProtection="1">
      <alignment vertical="top"/>
    </xf>
    <xf numFmtId="0" fontId="21" fillId="0" borderId="3" xfId="7" applyFont="1" applyFill="1" applyBorder="1" applyAlignment="1" applyProtection="1">
      <alignment vertical="top"/>
    </xf>
    <xf numFmtId="0" fontId="5" fillId="0" borderId="0" xfId="6" applyNumberFormat="1" applyFont="1" applyFill="1" applyBorder="1" applyAlignment="1">
      <alignment vertical="top" wrapText="1"/>
    </xf>
    <xf numFmtId="0" fontId="5" fillId="0" borderId="0" xfId="6" applyFont="1" applyFill="1" applyBorder="1" applyAlignment="1">
      <alignment vertical="top" wrapText="1"/>
    </xf>
    <xf numFmtId="0" fontId="1" fillId="0" borderId="0" xfId="6" applyFont="1" applyFill="1" applyBorder="1" applyAlignment="1"/>
    <xf numFmtId="0" fontId="21" fillId="0" borderId="23" xfId="7" applyFont="1" applyFill="1" applyBorder="1" applyAlignment="1" applyProtection="1">
      <alignment horizontal="left" vertical="top" wrapText="1"/>
    </xf>
    <xf numFmtId="0" fontId="1" fillId="0" borderId="25" xfId="6" applyFont="1" applyFill="1" applyBorder="1" applyAlignment="1" applyProtection="1">
      <alignment horizontal="center" vertical="top"/>
    </xf>
    <xf numFmtId="0" fontId="1" fillId="0" borderId="5" xfId="6" applyFont="1" applyFill="1" applyBorder="1" applyAlignment="1" applyProtection="1">
      <alignment horizontal="center" vertical="top"/>
    </xf>
    <xf numFmtId="0" fontId="1" fillId="0" borderId="26" xfId="6" applyFont="1" applyFill="1" applyBorder="1" applyAlignment="1" applyProtection="1">
      <alignment horizontal="center" vertical="top"/>
    </xf>
    <xf numFmtId="0" fontId="16" fillId="0" borderId="25" xfId="6" quotePrefix="1" applyFont="1" applyFill="1" applyBorder="1" applyAlignment="1" applyProtection="1">
      <alignment vertical="top" wrapText="1"/>
    </xf>
    <xf numFmtId="0" fontId="16" fillId="0" borderId="5" xfId="6" quotePrefix="1" applyFont="1" applyFill="1" applyBorder="1" applyAlignment="1" applyProtection="1">
      <alignment vertical="top" wrapText="1"/>
    </xf>
    <xf numFmtId="0" fontId="16" fillId="0" borderId="26" xfId="6" quotePrefix="1" applyFont="1" applyFill="1" applyBorder="1" applyAlignment="1" applyProtection="1">
      <alignment vertical="top" wrapText="1"/>
    </xf>
    <xf numFmtId="0" fontId="5" fillId="0" borderId="25" xfId="6" quotePrefix="1" applyFont="1" applyFill="1" applyBorder="1" applyAlignment="1" applyProtection="1">
      <alignment horizontal="center"/>
      <protection locked="0"/>
    </xf>
    <xf numFmtId="0" fontId="5" fillId="0" borderId="5" xfId="6" quotePrefix="1" applyFont="1" applyFill="1" applyBorder="1" applyAlignment="1" applyProtection="1">
      <alignment horizontal="center"/>
      <protection locked="0"/>
    </xf>
    <xf numFmtId="0" fontId="5" fillId="0" borderId="0" xfId="6" quotePrefix="1" applyFont="1" applyFill="1" applyAlignment="1" applyProtection="1">
      <alignment horizontal="center"/>
      <protection locked="0"/>
    </xf>
    <xf numFmtId="17" fontId="5" fillId="0" borderId="0" xfId="6" quotePrefix="1" applyNumberFormat="1" applyFont="1" applyFill="1" applyAlignment="1" applyProtection="1">
      <alignment horizontal="center"/>
      <protection locked="0"/>
    </xf>
    <xf numFmtId="0" fontId="1" fillId="0" borderId="0" xfId="6" applyFont="1" applyFill="1" applyProtection="1">
      <protection locked="0"/>
    </xf>
    <xf numFmtId="0" fontId="5" fillId="0" borderId="0" xfId="6" quotePrefix="1" applyFont="1" applyFill="1" applyBorder="1" applyAlignment="1" applyProtection="1">
      <alignment horizontal="center"/>
      <protection locked="0"/>
    </xf>
    <xf numFmtId="0" fontId="1" fillId="0" borderId="2" xfId="6" applyFont="1" applyFill="1" applyBorder="1"/>
    <xf numFmtId="0" fontId="1" fillId="0" borderId="3" xfId="6" applyFont="1" applyFill="1" applyBorder="1"/>
    <xf numFmtId="0" fontId="7" fillId="0" borderId="1" xfId="7" applyFont="1" applyFill="1" applyBorder="1" applyAlignment="1" applyProtection="1">
      <alignment horizontal="left" vertical="top" wrapText="1"/>
      <protection locked="0"/>
    </xf>
    <xf numFmtId="0" fontId="7" fillId="0" borderId="2" xfId="7" applyFont="1" applyFill="1" applyBorder="1" applyAlignment="1" applyProtection="1">
      <alignment horizontal="left" vertical="top" wrapText="1"/>
      <protection locked="0"/>
    </xf>
    <xf numFmtId="0" fontId="7" fillId="0" borderId="3" xfId="7" applyFont="1" applyFill="1" applyBorder="1" applyAlignment="1" applyProtection="1">
      <alignment horizontal="left" vertical="top" wrapText="1"/>
      <protection locked="0"/>
    </xf>
    <xf numFmtId="0" fontId="7" fillId="0" borderId="1" xfId="7" applyNumberFormat="1" applyFont="1" applyFill="1" applyBorder="1" applyAlignment="1" applyProtection="1">
      <alignment horizontal="left" vertical="top" wrapText="1"/>
      <protection locked="0"/>
    </xf>
    <xf numFmtId="0" fontId="7" fillId="0" borderId="2" xfId="7" applyNumberFormat="1" applyFont="1" applyFill="1" applyBorder="1" applyAlignment="1" applyProtection="1">
      <alignment horizontal="left" vertical="top" wrapText="1"/>
      <protection locked="0"/>
    </xf>
    <xf numFmtId="0" fontId="46" fillId="0" borderId="1" xfId="7" applyNumberFormat="1" applyFont="1" applyFill="1" applyBorder="1" applyAlignment="1" applyProtection="1">
      <alignment horizontal="left" vertical="top" wrapText="1"/>
      <protection locked="0"/>
    </xf>
    <xf numFmtId="0" fontId="46" fillId="0" borderId="2" xfId="7" applyNumberFormat="1" applyFont="1" applyFill="1" applyBorder="1" applyAlignment="1" applyProtection="1">
      <alignment horizontal="left" vertical="top" wrapText="1"/>
      <protection locked="0"/>
    </xf>
    <xf numFmtId="0" fontId="46" fillId="0" borderId="3" xfId="7" applyNumberFormat="1" applyFont="1" applyFill="1" applyBorder="1" applyAlignment="1" applyProtection="1">
      <alignment horizontal="left" vertical="top" wrapText="1"/>
      <protection locked="0"/>
    </xf>
    <xf numFmtId="0" fontId="5" fillId="0" borderId="1" xfId="6" applyFont="1" applyFill="1" applyBorder="1" applyAlignment="1" applyProtection="1">
      <alignment horizontal="left" vertical="top"/>
    </xf>
    <xf numFmtId="0" fontId="5" fillId="0" borderId="2" xfId="6" applyFont="1" applyFill="1" applyBorder="1" applyAlignment="1" applyProtection="1">
      <alignment horizontal="left" vertical="top"/>
    </xf>
    <xf numFmtId="0" fontId="5" fillId="0" borderId="3" xfId="6" applyFont="1" applyFill="1" applyBorder="1" applyAlignment="1" applyProtection="1">
      <alignment horizontal="left" vertical="top"/>
    </xf>
    <xf numFmtId="0" fontId="5" fillId="0" borderId="16" xfId="6" quotePrefix="1" applyFont="1" applyFill="1" applyBorder="1" applyAlignment="1" applyProtection="1">
      <alignment horizontal="center" vertical="top" wrapText="1"/>
    </xf>
    <xf numFmtId="0" fontId="5" fillId="0" borderId="17" xfId="6" quotePrefix="1" applyFont="1" applyFill="1" applyBorder="1" applyAlignment="1" applyProtection="1">
      <alignment horizontal="center" vertical="top" wrapText="1"/>
    </xf>
    <xf numFmtId="0" fontId="5" fillId="0" borderId="1" xfId="6" applyFont="1" applyFill="1" applyBorder="1" applyAlignment="1">
      <alignment horizontal="left" vertical="top" wrapText="1"/>
    </xf>
    <xf numFmtId="0" fontId="5" fillId="0" borderId="2" xfId="6" applyFont="1" applyFill="1" applyBorder="1" applyAlignment="1">
      <alignment horizontal="left" vertical="top" wrapText="1"/>
    </xf>
    <xf numFmtId="0" fontId="5" fillId="0" borderId="3" xfId="6" applyFont="1" applyFill="1" applyBorder="1" applyAlignment="1">
      <alignment horizontal="left" vertical="top" wrapText="1"/>
    </xf>
    <xf numFmtId="0" fontId="58" fillId="0" borderId="34" xfId="6" applyFont="1" applyFill="1" applyBorder="1" applyAlignment="1">
      <alignment horizontal="center" wrapText="1"/>
    </xf>
    <xf numFmtId="0" fontId="58" fillId="0" borderId="35" xfId="6" applyFont="1" applyFill="1" applyBorder="1" applyAlignment="1">
      <alignment horizontal="center" wrapText="1"/>
    </xf>
    <xf numFmtId="0" fontId="58" fillId="0" borderId="36" xfId="6" applyFont="1" applyFill="1" applyBorder="1" applyAlignment="1">
      <alignment horizontal="center" wrapText="1"/>
    </xf>
    <xf numFmtId="0" fontId="24" fillId="0" borderId="37" xfId="6" applyFont="1" applyFill="1" applyBorder="1" applyAlignment="1">
      <alignment horizontal="center" vertical="center"/>
    </xf>
    <xf numFmtId="0" fontId="24" fillId="0" borderId="39" xfId="6" applyFont="1" applyFill="1" applyBorder="1" applyAlignment="1">
      <alignment horizontal="center" vertical="center"/>
    </xf>
    <xf numFmtId="0" fontId="5" fillId="0" borderId="1" xfId="7" applyFont="1" applyFill="1" applyBorder="1" applyAlignment="1">
      <alignment horizontal="left" vertical="top"/>
    </xf>
    <xf numFmtId="0" fontId="5" fillId="0" borderId="2" xfId="7" applyFont="1" applyFill="1" applyBorder="1" applyAlignment="1">
      <alignment horizontal="left" vertical="top"/>
    </xf>
    <xf numFmtId="0" fontId="5" fillId="0" borderId="3" xfId="7" applyFont="1" applyFill="1" applyBorder="1" applyAlignment="1">
      <alignment horizontal="left" vertical="top"/>
    </xf>
    <xf numFmtId="0" fontId="5" fillId="0" borderId="1" xfId="7" applyFont="1" applyFill="1" applyBorder="1" applyAlignment="1">
      <alignment vertical="top" wrapText="1"/>
    </xf>
    <xf numFmtId="0" fontId="5" fillId="0" borderId="2" xfId="7" applyFont="1" applyFill="1" applyBorder="1" applyAlignment="1">
      <alignment vertical="top" wrapText="1"/>
    </xf>
    <xf numFmtId="0" fontId="5" fillId="0" borderId="3" xfId="7" applyFont="1" applyFill="1" applyBorder="1" applyAlignment="1">
      <alignment vertical="top" wrapText="1"/>
    </xf>
    <xf numFmtId="0" fontId="5" fillId="0" borderId="1" xfId="6" applyFont="1" applyFill="1" applyBorder="1" applyAlignment="1">
      <alignment vertical="top" wrapText="1"/>
    </xf>
    <xf numFmtId="0" fontId="5" fillId="0" borderId="2" xfId="6" applyFont="1" applyFill="1" applyBorder="1" applyAlignment="1">
      <alignment vertical="top" wrapText="1"/>
    </xf>
    <xf numFmtId="0" fontId="5" fillId="0" borderId="3" xfId="6" applyFont="1" applyFill="1" applyBorder="1" applyAlignment="1">
      <alignment vertical="top" wrapText="1"/>
    </xf>
    <xf numFmtId="0" fontId="5" fillId="0" borderId="1" xfId="7" applyFont="1" applyFill="1" applyBorder="1" applyAlignment="1">
      <alignment horizontal="left" vertical="top" wrapText="1"/>
    </xf>
    <xf numFmtId="0" fontId="5" fillId="0" borderId="2" xfId="7" applyFont="1" applyFill="1" applyBorder="1" applyAlignment="1">
      <alignment horizontal="left" vertical="top" wrapText="1"/>
    </xf>
    <xf numFmtId="0" fontId="5" fillId="0" borderId="3" xfId="7" applyFont="1" applyFill="1" applyBorder="1" applyAlignment="1">
      <alignment horizontal="left" vertical="top" wrapText="1"/>
    </xf>
    <xf numFmtId="0" fontId="5" fillId="0" borderId="1" xfId="9" applyFont="1" applyFill="1" applyBorder="1" applyAlignment="1" applyProtection="1">
      <alignment horizontal="left" vertical="top" wrapText="1"/>
    </xf>
    <xf numFmtId="0" fontId="5" fillId="0" borderId="2" xfId="9" applyFont="1" applyFill="1" applyBorder="1" applyAlignment="1" applyProtection="1">
      <alignment horizontal="left" vertical="top" wrapText="1"/>
    </xf>
    <xf numFmtId="0" fontId="5" fillId="0" borderId="3" xfId="9" applyFont="1" applyFill="1" applyBorder="1" applyAlignment="1" applyProtection="1">
      <alignment horizontal="left" vertical="top" wrapText="1"/>
    </xf>
    <xf numFmtId="0" fontId="5" fillId="0" borderId="1" xfId="9" applyFont="1" applyFill="1" applyBorder="1" applyAlignment="1" applyProtection="1">
      <alignment horizontal="left" vertical="top"/>
    </xf>
    <xf numFmtId="0" fontId="5" fillId="0" borderId="2" xfId="9" applyFont="1" applyFill="1" applyBorder="1" applyAlignment="1" applyProtection="1">
      <alignment horizontal="left" vertical="top"/>
    </xf>
    <xf numFmtId="0" fontId="5" fillId="0" borderId="3" xfId="9" applyFont="1" applyFill="1" applyBorder="1" applyAlignment="1" applyProtection="1">
      <alignment horizontal="left" vertical="top"/>
    </xf>
    <xf numFmtId="0" fontId="5" fillId="0" borderId="0" xfId="6" applyFont="1" applyFill="1" applyBorder="1" applyAlignment="1" applyProtection="1">
      <alignment horizontal="left" vertical="top" wrapText="1"/>
      <protection locked="0"/>
    </xf>
    <xf numFmtId="0" fontId="1" fillId="0" borderId="0" xfId="6" applyFont="1" applyFill="1" applyBorder="1" applyAlignment="1" applyProtection="1">
      <alignment vertical="top" wrapText="1"/>
      <protection locked="0"/>
    </xf>
    <xf numFmtId="0" fontId="8" fillId="0" borderId="0" xfId="6" applyFont="1" applyFill="1" applyBorder="1" applyAlignment="1">
      <alignment horizontal="center" wrapText="1"/>
    </xf>
    <xf numFmtId="0" fontId="8" fillId="0" borderId="5" xfId="6" applyFont="1" applyFill="1" applyBorder="1" applyAlignment="1">
      <alignment horizontal="center" wrapText="1"/>
    </xf>
    <xf numFmtId="0" fontId="8" fillId="0" borderId="42" xfId="6" applyFont="1" applyFill="1" applyBorder="1" applyAlignment="1">
      <alignment horizontal="center" wrapText="1"/>
    </xf>
    <xf numFmtId="0" fontId="8" fillId="0" borderId="4" xfId="6" applyFont="1" applyFill="1" applyBorder="1" applyAlignment="1">
      <alignment horizontal="center" wrapText="1"/>
    </xf>
    <xf numFmtId="0" fontId="8" fillId="0" borderId="43" xfId="6" applyFont="1" applyFill="1" applyBorder="1" applyAlignment="1">
      <alignment horizontal="center" wrapText="1"/>
    </xf>
    <xf numFmtId="0" fontId="8" fillId="0" borderId="47" xfId="6" applyFont="1" applyFill="1" applyBorder="1" applyAlignment="1">
      <alignment horizontal="center" wrapText="1"/>
    </xf>
    <xf numFmtId="0" fontId="8" fillId="0" borderId="26" xfId="6" applyFont="1" applyFill="1" applyBorder="1" applyAlignment="1">
      <alignment horizontal="center" wrapText="1"/>
    </xf>
    <xf numFmtId="0" fontId="8" fillId="0" borderId="50" xfId="6" applyFont="1" applyFill="1" applyBorder="1" applyAlignment="1">
      <alignment horizontal="center" wrapText="1"/>
    </xf>
    <xf numFmtId="0" fontId="8" fillId="0" borderId="22" xfId="6" applyFont="1" applyFill="1" applyBorder="1" applyAlignment="1">
      <alignment horizontal="center" wrapText="1"/>
    </xf>
    <xf numFmtId="0" fontId="8" fillId="0" borderId="17" xfId="6" applyFont="1" applyFill="1" applyBorder="1" applyAlignment="1">
      <alignment horizontal="center" wrapText="1"/>
    </xf>
    <xf numFmtId="0" fontId="8" fillId="0" borderId="44" xfId="6" applyFont="1" applyFill="1" applyBorder="1" applyAlignment="1">
      <alignment horizontal="center" wrapText="1"/>
    </xf>
    <xf numFmtId="0" fontId="8" fillId="0" borderId="49" xfId="6" applyFont="1" applyFill="1" applyBorder="1" applyAlignment="1">
      <alignment horizontal="center" wrapText="1"/>
    </xf>
    <xf numFmtId="0" fontId="8" fillId="0" borderId="18" xfId="6" applyFont="1" applyFill="1" applyBorder="1" applyAlignment="1">
      <alignment horizontal="center" wrapText="1"/>
    </xf>
    <xf numFmtId="0" fontId="8" fillId="0" borderId="5" xfId="6" applyFont="1" applyFill="1" applyBorder="1" applyAlignment="1" applyProtection="1">
      <alignment horizontal="center" wrapText="1"/>
    </xf>
    <xf numFmtId="0" fontId="8" fillId="0" borderId="42" xfId="6" applyFont="1" applyFill="1" applyBorder="1" applyAlignment="1" applyProtection="1">
      <alignment horizontal="center"/>
    </xf>
    <xf numFmtId="0" fontId="8" fillId="0" borderId="47" xfId="6" applyFont="1" applyFill="1" applyBorder="1" applyAlignment="1" applyProtection="1">
      <alignment horizontal="center" wrapText="1"/>
    </xf>
    <xf numFmtId="0" fontId="8" fillId="0" borderId="26" xfId="6" applyFont="1" applyFill="1" applyBorder="1" applyAlignment="1" applyProtection="1">
      <alignment horizontal="center"/>
    </xf>
    <xf numFmtId="0" fontId="8" fillId="0" borderId="0" xfId="6" applyFont="1" applyFill="1" applyBorder="1" applyAlignment="1" applyProtection="1">
      <alignment horizontal="center"/>
    </xf>
    <xf numFmtId="0" fontId="12" fillId="0" borderId="25" xfId="0" applyFont="1" applyFill="1" applyBorder="1" applyAlignment="1">
      <alignment horizontal="center"/>
    </xf>
    <xf numFmtId="0" fontId="12" fillId="0" borderId="5" xfId="0" applyFont="1" applyFill="1" applyBorder="1" applyAlignment="1">
      <alignment horizontal="center"/>
    </xf>
    <xf numFmtId="0" fontId="12" fillId="0" borderId="26" xfId="0" applyFont="1" applyFill="1" applyBorder="1" applyAlignment="1">
      <alignment horizontal="center"/>
    </xf>
    <xf numFmtId="17" fontId="8" fillId="0" borderId="16" xfId="7" quotePrefix="1" applyNumberFormat="1" applyFont="1" applyFill="1" applyBorder="1" applyAlignment="1">
      <alignment horizontal="center"/>
    </xf>
    <xf numFmtId="17" fontId="8" fillId="0" borderId="17" xfId="7" quotePrefix="1" applyNumberFormat="1" applyFont="1" applyFill="1" applyBorder="1" applyAlignment="1">
      <alignment horizontal="center"/>
    </xf>
    <xf numFmtId="17" fontId="8" fillId="0" borderId="18" xfId="7" quotePrefix="1" applyNumberFormat="1" applyFont="1" applyFill="1" applyBorder="1" applyAlignment="1">
      <alignment horizontal="center"/>
    </xf>
    <xf numFmtId="17" fontId="12" fillId="0" borderId="29" xfId="0" quotePrefix="1" applyNumberFormat="1" applyFont="1" applyFill="1" applyBorder="1" applyAlignment="1">
      <alignment horizontal="center"/>
    </xf>
    <xf numFmtId="17" fontId="12" fillId="0" borderId="51" xfId="0" quotePrefix="1" applyNumberFormat="1" applyFont="1" applyFill="1" applyBorder="1" applyAlignment="1">
      <alignment horizontal="center"/>
    </xf>
    <xf numFmtId="17" fontId="12" fillId="0" borderId="56" xfId="0" quotePrefix="1" applyNumberFormat="1" applyFont="1" applyFill="1" applyBorder="1" applyAlignment="1">
      <alignment horizontal="center"/>
    </xf>
    <xf numFmtId="17" fontId="12" fillId="0" borderId="65" xfId="0" quotePrefix="1" applyNumberFormat="1" applyFont="1" applyFill="1" applyBorder="1" applyAlignment="1">
      <alignment horizontal="center"/>
    </xf>
    <xf numFmtId="0" fontId="5" fillId="0" borderId="0" xfId="6" applyFont="1" applyFill="1" applyAlignment="1" applyProtection="1">
      <alignment horizontal="left"/>
      <protection locked="0"/>
    </xf>
    <xf numFmtId="2" fontId="12" fillId="0" borderId="0" xfId="0" applyNumberFormat="1" applyFont="1" applyFill="1" applyBorder="1" applyAlignment="1">
      <alignment horizontal="center"/>
    </xf>
    <xf numFmtId="2" fontId="12" fillId="0" borderId="6" xfId="0" applyNumberFormat="1" applyFont="1" applyFill="1" applyBorder="1" applyAlignment="1">
      <alignment horizontal="center"/>
    </xf>
    <xf numFmtId="10" fontId="12" fillId="0" borderId="7" xfId="0" applyNumberFormat="1" applyFont="1" applyFill="1" applyBorder="1" applyAlignment="1">
      <alignment horizontal="center"/>
    </xf>
    <xf numFmtId="10" fontId="12" fillId="0" borderId="0" xfId="0" applyNumberFormat="1" applyFont="1" applyFill="1" applyBorder="1" applyAlignment="1">
      <alignment horizontal="center"/>
    </xf>
    <xf numFmtId="10" fontId="12" fillId="0" borderId="20" xfId="0" applyNumberFormat="1" applyFont="1" applyFill="1" applyBorder="1" applyAlignment="1">
      <alignment horizontal="center"/>
    </xf>
    <xf numFmtId="10" fontId="12" fillId="0" borderId="6" xfId="0" applyNumberFormat="1" applyFont="1" applyFill="1" applyBorder="1" applyAlignment="1">
      <alignment horizontal="center"/>
    </xf>
    <xf numFmtId="2" fontId="12" fillId="0" borderId="7" xfId="0" applyNumberFormat="1" applyFont="1" applyFill="1" applyBorder="1" applyAlignment="1">
      <alignment horizontal="center"/>
    </xf>
    <xf numFmtId="0" fontId="8" fillId="0" borderId="17" xfId="7" applyFont="1" applyFill="1" applyBorder="1" applyAlignment="1">
      <alignment horizontal="center"/>
    </xf>
    <xf numFmtId="0" fontId="8" fillId="0" borderId="44" xfId="7" applyFont="1" applyFill="1" applyBorder="1" applyAlignment="1">
      <alignment horizontal="center"/>
    </xf>
    <xf numFmtId="188" fontId="8" fillId="0" borderId="49" xfId="7" quotePrefix="1" applyNumberFormat="1" applyFont="1" applyFill="1" applyBorder="1" applyAlignment="1">
      <alignment horizontal="center"/>
    </xf>
    <xf numFmtId="188" fontId="8" fillId="0" borderId="17" xfId="7" applyNumberFormat="1" applyFont="1" applyFill="1" applyBorder="1" applyAlignment="1">
      <alignment horizontal="center"/>
    </xf>
    <xf numFmtId="188" fontId="8" fillId="0" borderId="18" xfId="7" applyNumberFormat="1" applyFont="1" applyFill="1" applyBorder="1" applyAlignment="1">
      <alignment horizontal="center"/>
    </xf>
    <xf numFmtId="10" fontId="12" fillId="0" borderId="29" xfId="0" quotePrefix="1" applyNumberFormat="1" applyFont="1" applyFill="1" applyBorder="1" applyAlignment="1">
      <alignment horizontal="center"/>
    </xf>
    <xf numFmtId="10" fontId="12" fillId="0" borderId="29" xfId="0" applyNumberFormat="1" applyFont="1" applyFill="1" applyBorder="1" applyAlignment="1">
      <alignment horizontal="center"/>
    </xf>
    <xf numFmtId="10" fontId="12" fillId="0" borderId="51" xfId="0" applyNumberFormat="1" applyFont="1" applyFill="1" applyBorder="1" applyAlignment="1">
      <alignment horizontal="center"/>
    </xf>
    <xf numFmtId="10" fontId="12" fillId="0" borderId="55" xfId="0" quotePrefix="1" applyNumberFormat="1" applyFont="1" applyFill="1" applyBorder="1" applyAlignment="1">
      <alignment horizontal="center"/>
    </xf>
    <xf numFmtId="10" fontId="12" fillId="0" borderId="56" xfId="0" applyNumberFormat="1" applyFont="1" applyFill="1" applyBorder="1" applyAlignment="1">
      <alignment horizontal="center"/>
    </xf>
    <xf numFmtId="0" fontId="12" fillId="0" borderId="17" xfId="0" quotePrefix="1" applyFont="1" applyFill="1" applyBorder="1" applyAlignment="1">
      <alignment horizontal="center"/>
    </xf>
    <xf numFmtId="0" fontId="12" fillId="0" borderId="17" xfId="0" applyFont="1" applyFill="1" applyBorder="1" applyAlignment="1">
      <alignment horizontal="center"/>
    </xf>
    <xf numFmtId="0" fontId="12" fillId="0" borderId="18" xfId="0" applyFont="1" applyFill="1" applyBorder="1" applyAlignment="1">
      <alignment horizontal="center"/>
    </xf>
    <xf numFmtId="0" fontId="12" fillId="0" borderId="5" xfId="0" quotePrefix="1" applyFont="1" applyFill="1" applyBorder="1" applyAlignment="1">
      <alignment horizontal="center"/>
    </xf>
    <xf numFmtId="0" fontId="12" fillId="0" borderId="26" xfId="0" quotePrefix="1" applyFont="1" applyFill="1" applyBorder="1" applyAlignment="1">
      <alignment horizontal="center"/>
    </xf>
    <xf numFmtId="17" fontId="12" fillId="0" borderId="25" xfId="0" quotePrefix="1" applyNumberFormat="1" applyFont="1" applyFill="1" applyBorder="1" applyAlignment="1">
      <alignment horizontal="center"/>
    </xf>
    <xf numFmtId="17" fontId="12" fillId="0" borderId="5" xfId="0" quotePrefix="1" applyNumberFormat="1" applyFont="1" applyFill="1" applyBorder="1" applyAlignment="1">
      <alignment horizontal="center"/>
    </xf>
    <xf numFmtId="17" fontId="12" fillId="0" borderId="26" xfId="0" quotePrefix="1" applyNumberFormat="1" applyFont="1" applyFill="1" applyBorder="1" applyAlignment="1">
      <alignment horizontal="center"/>
    </xf>
    <xf numFmtId="0" fontId="5" fillId="0" borderId="1" xfId="17" applyFont="1" applyFill="1" applyBorder="1" applyAlignment="1" applyProtection="1">
      <alignment horizontal="left" vertical="top" wrapText="1"/>
    </xf>
    <xf numFmtId="0" fontId="5" fillId="0" borderId="2" xfId="17" applyFont="1" applyFill="1" applyBorder="1" applyAlignment="1" applyProtection="1">
      <alignment horizontal="left" vertical="top" wrapText="1"/>
    </xf>
    <xf numFmtId="0" fontId="5" fillId="0" borderId="3" xfId="17" applyFont="1" applyFill="1" applyBorder="1" applyAlignment="1" applyProtection="1">
      <alignment horizontal="left" vertical="top" wrapText="1"/>
    </xf>
    <xf numFmtId="17" fontId="8" fillId="0" borderId="0" xfId="17" quotePrefix="1" applyNumberFormat="1" applyFont="1" applyFill="1" applyBorder="1" applyAlignment="1" applyProtection="1">
      <alignment horizontal="center" wrapText="1"/>
    </xf>
    <xf numFmtId="0" fontId="8" fillId="0" borderId="0" xfId="17" applyFont="1" applyFill="1" applyBorder="1" applyAlignment="1" applyProtection="1">
      <alignment horizontal="center" wrapText="1"/>
    </xf>
    <xf numFmtId="17" fontId="8" fillId="0" borderId="5" xfId="17" quotePrefix="1" applyNumberFormat="1" applyFont="1" applyFill="1" applyBorder="1" applyAlignment="1" applyProtection="1">
      <alignment horizontal="center" wrapText="1"/>
    </xf>
    <xf numFmtId="0" fontId="8" fillId="0" borderId="5" xfId="17" applyNumberFormat="1" applyFont="1" applyFill="1" applyBorder="1" applyAlignment="1" applyProtection="1">
      <alignment horizontal="center" wrapText="1"/>
    </xf>
    <xf numFmtId="0" fontId="8" fillId="0" borderId="26" xfId="17" applyNumberFormat="1" applyFont="1" applyFill="1" applyBorder="1" applyAlignment="1" applyProtection="1">
      <alignment horizontal="center" wrapText="1"/>
    </xf>
    <xf numFmtId="3" fontId="8" fillId="0" borderId="7" xfId="17" applyNumberFormat="1" applyFont="1" applyFill="1" applyBorder="1" applyAlignment="1">
      <alignment horizontal="center"/>
    </xf>
    <xf numFmtId="3" fontId="8" fillId="0" borderId="6" xfId="17" applyNumberFormat="1" applyFont="1" applyFill="1" applyBorder="1" applyAlignment="1">
      <alignment horizontal="center"/>
    </xf>
    <xf numFmtId="3" fontId="8" fillId="0" borderId="12" xfId="17" applyNumberFormat="1" applyFont="1" applyFill="1" applyBorder="1" applyAlignment="1">
      <alignment horizontal="center"/>
    </xf>
    <xf numFmtId="3" fontId="8" fillId="0" borderId="84" xfId="17" applyNumberFormat="1" applyFont="1" applyFill="1" applyBorder="1" applyAlignment="1">
      <alignment horizontal="center"/>
    </xf>
    <xf numFmtId="0" fontId="5" fillId="0" borderId="1" xfId="17" applyFont="1" applyFill="1" applyBorder="1" applyAlignment="1" applyProtection="1">
      <alignment vertical="top" wrapText="1"/>
    </xf>
    <xf numFmtId="0" fontId="5" fillId="0" borderId="2" xfId="17" applyFont="1" applyFill="1" applyBorder="1" applyAlignment="1" applyProtection="1">
      <alignment vertical="top" wrapText="1"/>
    </xf>
    <xf numFmtId="0" fontId="5" fillId="0" borderId="3" xfId="17" applyFont="1" applyFill="1" applyBorder="1" applyAlignment="1" applyProtection="1">
      <alignment vertical="top" wrapText="1"/>
    </xf>
    <xf numFmtId="0" fontId="1" fillId="0" borderId="2" xfId="6" applyFont="1" applyFill="1" applyBorder="1" applyAlignment="1">
      <alignment wrapText="1"/>
    </xf>
    <xf numFmtId="0" fontId="1" fillId="0" borderId="3" xfId="6" applyFont="1" applyFill="1" applyBorder="1" applyAlignment="1">
      <alignment wrapText="1"/>
    </xf>
    <xf numFmtId="0" fontId="5" fillId="0" borderId="2" xfId="6" applyFont="1" applyFill="1" applyBorder="1" applyAlignment="1">
      <alignment wrapText="1"/>
    </xf>
    <xf numFmtId="0" fontId="5" fillId="0" borderId="3" xfId="6" applyFont="1" applyFill="1" applyBorder="1" applyAlignment="1">
      <alignment wrapText="1"/>
    </xf>
    <xf numFmtId="0" fontId="8" fillId="0" borderId="17" xfId="6" applyFont="1" applyFill="1" applyBorder="1" applyAlignment="1" applyProtection="1">
      <alignment horizontal="center" wrapText="1"/>
    </xf>
    <xf numFmtId="0" fontId="8" fillId="0" borderId="44" xfId="6" applyFont="1" applyFill="1" applyBorder="1" applyAlignment="1" applyProtection="1">
      <alignment horizontal="center" wrapText="1"/>
    </xf>
    <xf numFmtId="0" fontId="8" fillId="0" borderId="49" xfId="6" applyFont="1" applyFill="1" applyBorder="1" applyAlignment="1" applyProtection="1">
      <alignment horizontal="center" wrapText="1"/>
    </xf>
    <xf numFmtId="0" fontId="8" fillId="0" borderId="18" xfId="6" applyFont="1" applyFill="1" applyBorder="1" applyAlignment="1" applyProtection="1">
      <alignment horizontal="center" wrapText="1"/>
    </xf>
    <xf numFmtId="0" fontId="8" fillId="0" borderId="0" xfId="6" applyFont="1" applyFill="1" applyBorder="1" applyAlignment="1" applyProtection="1">
      <alignment horizontal="center" wrapText="1"/>
    </xf>
    <xf numFmtId="0" fontId="8" fillId="0" borderId="5" xfId="7" applyFont="1" applyFill="1" applyBorder="1" applyAlignment="1" applyProtection="1">
      <alignment horizontal="center" wrapText="1"/>
    </xf>
    <xf numFmtId="0" fontId="8" fillId="0" borderId="42" xfId="7" applyFont="1" applyFill="1" applyBorder="1" applyAlignment="1" applyProtection="1">
      <alignment horizontal="center" wrapText="1"/>
    </xf>
    <xf numFmtId="0" fontId="8" fillId="0" borderId="26" xfId="7" applyFont="1" applyFill="1" applyBorder="1" applyAlignment="1" applyProtection="1">
      <alignment horizontal="center" wrapText="1"/>
    </xf>
    <xf numFmtId="0" fontId="8" fillId="0" borderId="0" xfId="7" applyFont="1" applyFill="1" applyBorder="1" applyAlignment="1" applyProtection="1">
      <alignment horizontal="center" wrapText="1"/>
    </xf>
    <xf numFmtId="0" fontId="5" fillId="0" borderId="57" xfId="6" applyFont="1" applyFill="1" applyBorder="1" applyAlignment="1" applyProtection="1">
      <alignment horizontal="left" vertical="top" wrapText="1"/>
    </xf>
    <xf numFmtId="0" fontId="5" fillId="0" borderId="1" xfId="6" applyFont="1" applyFill="1" applyBorder="1" applyAlignment="1" applyProtection="1">
      <alignment vertical="top"/>
    </xf>
    <xf numFmtId="0" fontId="5" fillId="0" borderId="2" xfId="6" applyFont="1" applyFill="1" applyBorder="1" applyAlignment="1" applyProtection="1">
      <alignment vertical="top"/>
    </xf>
    <xf numFmtId="0" fontId="5" fillId="0" borderId="3" xfId="6" applyFont="1" applyFill="1" applyBorder="1" applyAlignment="1" applyProtection="1">
      <alignment vertical="top"/>
    </xf>
    <xf numFmtId="0" fontId="21" fillId="0" borderId="1" xfId="6" applyFont="1" applyFill="1" applyBorder="1" applyAlignment="1" applyProtection="1">
      <alignment horizontal="left" vertical="top" wrapText="1"/>
    </xf>
    <xf numFmtId="0" fontId="21" fillId="0" borderId="2" xfId="6" applyFont="1" applyFill="1" applyBorder="1" applyAlignment="1" applyProtection="1">
      <alignment horizontal="left" vertical="top" wrapText="1"/>
    </xf>
    <xf numFmtId="0" fontId="21" fillId="0" borderId="54" xfId="6" applyFont="1" applyFill="1" applyBorder="1" applyAlignment="1" applyProtection="1">
      <alignment horizontal="left" vertical="top" wrapText="1"/>
    </xf>
    <xf numFmtId="0" fontId="8" fillId="0" borderId="0" xfId="6" applyFont="1" applyFill="1" applyBorder="1" applyAlignment="1" applyProtection="1">
      <alignment horizontal="center" vertical="top" wrapText="1"/>
      <protection locked="0"/>
    </xf>
    <xf numFmtId="0" fontId="8" fillId="0" borderId="0" xfId="6" applyFont="1" applyFill="1" applyBorder="1" applyAlignment="1" applyProtection="1">
      <alignment horizontal="center"/>
      <protection locked="0"/>
    </xf>
    <xf numFmtId="0" fontId="21" fillId="0" borderId="3" xfId="6" applyFont="1" applyFill="1" applyBorder="1" applyAlignment="1" applyProtection="1">
      <alignment horizontal="left" vertical="top" wrapText="1"/>
    </xf>
    <xf numFmtId="0" fontId="1" fillId="0" borderId="1" xfId="6" applyFont="1" applyFill="1" applyBorder="1" applyAlignment="1"/>
    <xf numFmtId="0" fontId="1" fillId="0" borderId="2" xfId="6" applyFont="1" applyFill="1" applyBorder="1" applyAlignment="1"/>
    <xf numFmtId="0" fontId="1" fillId="0" borderId="3" xfId="6" applyFont="1" applyFill="1" applyBorder="1" applyAlignment="1"/>
    <xf numFmtId="0" fontId="8" fillId="0" borderId="0" xfId="6" applyFont="1" applyFill="1" applyBorder="1" applyAlignment="1">
      <alignment horizontal="center" vertical="top" wrapText="1"/>
    </xf>
    <xf numFmtId="0" fontId="5" fillId="0" borderId="1" xfId="17" applyFont="1" applyFill="1" applyBorder="1" applyAlignment="1">
      <alignment vertical="top" wrapText="1"/>
    </xf>
    <xf numFmtId="0" fontId="5" fillId="0" borderId="2" xfId="17" applyFont="1" applyFill="1" applyBorder="1" applyAlignment="1">
      <alignment vertical="top" wrapText="1"/>
    </xf>
    <xf numFmtId="0" fontId="5" fillId="0" borderId="3" xfId="17" applyFont="1" applyFill="1" applyBorder="1" applyAlignment="1">
      <alignment vertical="top" wrapText="1"/>
    </xf>
    <xf numFmtId="0" fontId="5" fillId="0" borderId="1" xfId="17" applyNumberFormat="1" applyFont="1" applyFill="1" applyBorder="1" applyAlignment="1" applyProtection="1">
      <alignment vertical="top" wrapText="1"/>
    </xf>
    <xf numFmtId="0" fontId="5" fillId="0" borderId="2" xfId="17" applyNumberFormat="1" applyFont="1" applyFill="1" applyBorder="1" applyAlignment="1" applyProtection="1">
      <alignment vertical="top" wrapText="1"/>
    </xf>
    <xf numFmtId="0" fontId="5" fillId="0" borderId="3" xfId="17" applyNumberFormat="1" applyFont="1" applyFill="1" applyBorder="1" applyAlignment="1" applyProtection="1">
      <alignment vertical="top" wrapText="1"/>
    </xf>
    <xf numFmtId="0" fontId="8" fillId="0" borderId="47" xfId="19" applyNumberFormat="1" applyFont="1" applyFill="1" applyBorder="1" applyAlignment="1">
      <alignment horizontal="center"/>
    </xf>
    <xf numFmtId="0" fontId="8" fillId="0" borderId="5" xfId="19" applyNumberFormat="1" applyFont="1" applyFill="1" applyBorder="1" applyAlignment="1">
      <alignment horizontal="center"/>
    </xf>
    <xf numFmtId="0" fontId="8" fillId="0" borderId="26" xfId="19" applyNumberFormat="1" applyFont="1" applyFill="1" applyBorder="1" applyAlignment="1">
      <alignment horizontal="center"/>
    </xf>
    <xf numFmtId="0" fontId="8" fillId="0" borderId="42" xfId="19" applyNumberFormat="1" applyFont="1" applyFill="1" applyBorder="1" applyAlignment="1">
      <alignment horizontal="center"/>
    </xf>
    <xf numFmtId="0" fontId="5" fillId="0" borderId="1" xfId="17" applyFont="1" applyFill="1" applyBorder="1" applyAlignment="1">
      <alignment horizontal="left" vertical="top" wrapText="1"/>
    </xf>
    <xf numFmtId="0" fontId="5" fillId="0" borderId="2" xfId="17" applyFont="1" applyFill="1" applyBorder="1" applyAlignment="1">
      <alignment horizontal="left" vertical="top" wrapText="1"/>
    </xf>
    <xf numFmtId="0" fontId="5" fillId="0" borderId="3" xfId="17" applyFont="1" applyFill="1" applyBorder="1" applyAlignment="1">
      <alignment horizontal="left" vertical="top" wrapText="1"/>
    </xf>
    <xf numFmtId="0" fontId="5" fillId="0" borderId="1" xfId="17" applyNumberFormat="1" applyFont="1" applyFill="1" applyBorder="1" applyAlignment="1">
      <alignment vertical="top" wrapText="1"/>
    </xf>
    <xf numFmtId="0" fontId="5" fillId="0" borderId="2" xfId="17" applyNumberFormat="1" applyFont="1" applyFill="1" applyBorder="1" applyAlignment="1">
      <alignment vertical="top" wrapText="1"/>
    </xf>
    <xf numFmtId="0" fontId="5" fillId="0" borderId="3" xfId="17" applyNumberFormat="1" applyFont="1" applyFill="1" applyBorder="1" applyAlignment="1">
      <alignment vertical="top" wrapText="1"/>
    </xf>
    <xf numFmtId="0" fontId="9" fillId="0" borderId="33" xfId="17" applyFont="1" applyFill="1" applyBorder="1" applyAlignment="1"/>
    <xf numFmtId="0" fontId="9" fillId="0" borderId="8" xfId="17" applyFont="1" applyFill="1" applyBorder="1" applyAlignment="1"/>
    <xf numFmtId="0" fontId="9" fillId="0" borderId="94" xfId="17" applyFont="1" applyFill="1" applyBorder="1" applyAlignment="1">
      <alignment wrapText="1"/>
    </xf>
    <xf numFmtId="0" fontId="9" fillId="0" borderId="10" xfId="17" applyFont="1" applyFill="1" applyBorder="1" applyAlignment="1">
      <alignment wrapText="1"/>
    </xf>
    <xf numFmtId="0" fontId="9" fillId="0" borderId="19" xfId="17" applyFont="1" applyFill="1" applyBorder="1" applyAlignment="1"/>
    <xf numFmtId="0" fontId="9" fillId="0" borderId="0" xfId="17" applyFont="1" applyFill="1" applyBorder="1" applyAlignment="1"/>
    <xf numFmtId="0" fontId="5" fillId="0" borderId="1" xfId="6" applyFont="1" applyFill="1" applyBorder="1" applyAlignment="1"/>
    <xf numFmtId="0" fontId="5" fillId="0" borderId="2" xfId="6" applyFont="1" applyFill="1" applyBorder="1" applyAlignment="1"/>
    <xf numFmtId="0" fontId="5" fillId="0" borderId="3" xfId="6" applyFont="1" applyFill="1" applyBorder="1" applyAlignment="1"/>
    <xf numFmtId="0" fontId="5" fillId="0" borderId="0" xfId="6" applyFont="1" applyFill="1" applyBorder="1" applyAlignment="1"/>
    <xf numFmtId="0" fontId="25" fillId="0" borderId="0" xfId="6" applyFont="1" applyFill="1" applyBorder="1"/>
    <xf numFmtId="0" fontId="8" fillId="0" borderId="47" xfId="6" quotePrefix="1" applyFont="1" applyFill="1" applyBorder="1" applyAlignment="1">
      <alignment horizontal="center" wrapText="1"/>
    </xf>
    <xf numFmtId="0" fontId="8" fillId="0" borderId="42" xfId="6" quotePrefix="1" applyFont="1" applyFill="1" applyBorder="1" applyAlignment="1">
      <alignment horizontal="center" wrapText="1"/>
    </xf>
    <xf numFmtId="0" fontId="8" fillId="0" borderId="0" xfId="6" quotePrefix="1" applyFont="1" applyFill="1" applyBorder="1" applyAlignment="1">
      <alignment horizontal="center" wrapText="1"/>
    </xf>
    <xf numFmtId="0" fontId="43" fillId="0" borderId="0" xfId="6" applyFont="1" applyFill="1" applyBorder="1" applyAlignment="1" applyProtection="1">
      <alignment horizontal="justify" vertical="top" wrapText="1"/>
      <protection locked="0"/>
    </xf>
    <xf numFmtId="0" fontId="5" fillId="0" borderId="0" xfId="6" applyFont="1" applyFill="1" applyBorder="1" applyAlignment="1" applyProtection="1">
      <alignment horizontal="justify" vertical="top" wrapText="1"/>
      <protection locked="0"/>
    </xf>
    <xf numFmtId="0" fontId="9" fillId="0" borderId="19" xfId="6" applyFont="1" applyFill="1" applyBorder="1" applyAlignment="1" applyProtection="1">
      <alignment horizontal="left" vertical="top" wrapText="1"/>
    </xf>
    <xf numFmtId="0" fontId="5" fillId="0" borderId="0" xfId="6" applyFont="1" applyFill="1" applyBorder="1" applyAlignment="1" applyProtection="1">
      <alignment horizontal="left" wrapText="1"/>
    </xf>
    <xf numFmtId="17" fontId="76" fillId="0" borderId="5" xfId="6" quotePrefix="1" applyNumberFormat="1" applyFont="1" applyFill="1" applyBorder="1" applyAlignment="1">
      <alignment horizontal="center"/>
    </xf>
    <xf numFmtId="17" fontId="76" fillId="0" borderId="42" xfId="6" quotePrefix="1" applyNumberFormat="1" applyFont="1" applyFill="1" applyBorder="1" applyAlignment="1">
      <alignment horizontal="center"/>
    </xf>
    <xf numFmtId="0" fontId="5" fillId="0" borderId="19" xfId="6" applyFont="1" applyFill="1" applyBorder="1" applyAlignment="1" applyProtection="1">
      <alignment horizontal="left" wrapText="1"/>
    </xf>
    <xf numFmtId="0" fontId="9" fillId="0" borderId="21" xfId="6" applyFont="1" applyFill="1" applyBorder="1" applyAlignment="1" applyProtection="1">
      <alignment horizontal="left" vertical="top" wrapText="1"/>
    </xf>
    <xf numFmtId="0" fontId="5" fillId="0" borderId="4" xfId="6" applyFont="1" applyFill="1" applyBorder="1" applyAlignment="1" applyProtection="1">
      <alignment horizontal="left" wrapText="1"/>
    </xf>
    <xf numFmtId="0" fontId="76" fillId="0" borderId="29" xfId="6" quotePrefix="1" applyFont="1" applyFill="1" applyBorder="1" applyAlignment="1">
      <alignment horizontal="center"/>
    </xf>
    <xf numFmtId="0" fontId="76" fillId="0" borderId="51" xfId="6" quotePrefix="1" applyFont="1" applyFill="1" applyBorder="1" applyAlignment="1">
      <alignment horizontal="center"/>
    </xf>
    <xf numFmtId="0" fontId="82" fillId="0" borderId="19" xfId="6" applyFont="1" applyFill="1" applyBorder="1" applyAlignment="1" applyProtection="1">
      <alignment horizontal="left" vertical="top" wrapText="1"/>
    </xf>
    <xf numFmtId="0" fontId="81" fillId="0" borderId="0" xfId="6" applyFont="1" applyFill="1" applyBorder="1" applyAlignment="1" applyProtection="1">
      <alignment horizontal="left" wrapText="1"/>
    </xf>
    <xf numFmtId="49" fontId="8" fillId="0" borderId="17" xfId="6" applyNumberFormat="1" applyFont="1" applyFill="1" applyBorder="1" applyAlignment="1">
      <alignment horizontal="center"/>
    </xf>
    <xf numFmtId="49" fontId="8" fillId="0" borderId="44" xfId="6" applyNumberFormat="1" applyFont="1" applyFill="1" applyBorder="1" applyAlignment="1">
      <alignment horizontal="center"/>
    </xf>
    <xf numFmtId="0" fontId="5" fillId="0" borderId="0" xfId="6" applyFont="1" applyFill="1" applyBorder="1" applyAlignment="1">
      <alignment horizontal="left" vertical="top" wrapText="1"/>
    </xf>
    <xf numFmtId="0" fontId="0" fillId="0" borderId="0" xfId="6" applyFont="1" applyFill="1" applyBorder="1" applyAlignment="1">
      <alignment wrapText="1"/>
    </xf>
    <xf numFmtId="200" fontId="8" fillId="0" borderId="16" xfId="29" applyFont="1" applyFill="1" applyBorder="1" applyAlignment="1" applyProtection="1">
      <alignment horizontal="center" vertical="top"/>
    </xf>
    <xf numFmtId="200" fontId="8" fillId="0" borderId="17" xfId="29" applyFont="1" applyFill="1" applyBorder="1" applyAlignment="1" applyProtection="1">
      <alignment horizontal="center" vertical="top"/>
    </xf>
    <xf numFmtId="200" fontId="8" fillId="0" borderId="18" xfId="29" applyFont="1" applyFill="1" applyBorder="1" applyAlignment="1" applyProtection="1">
      <alignment horizontal="center" vertical="top"/>
    </xf>
    <xf numFmtId="0" fontId="8" fillId="0" borderId="0" xfId="6" applyFont="1" applyFill="1" applyBorder="1" applyAlignment="1" applyProtection="1">
      <alignment horizontal="right" vertical="top"/>
    </xf>
    <xf numFmtId="0" fontId="5" fillId="0" borderId="1" xfId="6" quotePrefix="1" applyFont="1" applyFill="1" applyBorder="1" applyAlignment="1" applyProtection="1">
      <alignment horizontal="left" vertical="top" wrapText="1"/>
    </xf>
    <xf numFmtId="0" fontId="5" fillId="0" borderId="2" xfId="6" quotePrefix="1" applyFont="1" applyFill="1" applyBorder="1" applyAlignment="1" applyProtection="1">
      <alignment horizontal="left" vertical="top" wrapText="1"/>
    </xf>
    <xf numFmtId="0" fontId="5" fillId="0" borderId="3" xfId="6" quotePrefix="1" applyFont="1" applyFill="1" applyBorder="1" applyAlignment="1" applyProtection="1">
      <alignment horizontal="left" vertical="top" wrapText="1"/>
    </xf>
    <xf numFmtId="0" fontId="5" fillId="0" borderId="1" xfId="6" applyNumberFormat="1" applyFont="1" applyFill="1" applyBorder="1" applyAlignment="1">
      <alignment vertical="top" wrapText="1"/>
    </xf>
    <xf numFmtId="0" fontId="5" fillId="0" borderId="2" xfId="6" applyNumberFormat="1" applyFont="1" applyFill="1" applyBorder="1" applyAlignment="1">
      <alignment vertical="top" wrapText="1"/>
    </xf>
    <xf numFmtId="0" fontId="5" fillId="0" borderId="3" xfId="6" applyNumberFormat="1" applyFont="1" applyFill="1" applyBorder="1" applyAlignment="1">
      <alignment vertical="top" wrapText="1"/>
    </xf>
    <xf numFmtId="0" fontId="26" fillId="0" borderId="0" xfId="6" applyFont="1" applyFill="1" applyAlignment="1" applyProtection="1">
      <alignment vertical="top" wrapText="1"/>
    </xf>
    <xf numFmtId="0" fontId="8" fillId="0" borderId="5" xfId="6" applyFont="1" applyFill="1" applyBorder="1" applyAlignment="1">
      <alignment horizontal="center"/>
    </xf>
    <xf numFmtId="0" fontId="8" fillId="0" borderId="79" xfId="6" applyFont="1" applyFill="1" applyBorder="1" applyAlignment="1">
      <alignment horizontal="center"/>
    </xf>
    <xf numFmtId="0" fontId="8" fillId="0" borderId="80" xfId="6" applyFont="1" applyFill="1" applyBorder="1" applyAlignment="1">
      <alignment horizontal="center"/>
    </xf>
    <xf numFmtId="0" fontId="5" fillId="0" borderId="1" xfId="6" applyFont="1" applyFill="1" applyBorder="1" applyAlignment="1">
      <alignment wrapText="1"/>
    </xf>
    <xf numFmtId="0" fontId="5" fillId="0" borderId="1" xfId="6" applyFont="1" applyFill="1" applyBorder="1" applyAlignment="1">
      <alignment horizontal="left" wrapText="1"/>
    </xf>
    <xf numFmtId="0" fontId="5" fillId="0" borderId="2" xfId="6" applyFont="1" applyFill="1" applyBorder="1" applyAlignment="1">
      <alignment horizontal="left" wrapText="1"/>
    </xf>
    <xf numFmtId="0" fontId="5" fillId="0" borderId="3" xfId="6" applyFont="1" applyFill="1" applyBorder="1" applyAlignment="1">
      <alignment horizontal="left" wrapText="1"/>
    </xf>
    <xf numFmtId="0" fontId="5" fillId="4" borderId="1" xfId="7" applyFont="1" applyFill="1" applyBorder="1" applyAlignment="1">
      <alignment horizontal="left" vertical="top" wrapText="1"/>
    </xf>
    <xf numFmtId="0" fontId="5" fillId="4" borderId="2" xfId="7" applyFont="1" applyFill="1" applyBorder="1" applyAlignment="1">
      <alignment horizontal="left" vertical="top" wrapText="1"/>
    </xf>
    <xf numFmtId="0" fontId="5" fillId="4" borderId="3" xfId="7" applyFont="1" applyFill="1" applyBorder="1" applyAlignment="1">
      <alignment horizontal="left" vertical="top" wrapText="1"/>
    </xf>
    <xf numFmtId="0" fontId="5" fillId="0" borderId="1" xfId="6" applyNumberFormat="1" applyFont="1" applyFill="1" applyBorder="1" applyAlignment="1">
      <alignment horizontal="left" vertical="top" wrapText="1"/>
    </xf>
    <xf numFmtId="0" fontId="5" fillId="0" borderId="2" xfId="6" applyNumberFormat="1" applyFont="1" applyFill="1" applyBorder="1" applyAlignment="1">
      <alignment horizontal="left" vertical="top" wrapText="1"/>
    </xf>
    <xf numFmtId="0" fontId="5" fillId="0" borderId="3" xfId="6" applyNumberFormat="1" applyFont="1" applyFill="1" applyBorder="1" applyAlignment="1">
      <alignment horizontal="left" vertical="top" wrapText="1"/>
    </xf>
    <xf numFmtId="0" fontId="7" fillId="0" borderId="0" xfId="6" applyFont="1" applyFill="1" applyAlignment="1">
      <alignment horizontal="left" vertical="top" wrapText="1"/>
    </xf>
    <xf numFmtId="0" fontId="5" fillId="0" borderId="12" xfId="6" applyFont="1" applyFill="1" applyBorder="1" applyAlignment="1">
      <alignment horizontal="left" vertical="top" wrapText="1"/>
    </xf>
    <xf numFmtId="0" fontId="5" fillId="0" borderId="10" xfId="6" applyFont="1" applyFill="1" applyBorder="1" applyAlignment="1">
      <alignment horizontal="left" vertical="top" wrapText="1"/>
    </xf>
    <xf numFmtId="0" fontId="5" fillId="0" borderId="12" xfId="6" applyNumberFormat="1" applyFont="1" applyFill="1" applyBorder="1" applyAlignment="1">
      <alignment horizontal="left" vertical="top" wrapText="1"/>
    </xf>
    <xf numFmtId="0" fontId="5" fillId="0" borderId="10" xfId="6" applyNumberFormat="1" applyFont="1" applyFill="1" applyBorder="1" applyAlignment="1">
      <alignment horizontal="left" vertical="top" wrapText="1"/>
    </xf>
    <xf numFmtId="0" fontId="24" fillId="0" borderId="0" xfId="17" applyFont="1" applyFill="1" applyBorder="1" applyAlignment="1">
      <alignment horizontal="center"/>
    </xf>
    <xf numFmtId="0" fontId="7" fillId="0" borderId="0" xfId="6" applyFont="1" applyFill="1" applyBorder="1" applyAlignment="1">
      <alignment vertical="top" wrapText="1"/>
    </xf>
    <xf numFmtId="0" fontId="24" fillId="0" borderId="16" xfId="17" applyFont="1" applyFill="1" applyBorder="1" applyAlignment="1">
      <alignment horizontal="center" vertical="center"/>
    </xf>
    <xf numFmtId="0" fontId="24" fillId="0" borderId="18" xfId="17" applyFont="1" applyFill="1" applyBorder="1" applyAlignment="1">
      <alignment horizontal="center" vertical="center"/>
    </xf>
    <xf numFmtId="0" fontId="24" fillId="0" borderId="24" xfId="17" applyFont="1" applyFill="1" applyBorder="1" applyAlignment="1">
      <alignment horizontal="center"/>
    </xf>
    <xf numFmtId="0" fontId="24" fillId="0" borderId="16" xfId="17" applyFont="1" applyFill="1" applyBorder="1" applyAlignment="1">
      <alignment horizontal="center"/>
    </xf>
    <xf numFmtId="0" fontId="24" fillId="0" borderId="18" xfId="17" applyFont="1" applyFill="1" applyBorder="1" applyAlignment="1">
      <alignment horizontal="center"/>
    </xf>
    <xf numFmtId="0" fontId="8" fillId="0" borderId="62" xfId="6" applyFont="1" applyFill="1" applyBorder="1" applyAlignment="1">
      <alignment horizontal="center"/>
    </xf>
    <xf numFmtId="0" fontId="8" fillId="0" borderId="0" xfId="6" applyFont="1" applyFill="1" applyBorder="1" applyAlignment="1">
      <alignment horizontal="center"/>
    </xf>
    <xf numFmtId="0" fontId="1" fillId="0" borderId="26" xfId="30" applyFill="1" applyBorder="1"/>
    <xf numFmtId="0" fontId="21" fillId="0" borderId="1" xfId="6" applyFont="1" applyFill="1" applyBorder="1" applyAlignment="1" applyProtection="1">
      <alignment vertical="top" wrapText="1"/>
    </xf>
    <xf numFmtId="0" fontId="21" fillId="0" borderId="2" xfId="6" applyFont="1" applyFill="1" applyBorder="1" applyAlignment="1" applyProtection="1">
      <alignment vertical="top" wrapText="1"/>
    </xf>
    <xf numFmtId="0" fontId="21" fillId="0" borderId="3" xfId="6" applyFont="1" applyFill="1" applyBorder="1" applyAlignment="1" applyProtection="1">
      <alignment vertical="top" wrapText="1"/>
    </xf>
    <xf numFmtId="0" fontId="7" fillId="0" borderId="0" xfId="6" applyFont="1" applyFill="1" applyBorder="1" applyAlignment="1" applyProtection="1">
      <alignment vertical="top" wrapText="1"/>
      <protection locked="0"/>
    </xf>
    <xf numFmtId="0" fontId="24" fillId="0" borderId="5" xfId="31" applyFont="1" applyFill="1" applyBorder="1" applyAlignment="1">
      <alignment horizontal="center" vertical="top"/>
    </xf>
    <xf numFmtId="0" fontId="8" fillId="0" borderId="0" xfId="6" applyFont="1" applyFill="1" applyBorder="1" applyAlignment="1">
      <alignment horizontal="center" vertical="top"/>
    </xf>
    <xf numFmtId="0" fontId="12" fillId="0" borderId="47" xfId="6" applyFont="1" applyFill="1" applyBorder="1" applyAlignment="1" applyProtection="1">
      <alignment horizontal="center"/>
    </xf>
    <xf numFmtId="0" fontId="12" fillId="0" borderId="5" xfId="6" applyFont="1" applyFill="1" applyBorder="1" applyAlignment="1" applyProtection="1">
      <alignment horizontal="center"/>
    </xf>
    <xf numFmtId="0" fontId="12" fillId="0" borderId="42" xfId="6" applyFont="1" applyFill="1" applyBorder="1" applyAlignment="1" applyProtection="1">
      <alignment horizontal="center"/>
    </xf>
    <xf numFmtId="0" fontId="8" fillId="0" borderId="5" xfId="6" applyFont="1" applyFill="1" applyBorder="1" applyAlignment="1" applyProtection="1">
      <alignment horizontal="center"/>
    </xf>
    <xf numFmtId="0" fontId="8" fillId="0" borderId="4" xfId="6" applyFont="1" applyFill="1" applyBorder="1" applyAlignment="1" applyProtection="1">
      <alignment horizontal="center" wrapText="1"/>
    </xf>
    <xf numFmtId="0" fontId="8" fillId="0" borderId="4" xfId="6" applyFont="1" applyFill="1" applyBorder="1" applyAlignment="1" applyProtection="1">
      <alignment horizontal="center"/>
    </xf>
    <xf numFmtId="0" fontId="5" fillId="0" borderId="88" xfId="6" applyFont="1" applyFill="1" applyBorder="1" applyAlignment="1" applyProtection="1">
      <alignment horizontal="left" vertical="top" wrapText="1"/>
    </xf>
    <xf numFmtId="0" fontId="5" fillId="0" borderId="89" xfId="6" applyFont="1" applyFill="1" applyBorder="1" applyAlignment="1" applyProtection="1">
      <alignment horizontal="left" vertical="top" wrapText="1"/>
    </xf>
    <xf numFmtId="0" fontId="5" fillId="0" borderId="90" xfId="6" applyFont="1" applyFill="1" applyBorder="1" applyAlignment="1" applyProtection="1">
      <alignment horizontal="left" vertical="top" wrapText="1"/>
    </xf>
    <xf numFmtId="0" fontId="5" fillId="3" borderId="1" xfId="6" applyFont="1" applyFill="1" applyBorder="1" applyAlignment="1" applyProtection="1">
      <alignment vertical="top" wrapText="1"/>
    </xf>
    <xf numFmtId="0" fontId="5" fillId="3" borderId="2" xfId="6" applyFont="1" applyFill="1" applyBorder="1" applyAlignment="1" applyProtection="1">
      <alignment vertical="top" wrapText="1"/>
    </xf>
    <xf numFmtId="0" fontId="5" fillId="3" borderId="3" xfId="6" applyFont="1" applyFill="1" applyBorder="1" applyAlignment="1" applyProtection="1">
      <alignment vertical="top" wrapText="1"/>
    </xf>
    <xf numFmtId="0" fontId="5" fillId="3" borderId="1" xfId="6" applyFont="1" applyFill="1" applyBorder="1" applyAlignment="1" applyProtection="1">
      <alignment horizontal="left" vertical="top" wrapText="1"/>
    </xf>
    <xf numFmtId="0" fontId="5" fillId="3" borderId="2" xfId="6" applyFont="1" applyFill="1" applyBorder="1" applyAlignment="1" applyProtection="1">
      <alignment horizontal="left" vertical="top" wrapText="1"/>
    </xf>
    <xf numFmtId="0" fontId="5" fillId="3" borderId="3" xfId="6" applyFont="1" applyFill="1" applyBorder="1" applyAlignment="1" applyProtection="1">
      <alignment horizontal="left" vertical="top" wrapText="1"/>
    </xf>
    <xf numFmtId="0" fontId="5" fillId="3" borderId="1" xfId="6" applyNumberFormat="1" applyFont="1" applyFill="1" applyBorder="1" applyAlignment="1" applyProtection="1">
      <alignment vertical="top" wrapText="1"/>
    </xf>
    <xf numFmtId="0" fontId="5" fillId="3" borderId="2" xfId="6" applyNumberFormat="1" applyFont="1" applyFill="1" applyBorder="1" applyAlignment="1" applyProtection="1">
      <alignment vertical="top" wrapText="1"/>
    </xf>
    <xf numFmtId="0" fontId="5" fillId="3" borderId="3" xfId="6" applyNumberFormat="1" applyFont="1" applyFill="1" applyBorder="1" applyAlignment="1" applyProtection="1">
      <alignment vertical="top" wrapText="1"/>
    </xf>
    <xf numFmtId="0" fontId="5" fillId="3" borderId="1" xfId="6" applyFont="1" applyFill="1" applyBorder="1" applyAlignment="1" applyProtection="1">
      <alignment vertical="top" wrapText="1"/>
      <protection locked="0"/>
    </xf>
    <xf numFmtId="0" fontId="5" fillId="3" borderId="2" xfId="6" applyFont="1" applyFill="1" applyBorder="1" applyAlignment="1" applyProtection="1">
      <alignment vertical="top" wrapText="1"/>
      <protection locked="0"/>
    </xf>
    <xf numFmtId="0" fontId="5" fillId="3" borderId="3" xfId="6" applyFont="1" applyFill="1" applyBorder="1" applyAlignment="1" applyProtection="1">
      <alignment vertical="top" wrapText="1"/>
      <protection locked="0"/>
    </xf>
    <xf numFmtId="0" fontId="8" fillId="0" borderId="29" xfId="6" applyFont="1" applyFill="1" applyBorder="1" applyAlignment="1" applyProtection="1">
      <alignment horizontal="center" vertical="top"/>
      <protection locked="0"/>
    </xf>
    <xf numFmtId="0" fontId="8" fillId="0" borderId="51" xfId="6" applyFont="1" applyFill="1" applyBorder="1" applyAlignment="1" applyProtection="1">
      <alignment horizontal="center" vertical="top"/>
      <protection locked="0"/>
    </xf>
    <xf numFmtId="0" fontId="0" fillId="0" borderId="0" xfId="6" applyFont="1" applyFill="1" applyAlignment="1" applyProtection="1">
      <alignment horizontal="center"/>
      <protection locked="0"/>
    </xf>
    <xf numFmtId="0" fontId="21" fillId="0" borderId="1" xfId="6" applyFont="1" applyFill="1" applyBorder="1" applyAlignment="1" applyProtection="1">
      <alignment vertical="top"/>
    </xf>
    <xf numFmtId="0" fontId="21" fillId="0" borderId="2" xfId="6" applyFont="1" applyFill="1" applyBorder="1" applyAlignment="1" applyProtection="1">
      <alignment vertical="top"/>
    </xf>
    <xf numFmtId="0" fontId="21" fillId="0" borderId="3" xfId="6" applyFont="1" applyFill="1" applyBorder="1" applyAlignment="1" applyProtection="1">
      <alignment vertical="top"/>
    </xf>
    <xf numFmtId="0" fontId="0" fillId="0" borderId="1" xfId="6" applyFont="1" applyFill="1" applyBorder="1" applyProtection="1">
      <protection locked="0"/>
    </xf>
    <xf numFmtId="0" fontId="0" fillId="0" borderId="2" xfId="6" applyFont="1" applyFill="1" applyBorder="1" applyProtection="1">
      <protection locked="0"/>
    </xf>
    <xf numFmtId="0" fontId="0" fillId="0" borderId="3" xfId="6" applyFont="1" applyFill="1" applyBorder="1" applyProtection="1">
      <protection locked="0"/>
    </xf>
    <xf numFmtId="170" fontId="8" fillId="0" borderId="55" xfId="6" applyNumberFormat="1" applyFont="1" applyFill="1" applyBorder="1" applyAlignment="1" applyProtection="1">
      <alignment horizontal="center"/>
    </xf>
    <xf numFmtId="170" fontId="8" fillId="0" borderId="29" xfId="6" applyNumberFormat="1" applyFont="1" applyFill="1" applyBorder="1" applyAlignment="1" applyProtection="1">
      <alignment horizontal="center"/>
    </xf>
    <xf numFmtId="170" fontId="8" fillId="0" borderId="51" xfId="6" applyNumberFormat="1" applyFont="1" applyFill="1" applyBorder="1" applyAlignment="1" applyProtection="1">
      <alignment horizontal="center"/>
    </xf>
    <xf numFmtId="0" fontId="8" fillId="0" borderId="8" xfId="6" applyFont="1" applyFill="1" applyBorder="1" applyAlignment="1" applyProtection="1">
      <alignment horizontal="center" wrapText="1"/>
    </xf>
    <xf numFmtId="0" fontId="8" fillId="0" borderId="13" xfId="6" applyFont="1" applyFill="1" applyBorder="1" applyAlignment="1" applyProtection="1">
      <alignment horizontal="center" wrapText="1"/>
    </xf>
    <xf numFmtId="170" fontId="8" fillId="0" borderId="5" xfId="6" applyNumberFormat="1" applyFont="1" applyFill="1" applyBorder="1" applyAlignment="1" applyProtection="1">
      <alignment horizontal="center"/>
    </xf>
    <xf numFmtId="170" fontId="8" fillId="0" borderId="42" xfId="6" applyNumberFormat="1" applyFont="1" applyFill="1" applyBorder="1" applyAlignment="1" applyProtection="1">
      <alignment horizontal="center"/>
    </xf>
    <xf numFmtId="170" fontId="8" fillId="0" borderId="47" xfId="6" applyNumberFormat="1" applyFont="1" applyFill="1" applyBorder="1" applyAlignment="1" applyProtection="1">
      <alignment horizontal="center"/>
    </xf>
    <xf numFmtId="0" fontId="9" fillId="0" borderId="12" xfId="6" applyFont="1" applyFill="1" applyBorder="1" applyAlignment="1" applyProtection="1">
      <alignment horizontal="center" wrapText="1"/>
    </xf>
    <xf numFmtId="0" fontId="9" fillId="0" borderId="10" xfId="6" applyFont="1" applyFill="1" applyBorder="1" applyAlignment="1" applyProtection="1">
      <alignment horizontal="center" wrapText="1"/>
    </xf>
    <xf numFmtId="0" fontId="9" fillId="0" borderId="11" xfId="6" applyFont="1" applyFill="1" applyBorder="1" applyAlignment="1" applyProtection="1">
      <alignment horizontal="center" wrapText="1"/>
    </xf>
    <xf numFmtId="0" fontId="9" fillId="0" borderId="42" xfId="6" applyFont="1" applyFill="1" applyBorder="1" applyAlignment="1" applyProtection="1">
      <alignment horizontal="center" wrapText="1"/>
    </xf>
    <xf numFmtId="0" fontId="9" fillId="0" borderId="13" xfId="6" applyFont="1" applyFill="1" applyBorder="1" applyAlignment="1" applyProtection="1">
      <alignment horizontal="center" wrapText="1"/>
    </xf>
    <xf numFmtId="0" fontId="8" fillId="0" borderId="81" xfId="6" applyFont="1" applyFill="1" applyBorder="1" applyAlignment="1" applyProtection="1">
      <alignment horizontal="center"/>
    </xf>
    <xf numFmtId="0" fontId="8" fillId="0" borderId="23" xfId="6" applyFont="1" applyFill="1" applyBorder="1" applyAlignment="1" applyProtection="1">
      <alignment horizontal="center"/>
    </xf>
    <xf numFmtId="9" fontId="8" fillId="0" borderId="5" xfId="19" quotePrefix="1" applyFont="1" applyFill="1" applyBorder="1" applyAlignment="1">
      <alignment horizontal="center"/>
    </xf>
    <xf numFmtId="9" fontId="8" fillId="0" borderId="42" xfId="19" quotePrefix="1" applyFont="1" applyFill="1" applyBorder="1" applyAlignment="1">
      <alignment horizontal="center"/>
    </xf>
    <xf numFmtId="9" fontId="8" fillId="0" borderId="47" xfId="19" quotePrefix="1" applyFont="1" applyFill="1" applyBorder="1" applyAlignment="1">
      <alignment horizontal="center"/>
    </xf>
    <xf numFmtId="9" fontId="8" fillId="0" borderId="26" xfId="19" quotePrefix="1" applyFont="1" applyFill="1" applyBorder="1" applyAlignment="1">
      <alignment horizontal="center"/>
    </xf>
    <xf numFmtId="0" fontId="61" fillId="0" borderId="0" xfId="17" applyFont="1" applyFill="1" applyBorder="1" applyAlignment="1">
      <alignment horizontal="center" wrapText="1"/>
    </xf>
    <xf numFmtId="0" fontId="5" fillId="0" borderId="1" xfId="6" applyFont="1" applyFill="1" applyBorder="1" applyAlignment="1">
      <alignment vertical="top"/>
    </xf>
    <xf numFmtId="0" fontId="5" fillId="0" borderId="2" xfId="6" applyFont="1" applyFill="1" applyBorder="1" applyAlignment="1">
      <alignment vertical="top"/>
    </xf>
    <xf numFmtId="0" fontId="5" fillId="0" borderId="3" xfId="6" applyFont="1" applyFill="1" applyBorder="1" applyAlignment="1">
      <alignment vertical="top"/>
    </xf>
    <xf numFmtId="0" fontId="12" fillId="0" borderId="16" xfId="0" applyFont="1" applyFill="1" applyBorder="1" applyAlignment="1">
      <alignment horizontal="center"/>
    </xf>
    <xf numFmtId="0" fontId="0" fillId="0" borderId="2" xfId="6" applyFont="1" applyFill="1" applyBorder="1" applyAlignment="1"/>
    <xf numFmtId="0" fontId="0" fillId="0" borderId="3" xfId="6" applyFont="1" applyFill="1" applyBorder="1" applyAlignment="1"/>
    <xf numFmtId="0" fontId="0" fillId="0" borderId="5" xfId="6" applyFont="1" applyFill="1" applyBorder="1" applyAlignment="1">
      <alignment horizontal="center" wrapText="1"/>
    </xf>
    <xf numFmtId="0" fontId="0" fillId="0" borderId="42" xfId="6" applyFont="1" applyFill="1" applyBorder="1" applyAlignment="1">
      <alignment horizontal="center" wrapText="1"/>
    </xf>
    <xf numFmtId="0" fontId="5" fillId="0" borderId="1" xfId="6" applyFont="1" applyFill="1" applyBorder="1" applyAlignment="1">
      <alignment horizontal="left" vertical="top"/>
    </xf>
    <xf numFmtId="0" fontId="5" fillId="0" borderId="2" xfId="6" applyFont="1" applyFill="1" applyBorder="1" applyAlignment="1">
      <alignment horizontal="left" vertical="top"/>
    </xf>
    <xf numFmtId="0" fontId="5" fillId="0" borderId="3" xfId="6" applyFont="1" applyFill="1" applyBorder="1" applyAlignment="1">
      <alignment horizontal="left" vertical="top"/>
    </xf>
    <xf numFmtId="0" fontId="8" fillId="0" borderId="65" xfId="6" applyFont="1" applyFill="1" applyBorder="1" applyAlignment="1">
      <alignment horizontal="center"/>
    </xf>
    <xf numFmtId="0" fontId="8" fillId="0" borderId="29" xfId="6" applyFont="1" applyFill="1" applyBorder="1" applyAlignment="1">
      <alignment horizontal="center"/>
    </xf>
    <xf numFmtId="0" fontId="8" fillId="0" borderId="56" xfId="6" applyFont="1" applyFill="1" applyBorder="1" applyAlignment="1">
      <alignment horizontal="center"/>
    </xf>
    <xf numFmtId="0" fontId="8" fillId="0" borderId="51" xfId="6" applyFont="1" applyFill="1" applyBorder="1" applyAlignment="1">
      <alignment horizontal="center"/>
    </xf>
    <xf numFmtId="0" fontId="8" fillId="0" borderId="57" xfId="6" applyFont="1" applyFill="1" applyBorder="1" applyAlignment="1">
      <alignment horizontal="left" wrapText="1"/>
    </xf>
    <xf numFmtId="0" fontId="8" fillId="0" borderId="2" xfId="6" applyFont="1" applyFill="1" applyBorder="1" applyAlignment="1">
      <alignment horizontal="left" wrapText="1"/>
    </xf>
    <xf numFmtId="0" fontId="8" fillId="0" borderId="3" xfId="6" applyFont="1" applyFill="1" applyBorder="1" applyAlignment="1">
      <alignment horizontal="left" wrapText="1"/>
    </xf>
    <xf numFmtId="0" fontId="8" fillId="0" borderId="1" xfId="6" applyFont="1" applyFill="1" applyBorder="1" applyAlignment="1">
      <alignment horizontal="center"/>
    </xf>
    <xf numFmtId="0" fontId="8" fillId="0" borderId="2" xfId="6" applyFont="1" applyFill="1" applyBorder="1" applyAlignment="1">
      <alignment horizontal="center"/>
    </xf>
    <xf numFmtId="0" fontId="8" fillId="0" borderId="3" xfId="6" applyFont="1" applyFill="1" applyBorder="1" applyAlignment="1">
      <alignment horizontal="center"/>
    </xf>
    <xf numFmtId="0" fontId="8" fillId="0" borderId="55" xfId="6" applyFont="1" applyFill="1" applyBorder="1" applyAlignment="1" applyProtection="1">
      <alignment horizontal="center"/>
      <protection locked="0"/>
    </xf>
    <xf numFmtId="0" fontId="8" fillId="0" borderId="51" xfId="6" applyFont="1" applyFill="1" applyBorder="1" applyAlignment="1" applyProtection="1">
      <alignment horizontal="center"/>
      <protection locked="0"/>
    </xf>
    <xf numFmtId="0" fontId="8" fillId="0" borderId="29" xfId="6" applyFont="1" applyFill="1" applyBorder="1" applyAlignment="1" applyProtection="1">
      <alignment horizontal="center"/>
      <protection locked="0"/>
    </xf>
    <xf numFmtId="0" fontId="8" fillId="0" borderId="56" xfId="6" applyFont="1" applyFill="1" applyBorder="1" applyAlignment="1" applyProtection="1">
      <alignment horizontal="center"/>
      <protection locked="0"/>
    </xf>
    <xf numFmtId="0" fontId="41" fillId="0" borderId="5" xfId="6" applyFont="1" applyFill="1" applyBorder="1" applyAlignment="1" applyProtection="1">
      <alignment horizontal="center"/>
    </xf>
    <xf numFmtId="0" fontId="41" fillId="0" borderId="42" xfId="6" applyFont="1" applyFill="1" applyBorder="1" applyAlignment="1" applyProtection="1">
      <alignment horizontal="center"/>
    </xf>
    <xf numFmtId="0" fontId="41" fillId="0" borderId="47" xfId="6" applyFont="1" applyFill="1" applyBorder="1" applyAlignment="1" applyProtection="1">
      <alignment horizontal="center"/>
    </xf>
    <xf numFmtId="0" fontId="41" fillId="0" borderId="47" xfId="6" applyFont="1" applyFill="1" applyBorder="1" applyAlignment="1" applyProtection="1">
      <alignment horizontal="center" wrapText="1"/>
    </xf>
    <xf numFmtId="0" fontId="41" fillId="0" borderId="42" xfId="6" applyFont="1" applyFill="1" applyBorder="1" applyAlignment="1" applyProtection="1">
      <alignment horizontal="center" wrapText="1"/>
    </xf>
    <xf numFmtId="0" fontId="24" fillId="0" borderId="4" xfId="6" applyFont="1" applyFill="1" applyBorder="1" applyAlignment="1" applyProtection="1">
      <alignment horizontal="left" wrapText="1"/>
    </xf>
    <xf numFmtId="0" fontId="24" fillId="0" borderId="0" xfId="6" applyFont="1" applyFill="1" applyBorder="1" applyAlignment="1" applyProtection="1">
      <alignment horizontal="center" wrapText="1"/>
    </xf>
    <xf numFmtId="0" fontId="0" fillId="0" borderId="1" xfId="6" applyFont="1" applyFill="1" applyBorder="1" applyAlignment="1" applyProtection="1">
      <alignment vertical="top" wrapText="1"/>
    </xf>
    <xf numFmtId="0" fontId="0" fillId="0" borderId="2" xfId="6" applyFont="1" applyFill="1" applyBorder="1" applyAlignment="1" applyProtection="1">
      <alignment vertical="top" wrapText="1"/>
    </xf>
    <xf numFmtId="0" fontId="0" fillId="0" borderId="3" xfId="6" applyFont="1" applyFill="1" applyBorder="1" applyAlignment="1" applyProtection="1">
      <alignment vertical="top" wrapText="1"/>
    </xf>
    <xf numFmtId="17" fontId="8" fillId="0" borderId="47" xfId="6" quotePrefix="1" applyNumberFormat="1" applyFont="1" applyFill="1" applyBorder="1" applyAlignment="1" applyProtection="1">
      <alignment horizontal="center"/>
    </xf>
    <xf numFmtId="17" fontId="8" fillId="0" borderId="5" xfId="6" quotePrefix="1" applyNumberFormat="1" applyFont="1" applyFill="1" applyBorder="1" applyAlignment="1" applyProtection="1">
      <alignment horizontal="center"/>
    </xf>
    <xf numFmtId="17" fontId="8" fillId="0" borderId="42" xfId="6" quotePrefix="1" applyNumberFormat="1" applyFont="1" applyFill="1" applyBorder="1" applyAlignment="1" applyProtection="1">
      <alignment horizontal="center"/>
    </xf>
    <xf numFmtId="0" fontId="8" fillId="0" borderId="29" xfId="17" applyFont="1" applyFill="1" applyBorder="1" applyAlignment="1">
      <alignment horizontal="center"/>
    </xf>
    <xf numFmtId="0" fontId="8" fillId="0" borderId="51" xfId="17" applyFont="1" applyFill="1" applyBorder="1" applyAlignment="1">
      <alignment horizontal="center"/>
    </xf>
    <xf numFmtId="0" fontId="8" fillId="0" borderId="55" xfId="17" applyFont="1" applyFill="1" applyBorder="1" applyAlignment="1">
      <alignment horizontal="center"/>
    </xf>
    <xf numFmtId="0" fontId="8" fillId="0" borderId="55" xfId="17" quotePrefix="1" applyFont="1" applyFill="1" applyBorder="1" applyAlignment="1">
      <alignment horizontal="center"/>
    </xf>
    <xf numFmtId="0" fontId="8" fillId="0" borderId="29" xfId="17" quotePrefix="1" applyFont="1" applyFill="1" applyBorder="1" applyAlignment="1">
      <alignment horizontal="center"/>
    </xf>
    <xf numFmtId="0" fontId="8" fillId="0" borderId="56" xfId="17" quotePrefix="1" applyFont="1" applyFill="1" applyBorder="1" applyAlignment="1">
      <alignment horizontal="center"/>
    </xf>
    <xf numFmtId="0" fontId="0" fillId="0" borderId="2" xfId="6" applyFont="1" applyFill="1" applyBorder="1" applyProtection="1"/>
    <xf numFmtId="0" fontId="0" fillId="0" borderId="3" xfId="6" applyFont="1" applyFill="1" applyBorder="1" applyProtection="1"/>
    <xf numFmtId="0" fontId="120" fillId="0" borderId="0" xfId="6" applyFont="1" applyFill="1" applyBorder="1" applyAlignment="1" applyProtection="1">
      <alignment horizontal="right" vertical="top" textRotation="90" wrapText="1"/>
    </xf>
    <xf numFmtId="0" fontId="8" fillId="0" borderId="4" xfId="6" applyFont="1" applyFill="1" applyBorder="1" applyAlignment="1">
      <alignment horizontal="left" vertical="top" wrapText="1"/>
    </xf>
    <xf numFmtId="0" fontId="16" fillId="0" borderId="10" xfId="6" applyFont="1" applyFill="1" applyBorder="1" applyAlignment="1" applyProtection="1">
      <alignment horizontal="center" vertical="top"/>
    </xf>
    <xf numFmtId="0" fontId="8" fillId="0" borderId="4" xfId="6" applyFont="1" applyFill="1" applyBorder="1" applyAlignment="1" applyProtection="1">
      <alignment horizontal="left"/>
      <protection locked="0"/>
    </xf>
    <xf numFmtId="0" fontId="5" fillId="0" borderId="1" xfId="6" applyNumberFormat="1" applyFont="1" applyFill="1" applyBorder="1" applyAlignment="1" applyProtection="1">
      <alignment vertical="top"/>
    </xf>
    <xf numFmtId="0" fontId="5" fillId="0" borderId="2" xfId="6" applyNumberFormat="1" applyFont="1" applyFill="1" applyBorder="1" applyAlignment="1" applyProtection="1">
      <alignment vertical="top"/>
    </xf>
    <xf numFmtId="0" fontId="5" fillId="0" borderId="3" xfId="6" applyNumberFormat="1" applyFont="1" applyFill="1" applyBorder="1" applyAlignment="1" applyProtection="1">
      <alignment vertical="top"/>
    </xf>
    <xf numFmtId="0" fontId="21" fillId="0" borderId="1" xfId="7" applyFont="1" applyFill="1" applyBorder="1" applyAlignment="1" applyProtection="1">
      <alignment vertical="top" wrapText="1"/>
    </xf>
    <xf numFmtId="0" fontId="21" fillId="0" borderId="2" xfId="7" applyFont="1" applyFill="1" applyBorder="1" applyAlignment="1" applyProtection="1">
      <alignment vertical="top" wrapText="1"/>
    </xf>
    <xf numFmtId="0" fontId="21" fillId="0" borderId="3" xfId="7" applyFont="1" applyFill="1" applyBorder="1" applyAlignment="1" applyProtection="1">
      <alignment vertical="top" wrapText="1"/>
    </xf>
    <xf numFmtId="0" fontId="8" fillId="0" borderId="4" xfId="6" applyFont="1" applyFill="1" applyBorder="1" applyAlignment="1">
      <alignment horizontal="left" wrapText="1"/>
    </xf>
    <xf numFmtId="0" fontId="5" fillId="0" borderId="1" xfId="6" applyFont="1" applyFill="1" applyBorder="1" applyAlignment="1">
      <alignment horizontal="left"/>
    </xf>
    <xf numFmtId="0" fontId="5" fillId="0" borderId="2" xfId="6" applyFont="1" applyFill="1" applyBorder="1" applyAlignment="1">
      <alignment horizontal="left"/>
    </xf>
    <xf numFmtId="0" fontId="5" fillId="0" borderId="3" xfId="6" applyFont="1" applyFill="1" applyBorder="1" applyAlignment="1">
      <alignment horizontal="left"/>
    </xf>
    <xf numFmtId="0" fontId="21" fillId="0" borderId="1" xfId="6" applyNumberFormat="1" applyFont="1" applyFill="1" applyBorder="1" applyAlignment="1" applyProtection="1">
      <alignment vertical="top" wrapText="1"/>
    </xf>
    <xf numFmtId="0" fontId="21" fillId="0" borderId="2" xfId="6" applyNumberFormat="1" applyFont="1" applyFill="1" applyBorder="1" applyAlignment="1" applyProtection="1">
      <alignment vertical="top" wrapText="1"/>
    </xf>
    <xf numFmtId="0" fontId="21" fillId="0" borderId="3" xfId="6" applyNumberFormat="1" applyFont="1" applyFill="1" applyBorder="1" applyAlignment="1" applyProtection="1">
      <alignment vertical="top" wrapText="1"/>
    </xf>
    <xf numFmtId="0" fontId="21" fillId="0" borderId="1" xfId="6" applyNumberFormat="1" applyFont="1" applyFill="1" applyBorder="1" applyAlignment="1">
      <alignment vertical="top" wrapText="1"/>
    </xf>
    <xf numFmtId="0" fontId="21" fillId="0" borderId="2" xfId="6" applyNumberFormat="1" applyFont="1" applyFill="1" applyBorder="1" applyAlignment="1">
      <alignment vertical="top" wrapText="1"/>
    </xf>
    <xf numFmtId="0" fontId="21" fillId="0" borderId="3" xfId="6" applyNumberFormat="1" applyFont="1" applyFill="1" applyBorder="1" applyAlignment="1">
      <alignment vertical="top" wrapText="1"/>
    </xf>
    <xf numFmtId="0" fontId="21" fillId="0" borderId="1" xfId="6" applyNumberFormat="1" applyFont="1" applyFill="1" applyBorder="1" applyAlignment="1">
      <alignment horizontal="left" vertical="top" wrapText="1"/>
    </xf>
    <xf numFmtId="0" fontId="21" fillId="0" borderId="2" xfId="6" applyNumberFormat="1" applyFont="1" applyFill="1" applyBorder="1" applyAlignment="1">
      <alignment horizontal="left" vertical="top" wrapText="1"/>
    </xf>
    <xf numFmtId="0" fontId="21" fillId="0" borderId="3" xfId="6" applyNumberFormat="1" applyFont="1" applyFill="1" applyBorder="1" applyAlignment="1">
      <alignment horizontal="left" vertical="top" wrapText="1"/>
    </xf>
    <xf numFmtId="0" fontId="21" fillId="0" borderId="1" xfId="6" applyFont="1" applyFill="1" applyBorder="1" applyAlignment="1">
      <alignment horizontal="left" vertical="top" wrapText="1"/>
    </xf>
    <xf numFmtId="0" fontId="21" fillId="0" borderId="2" xfId="6" applyFont="1" applyFill="1" applyBorder="1" applyAlignment="1">
      <alignment horizontal="left" vertical="top" wrapText="1"/>
    </xf>
    <xf numFmtId="0" fontId="21" fillId="0" borderId="3" xfId="6" applyFont="1" applyFill="1" applyBorder="1" applyAlignment="1">
      <alignment horizontal="left" vertical="top" wrapText="1"/>
    </xf>
    <xf numFmtId="0" fontId="9" fillId="0" borderId="21" xfId="6" applyFont="1" applyFill="1" applyBorder="1" applyAlignment="1">
      <alignment wrapText="1"/>
    </xf>
    <xf numFmtId="0" fontId="0" fillId="0" borderId="4" xfId="6" applyFont="1" applyFill="1" applyBorder="1" applyAlignment="1"/>
    <xf numFmtId="0" fontId="0" fillId="0" borderId="2" xfId="6" applyFont="1" applyFill="1" applyBorder="1" applyAlignment="1">
      <alignment wrapText="1"/>
    </xf>
    <xf numFmtId="0" fontId="0" fillId="0" borderId="3" xfId="6" applyFont="1" applyFill="1" applyBorder="1" applyAlignment="1">
      <alignment wrapText="1"/>
    </xf>
    <xf numFmtId="0" fontId="104" fillId="0" borderId="0" xfId="35" applyFont="1" applyFill="1" applyBorder="1" applyAlignment="1" applyProtection="1">
      <alignment vertical="top" wrapText="1"/>
    </xf>
    <xf numFmtId="0" fontId="30" fillId="0" borderId="1" xfId="6" applyNumberFormat="1" applyFont="1" applyFill="1" applyBorder="1" applyAlignment="1">
      <alignment horizontal="left" vertical="top" wrapText="1"/>
    </xf>
    <xf numFmtId="0" fontId="30" fillId="0" borderId="2" xfId="6" applyNumberFormat="1" applyFont="1" applyFill="1" applyBorder="1" applyAlignment="1">
      <alignment horizontal="left" vertical="top" wrapText="1"/>
    </xf>
    <xf numFmtId="0" fontId="30" fillId="0" borderId="3" xfId="6" applyNumberFormat="1" applyFont="1" applyFill="1" applyBorder="1" applyAlignment="1">
      <alignment horizontal="left" vertical="top" wrapText="1"/>
    </xf>
    <xf numFmtId="0" fontId="21" fillId="0" borderId="1" xfId="6" applyFont="1" applyFill="1" applyBorder="1" applyAlignment="1">
      <alignment vertical="top" wrapText="1"/>
    </xf>
    <xf numFmtId="0" fontId="21" fillId="0" borderId="2" xfId="6" applyFont="1" applyFill="1" applyBorder="1" applyAlignment="1">
      <alignment vertical="top" wrapText="1"/>
    </xf>
    <xf numFmtId="0" fontId="21" fillId="0" borderId="3" xfId="6" applyFont="1" applyFill="1" applyBorder="1" applyAlignment="1">
      <alignment vertical="top" wrapText="1"/>
    </xf>
    <xf numFmtId="0" fontId="5" fillId="0" borderId="1" xfId="35" applyFont="1" applyFill="1" applyBorder="1" applyAlignment="1" applyProtection="1">
      <alignment horizontal="left" vertical="top" wrapText="1"/>
    </xf>
    <xf numFmtId="0" fontId="5" fillId="0" borderId="2" xfId="35" applyFont="1" applyFill="1" applyBorder="1" applyAlignment="1" applyProtection="1">
      <alignment horizontal="left" vertical="top" wrapText="1"/>
    </xf>
    <xf numFmtId="0" fontId="5" fillId="0" borderId="3" xfId="35" applyFont="1" applyFill="1" applyBorder="1" applyAlignment="1" applyProtection="1">
      <alignment horizontal="left" vertical="top" wrapText="1"/>
    </xf>
    <xf numFmtId="0" fontId="8" fillId="0" borderId="42" xfId="6" applyFont="1" applyFill="1" applyBorder="1" applyAlignment="1">
      <alignment horizontal="center"/>
    </xf>
    <xf numFmtId="0" fontId="8" fillId="0" borderId="47" xfId="6" applyFont="1" applyFill="1" applyBorder="1" applyAlignment="1">
      <alignment horizontal="center"/>
    </xf>
    <xf numFmtId="0" fontId="8" fillId="0" borderId="5" xfId="6" applyFont="1" applyFill="1" applyBorder="1" applyAlignment="1">
      <alignment horizontal="right"/>
    </xf>
    <xf numFmtId="176" fontId="9" fillId="0" borderId="4" xfId="16" applyNumberFormat="1" applyFont="1" applyFill="1" applyBorder="1" applyAlignment="1">
      <alignment horizontal="right"/>
    </xf>
    <xf numFmtId="0" fontId="41" fillId="0" borderId="5" xfId="6" applyFont="1" applyFill="1" applyBorder="1" applyAlignment="1">
      <alignment horizontal="center"/>
    </xf>
    <xf numFmtId="0" fontId="41" fillId="0" borderId="42" xfId="6" applyFont="1" applyFill="1" applyBorder="1" applyAlignment="1">
      <alignment horizontal="center"/>
    </xf>
    <xf numFmtId="0" fontId="8" fillId="0" borderId="26" xfId="6" applyFont="1" applyFill="1" applyBorder="1" applyAlignment="1">
      <alignment horizontal="right"/>
    </xf>
    <xf numFmtId="176" fontId="9" fillId="0" borderId="22" xfId="16" applyNumberFormat="1" applyFont="1" applyFill="1" applyBorder="1" applyAlignment="1">
      <alignment horizontal="right"/>
    </xf>
    <xf numFmtId="0" fontId="41" fillId="0" borderId="47" xfId="6" applyFont="1" applyFill="1" applyBorder="1" applyAlignment="1">
      <alignment horizontal="center"/>
    </xf>
    <xf numFmtId="0" fontId="41" fillId="0" borderId="26" xfId="6" applyFont="1" applyFill="1" applyBorder="1" applyAlignment="1">
      <alignment horizontal="center"/>
    </xf>
    <xf numFmtId="0" fontId="9" fillId="0" borderId="57" xfId="6" applyFont="1" applyFill="1" applyBorder="1" applyAlignment="1">
      <alignment vertical="center" wrapText="1"/>
    </xf>
    <xf numFmtId="0" fontId="9" fillId="0" borderId="3" xfId="6" applyFont="1" applyFill="1" applyBorder="1" applyAlignment="1">
      <alignment vertical="center" wrapText="1"/>
    </xf>
  </cellXfs>
  <cellStyles count="43">
    <cellStyle name="cells" xfId="13"/>
    <cellStyle name="cells 2" xfId="14"/>
    <cellStyle name="Comma" xfId="1" builtinId="3"/>
    <cellStyle name="Comma 2" xfId="20"/>
    <cellStyle name="Comma 2 2" xfId="16"/>
    <cellStyle name="Comma 2 2 2" xfId="34"/>
    <cellStyle name="Comma 3 2" xfId="33"/>
    <cellStyle name="Comma 5" xfId="38"/>
    <cellStyle name="Comma 63" xfId="28"/>
    <cellStyle name="Comma 7" xfId="23"/>
    <cellStyle name="Comma_Ed data request for presidency_updated MARCH 07" xfId="32"/>
    <cellStyle name="Comma_S.S.M STATS 2000 TO 2001" xfId="25"/>
    <cellStyle name="Comma0_Safety and Security indicators 2008" xfId="41"/>
    <cellStyle name="Excel Built-in Excel Built-in Excel Built-in Excel Built-in Excel Built-in Excel Built-in Excel Built-in F4 2" xfId="10"/>
    <cellStyle name="Excel Built-in Excel Built-in Excel Built-in Excel Built-in Excel Built-in Excel Built-in Normal 2" xfId="11"/>
    <cellStyle name="F4" xfId="3"/>
    <cellStyle name="F4 2" xfId="6"/>
    <cellStyle name="F4 2 2" xfId="7"/>
    <cellStyle name="F4 2 2 3" xfId="29"/>
    <cellStyle name="F4 3" xfId="42"/>
    <cellStyle name="Hyperlink" xfId="35" builtinId="8"/>
    <cellStyle name="Normal" xfId="0" builtinId="0"/>
    <cellStyle name="Normal 2" xfId="9"/>
    <cellStyle name="Normal 2 2" xfId="17"/>
    <cellStyle name="Normal 2 4" xfId="26"/>
    <cellStyle name="Normal 3 2" xfId="39"/>
    <cellStyle name="Normal 3 3" xfId="40"/>
    <cellStyle name="Normal 44" xfId="36"/>
    <cellStyle name="Normal 5" xfId="30"/>
    <cellStyle name="Normal 6 2" xfId="15"/>
    <cellStyle name="Normal 8" xfId="21"/>
    <cellStyle name="Normal_Budget 199899 master table" xfId="4"/>
    <cellStyle name="Normal_Budget 199899 master table 2" xfId="8"/>
    <cellStyle name="Normal_COUNTRY" xfId="18"/>
    <cellStyle name="Normal_CPIX Components 2" xfId="5"/>
    <cellStyle name="Normal_CPIX Components 2 2" xfId="12"/>
    <cellStyle name="Normal_Mid-year 2000-2007 (30 Jan 08)" xfId="31"/>
    <cellStyle name="Percent" xfId="2" builtinId="5"/>
    <cellStyle name="Percent 10" xfId="37"/>
    <cellStyle name="Percent 2 2" xfId="19"/>
    <cellStyle name="Percent 2 3" xfId="27"/>
    <cellStyle name="Percent 3 2" xfId="24"/>
    <cellStyle name="Percent 5"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haredStrings" Target="sharedStrings.xml"/><Relationship Id="rId107" Type="http://schemas.openxmlformats.org/officeDocument/2006/relationships/externalLink" Target="externalLinks/externalLink2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6.xml"/><Relationship Id="rId123" Type="http://schemas.openxmlformats.org/officeDocument/2006/relationships/externalLink" Target="externalLinks/externalLink37.xml"/><Relationship Id="rId128" Type="http://schemas.openxmlformats.org/officeDocument/2006/relationships/externalLink" Target="externalLinks/externalLink42.xml"/><Relationship Id="rId5" Type="http://schemas.openxmlformats.org/officeDocument/2006/relationships/worksheet" Target="worksheets/sheet5.xml"/><Relationship Id="rId90" Type="http://schemas.openxmlformats.org/officeDocument/2006/relationships/externalLink" Target="externalLinks/externalLink4.xml"/><Relationship Id="rId95" Type="http://schemas.openxmlformats.org/officeDocument/2006/relationships/externalLink" Target="externalLinks/externalLink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7.xml"/><Relationship Id="rId118" Type="http://schemas.openxmlformats.org/officeDocument/2006/relationships/externalLink" Target="externalLinks/externalLink32.xml"/><Relationship Id="rId134" Type="http://schemas.openxmlformats.org/officeDocument/2006/relationships/externalLink" Target="externalLinks/externalLink48.xml"/><Relationship Id="rId139"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7.xml"/><Relationship Id="rId108" Type="http://schemas.openxmlformats.org/officeDocument/2006/relationships/externalLink" Target="externalLinks/externalLink22.xml"/><Relationship Id="rId124" Type="http://schemas.openxmlformats.org/officeDocument/2006/relationships/externalLink" Target="externalLinks/externalLink38.xml"/><Relationship Id="rId129" Type="http://schemas.openxmlformats.org/officeDocument/2006/relationships/externalLink" Target="externalLinks/externalLink4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5.xml"/><Relationship Id="rId96" Type="http://schemas.openxmlformats.org/officeDocument/2006/relationships/externalLink" Target="externalLinks/externalLink10.xml"/><Relationship Id="rId14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8.xml"/><Relationship Id="rId119" Type="http://schemas.openxmlformats.org/officeDocument/2006/relationships/externalLink" Target="externalLinks/externalLink3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44.xml"/><Relationship Id="rId135" Type="http://schemas.openxmlformats.org/officeDocument/2006/relationships/externalLink" Target="externalLinks/externalLink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1.xml"/><Relationship Id="rId104" Type="http://schemas.openxmlformats.org/officeDocument/2006/relationships/externalLink" Target="externalLinks/externalLink18.xml"/><Relationship Id="rId120" Type="http://schemas.openxmlformats.org/officeDocument/2006/relationships/externalLink" Target="externalLinks/externalLink34.xml"/><Relationship Id="rId125" Type="http://schemas.openxmlformats.org/officeDocument/2006/relationships/externalLink" Target="externalLinks/externalLink39.xml"/><Relationship Id="rId141"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xml"/><Relationship Id="rId110" Type="http://schemas.openxmlformats.org/officeDocument/2006/relationships/externalLink" Target="externalLinks/externalLink24.xml"/><Relationship Id="rId115" Type="http://schemas.openxmlformats.org/officeDocument/2006/relationships/externalLink" Target="externalLinks/externalLink29.xml"/><Relationship Id="rId131" Type="http://schemas.openxmlformats.org/officeDocument/2006/relationships/externalLink" Target="externalLinks/externalLink45.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4.xml"/><Relationship Id="rId105" Type="http://schemas.openxmlformats.org/officeDocument/2006/relationships/externalLink" Target="externalLinks/externalLink19.xml"/><Relationship Id="rId126" Type="http://schemas.openxmlformats.org/officeDocument/2006/relationships/externalLink" Target="externalLinks/externalLink4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7.xml"/><Relationship Id="rId98" Type="http://schemas.openxmlformats.org/officeDocument/2006/relationships/externalLink" Target="externalLinks/externalLink12.xml"/><Relationship Id="rId121" Type="http://schemas.openxmlformats.org/officeDocument/2006/relationships/externalLink" Target="externalLinks/externalLink35.xml"/><Relationship Id="rId142"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0.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2.xml"/><Relationship Id="rId111" Type="http://schemas.openxmlformats.org/officeDocument/2006/relationships/externalLink" Target="externalLinks/externalLink25.xml"/><Relationship Id="rId132" Type="http://schemas.openxmlformats.org/officeDocument/2006/relationships/externalLink" Target="externalLinks/externalLink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0.xml"/><Relationship Id="rId12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8.xml"/><Relationship Id="rId99" Type="http://schemas.openxmlformats.org/officeDocument/2006/relationships/externalLink" Target="externalLinks/externalLink13.xml"/><Relationship Id="rId101" Type="http://schemas.openxmlformats.org/officeDocument/2006/relationships/externalLink" Target="externalLinks/externalLink15.xml"/><Relationship Id="rId122" Type="http://schemas.openxmlformats.org/officeDocument/2006/relationships/externalLink" Target="externalLinks/externalLink36.xml"/><Relationship Id="rId143"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3.xml"/><Relationship Id="rId112" Type="http://schemas.openxmlformats.org/officeDocument/2006/relationships/externalLink" Target="externalLinks/externalLink26.xml"/><Relationship Id="rId133" Type="http://schemas.openxmlformats.org/officeDocument/2006/relationships/externalLink" Target="externalLinks/externalLink47.xml"/><Relationship Id="rId16" Type="http://schemas.openxmlformats.org/officeDocument/2006/relationships/worksheet" Target="worksheets/sheet16.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6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Ref>
              <c:f>'[2]GDP '!$D$37:$BC$37</c:f>
              <c:numCache>
                <c:formatCode>General</c:formatCode>
                <c:ptCount val="52"/>
                <c:pt idx="0">
                  <c:v>34424</c:v>
                </c:pt>
                <c:pt idx="1">
                  <c:v>34515</c:v>
                </c:pt>
                <c:pt idx="3">
                  <c:v>34699</c:v>
                </c:pt>
                <c:pt idx="4">
                  <c:v>34789</c:v>
                </c:pt>
                <c:pt idx="5">
                  <c:v>34880</c:v>
                </c:pt>
                <c:pt idx="6">
                  <c:v>34972</c:v>
                </c:pt>
                <c:pt idx="7">
                  <c:v>35064</c:v>
                </c:pt>
                <c:pt idx="8">
                  <c:v>35155</c:v>
                </c:pt>
                <c:pt idx="9">
                  <c:v>35246</c:v>
                </c:pt>
                <c:pt idx="10">
                  <c:v>35338</c:v>
                </c:pt>
                <c:pt idx="11">
                  <c:v>35430</c:v>
                </c:pt>
                <c:pt idx="12">
                  <c:v>35520</c:v>
                </c:pt>
                <c:pt idx="13">
                  <c:v>35611</c:v>
                </c:pt>
                <c:pt idx="14">
                  <c:v>35703</c:v>
                </c:pt>
                <c:pt idx="15">
                  <c:v>35795</c:v>
                </c:pt>
                <c:pt idx="16">
                  <c:v>35885</c:v>
                </c:pt>
                <c:pt idx="17">
                  <c:v>35976</c:v>
                </c:pt>
                <c:pt idx="18">
                  <c:v>36068</c:v>
                </c:pt>
                <c:pt idx="19">
                  <c:v>36160</c:v>
                </c:pt>
                <c:pt idx="20">
                  <c:v>36250</c:v>
                </c:pt>
                <c:pt idx="21">
                  <c:v>36341</c:v>
                </c:pt>
                <c:pt idx="22">
                  <c:v>36433</c:v>
                </c:pt>
                <c:pt idx="23">
                  <c:v>36525</c:v>
                </c:pt>
                <c:pt idx="24">
                  <c:v>36616</c:v>
                </c:pt>
                <c:pt idx="25">
                  <c:v>36707</c:v>
                </c:pt>
                <c:pt idx="26">
                  <c:v>36799</c:v>
                </c:pt>
                <c:pt idx="27">
                  <c:v>36891</c:v>
                </c:pt>
                <c:pt idx="28">
                  <c:v>36981</c:v>
                </c:pt>
                <c:pt idx="29">
                  <c:v>37072</c:v>
                </c:pt>
                <c:pt idx="30">
                  <c:v>37164</c:v>
                </c:pt>
                <c:pt idx="31">
                  <c:v>37256</c:v>
                </c:pt>
                <c:pt idx="32">
                  <c:v>37346</c:v>
                </c:pt>
                <c:pt idx="33">
                  <c:v>37437</c:v>
                </c:pt>
                <c:pt idx="34">
                  <c:v>37529</c:v>
                </c:pt>
                <c:pt idx="35">
                  <c:v>37621</c:v>
                </c:pt>
                <c:pt idx="36">
                  <c:v>37711</c:v>
                </c:pt>
                <c:pt idx="37">
                  <c:v>37802</c:v>
                </c:pt>
                <c:pt idx="38">
                  <c:v>37894</c:v>
                </c:pt>
                <c:pt idx="39">
                  <c:v>37986</c:v>
                </c:pt>
                <c:pt idx="40">
                  <c:v>38077</c:v>
                </c:pt>
                <c:pt idx="41">
                  <c:v>38168</c:v>
                </c:pt>
                <c:pt idx="42">
                  <c:v>38260</c:v>
                </c:pt>
                <c:pt idx="43">
                  <c:v>38352</c:v>
                </c:pt>
                <c:pt idx="44">
                  <c:v>38442</c:v>
                </c:pt>
                <c:pt idx="45">
                  <c:v>38533</c:v>
                </c:pt>
                <c:pt idx="46">
                  <c:v>38625</c:v>
                </c:pt>
                <c:pt idx="47">
                  <c:v>38717</c:v>
                </c:pt>
                <c:pt idx="48">
                  <c:v>38807</c:v>
                </c:pt>
                <c:pt idx="49">
                  <c:v>38898</c:v>
                </c:pt>
                <c:pt idx="50">
                  <c:v>38990</c:v>
                </c:pt>
                <c:pt idx="51">
                  <c:v>39082</c:v>
                </c:pt>
              </c:numCache>
            </c:numRef>
          </c:cat>
          <c:val>
            <c:numRef>
              <c:f>'[2]GDP '!$D$38:$BC$38</c:f>
              <c:numCache>
                <c:formatCode>General</c:formatCode>
                <c:ptCount val="52"/>
                <c:pt idx="0">
                  <c:v>1.63</c:v>
                </c:pt>
                <c:pt idx="1">
                  <c:v>4.2407303894168136</c:v>
                </c:pt>
                <c:pt idx="2">
                  <c:v>3.2229479313813814</c:v>
                </c:pt>
                <c:pt idx="3">
                  <c:v>3.6265647811636104</c:v>
                </c:pt>
                <c:pt idx="4">
                  <c:v>4.1293433066025287</c:v>
                </c:pt>
                <c:pt idx="5">
                  <c:v>1.0162861126290057</c:v>
                </c:pt>
                <c:pt idx="6">
                  <c:v>3.7909163443184291</c:v>
                </c:pt>
                <c:pt idx="7">
                  <c:v>3.5625964838656543</c:v>
                </c:pt>
                <c:pt idx="8">
                  <c:v>3.8444009405135482</c:v>
                </c:pt>
                <c:pt idx="9">
                  <c:v>6.0904646589248879</c:v>
                </c:pt>
                <c:pt idx="10">
                  <c:v>3.6582933154286623</c:v>
                </c:pt>
                <c:pt idx="11">
                  <c:v>3.6773857419896361</c:v>
                </c:pt>
                <c:pt idx="12">
                  <c:v>3.4527128458074152</c:v>
                </c:pt>
                <c:pt idx="13">
                  <c:v>3.2838054210666767</c:v>
                </c:pt>
                <c:pt idx="14">
                  <c:v>2.343089949871402</c:v>
                </c:pt>
                <c:pt idx="15">
                  <c:v>1.5750266381905575</c:v>
                </c:pt>
                <c:pt idx="16">
                  <c:v>1.2818658644760728</c:v>
                </c:pt>
                <c:pt idx="17">
                  <c:v>0.13749256017605571</c:v>
                </c:pt>
                <c:pt idx="18">
                  <c:v>0.1504283539102147</c:v>
                </c:pt>
                <c:pt idx="19">
                  <c:v>0.53412245421480264</c:v>
                </c:pt>
                <c:pt idx="20">
                  <c:v>1.0466892917830872</c:v>
                </c:pt>
                <c:pt idx="21">
                  <c:v>1.871570285250912</c:v>
                </c:pt>
                <c:pt idx="22">
                  <c:v>2.77920246185408</c:v>
                </c:pt>
                <c:pt idx="23">
                  <c:v>3.6757067089507434</c:v>
                </c:pt>
                <c:pt idx="24">
                  <c:v>3.5508031466390255</c:v>
                </c:pt>
                <c:pt idx="25">
                  <c:v>3.3781247314551344</c:v>
                </c:pt>
                <c:pt idx="26">
                  <c:v>5.2027036058474252</c:v>
                </c:pt>
                <c:pt idx="27">
                  <c:v>4.4384380424989489</c:v>
                </c:pt>
                <c:pt idx="28">
                  <c:v>3.7702203540950219</c:v>
                </c:pt>
                <c:pt idx="29">
                  <c:v>3.7227433411501254</c:v>
                </c:pt>
                <c:pt idx="30">
                  <c:v>1.5441431826459739</c:v>
                </c:pt>
                <c:pt idx="31">
                  <c:v>2.0123383017581764</c:v>
                </c:pt>
                <c:pt idx="32">
                  <c:v>2.7643830331936403</c:v>
                </c:pt>
                <c:pt idx="33">
                  <c:v>4.055644368707223</c:v>
                </c:pt>
                <c:pt idx="34">
                  <c:v>3.7586960511169387</c:v>
                </c:pt>
                <c:pt idx="35">
                  <c:v>4.048825160055447</c:v>
                </c:pt>
                <c:pt idx="36">
                  <c:v>3.6455622765781293</c:v>
                </c:pt>
                <c:pt idx="37">
                  <c:v>3.2250741815705419</c:v>
                </c:pt>
                <c:pt idx="38">
                  <c:v>3.0147602662636164</c:v>
                </c:pt>
                <c:pt idx="39">
                  <c:v>2.6325075030428469</c:v>
                </c:pt>
                <c:pt idx="40">
                  <c:v>3.4695927035659047</c:v>
                </c:pt>
                <c:pt idx="41">
                  <c:v>4</c:v>
                </c:pt>
                <c:pt idx="42">
                  <c:v>5.6</c:v>
                </c:pt>
                <c:pt idx="43">
                  <c:v>6.3077749149190065</c:v>
                </c:pt>
                <c:pt idx="44">
                  <c:v>5.7</c:v>
                </c:pt>
                <c:pt idx="45">
                  <c:v>4.7</c:v>
                </c:pt>
                <c:pt idx="46">
                  <c:v>4.9000000000000004</c:v>
                </c:pt>
                <c:pt idx="47">
                  <c:v>4.7</c:v>
                </c:pt>
                <c:pt idx="48">
                  <c:v>4.9000000000000004</c:v>
                </c:pt>
                <c:pt idx="49">
                  <c:v>4.9000000000000004</c:v>
                </c:pt>
                <c:pt idx="50">
                  <c:v>5</c:v>
                </c:pt>
                <c:pt idx="51">
                  <c:v>6.6</c:v>
                </c:pt>
              </c:numCache>
            </c:numRef>
          </c:val>
          <c:smooth val="0"/>
          <c:extLst>
            <c:ext xmlns:c16="http://schemas.microsoft.com/office/drawing/2014/chart" uri="{C3380CC4-5D6E-409C-BE32-E72D297353CC}">
              <c16:uniqueId val="{00000000-412E-499A-B119-C2308B265F1D}"/>
            </c:ext>
          </c:extLst>
        </c:ser>
        <c:dLbls>
          <c:showLegendKey val="0"/>
          <c:showVal val="0"/>
          <c:showCatName val="0"/>
          <c:showSerName val="0"/>
          <c:showPercent val="0"/>
          <c:showBubbleSize val="0"/>
        </c:dLbls>
        <c:smooth val="0"/>
        <c:axId val="397412896"/>
        <c:axId val="397416032"/>
      </c:lineChart>
      <c:catAx>
        <c:axId val="397412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397416032"/>
        <c:crosses val="autoZero"/>
        <c:auto val="1"/>
        <c:lblAlgn val="ctr"/>
        <c:lblOffset val="100"/>
        <c:tickMarkSkip val="1"/>
        <c:noMultiLvlLbl val="0"/>
      </c:catAx>
      <c:valAx>
        <c:axId val="3974160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397412896"/>
        <c:crosses val="autoZero"/>
        <c:crossBetween val="between"/>
      </c:valAx>
      <c:dTable>
        <c:showHorzBorder val="1"/>
        <c:showVertBorder val="1"/>
        <c:showOutline val="1"/>
        <c:showKeys val="1"/>
        <c:spPr>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dTable>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14317265219897"/>
          <c:y val="8.271110507738258E-2"/>
          <c:w val="0.86458661417322835"/>
          <c:h val="0.70761251826280336"/>
        </c:manualLayout>
      </c:layout>
      <c:lineChart>
        <c:grouping val="standard"/>
        <c:varyColors val="0"/>
        <c:ser>
          <c:idx val="0"/>
          <c:order val="0"/>
          <c:tx>
            <c:strRef>
              <c:f>'GFCF '!$B$37</c:f>
              <c:strCache>
                <c:ptCount val="1"/>
                <c:pt idx="0">
                  <c:v>%</c:v>
                </c:pt>
              </c:strCache>
            </c:strRef>
          </c:tx>
          <c:spPr>
            <a:ln w="15875">
              <a:solidFill>
                <a:srgbClr val="FF6600"/>
              </a:solidFill>
              <a:prstDash val="solid"/>
            </a:ln>
          </c:spPr>
          <c:marker>
            <c:symbol val="none"/>
          </c:marker>
          <c:cat>
            <c:multiLvlStrRef>
              <c:f>'GFCF '!$D$35:$CI$36</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'GFCF '!$D$37:$CI$37</c:f>
              <c:numCache>
                <c:formatCode>0.00</c:formatCode>
                <c:ptCount val="84"/>
                <c:pt idx="0">
                  <c:v>15.7</c:v>
                </c:pt>
                <c:pt idx="1">
                  <c:v>16</c:v>
                </c:pt>
                <c:pt idx="2">
                  <c:v>16.399999999999999</c:v>
                </c:pt>
                <c:pt idx="3">
                  <c:v>16.2</c:v>
                </c:pt>
                <c:pt idx="4">
                  <c:v>16.8</c:v>
                </c:pt>
                <c:pt idx="5">
                  <c:v>17.399999999999999</c:v>
                </c:pt>
                <c:pt idx="6">
                  <c:v>17</c:v>
                </c:pt>
                <c:pt idx="7">
                  <c:v>16.7</c:v>
                </c:pt>
                <c:pt idx="8">
                  <c:v>17.100000000000001</c:v>
                </c:pt>
                <c:pt idx="9">
                  <c:v>17.2</c:v>
                </c:pt>
                <c:pt idx="10">
                  <c:v>17.3</c:v>
                </c:pt>
                <c:pt idx="11">
                  <c:v>17.2</c:v>
                </c:pt>
                <c:pt idx="12">
                  <c:v>17.7</c:v>
                </c:pt>
                <c:pt idx="13">
                  <c:v>17.600000000000001</c:v>
                </c:pt>
                <c:pt idx="14">
                  <c:v>17.5</c:v>
                </c:pt>
                <c:pt idx="15">
                  <c:v>17.399999999999999</c:v>
                </c:pt>
                <c:pt idx="16">
                  <c:v>17.8</c:v>
                </c:pt>
                <c:pt idx="17">
                  <c:v>17.7</c:v>
                </c:pt>
                <c:pt idx="18">
                  <c:v>18.3</c:v>
                </c:pt>
                <c:pt idx="19">
                  <c:v>18.5</c:v>
                </c:pt>
                <c:pt idx="20">
                  <c:v>16.899999999999999</c:v>
                </c:pt>
                <c:pt idx="21">
                  <c:v>16.3</c:v>
                </c:pt>
                <c:pt idx="22">
                  <c:v>15.8</c:v>
                </c:pt>
                <c:pt idx="23">
                  <c:v>15.6</c:v>
                </c:pt>
                <c:pt idx="24">
                  <c:v>15.8</c:v>
                </c:pt>
                <c:pt idx="25">
                  <c:v>15.7</c:v>
                </c:pt>
                <c:pt idx="26">
                  <c:v>15.4</c:v>
                </c:pt>
                <c:pt idx="27">
                  <c:v>15.6</c:v>
                </c:pt>
                <c:pt idx="28">
                  <c:v>15.6</c:v>
                </c:pt>
                <c:pt idx="29">
                  <c:v>15.5</c:v>
                </c:pt>
                <c:pt idx="30">
                  <c:v>15.6</c:v>
                </c:pt>
                <c:pt idx="31">
                  <c:v>15.3</c:v>
                </c:pt>
                <c:pt idx="32">
                  <c:v>15.1</c:v>
                </c:pt>
                <c:pt idx="33">
                  <c:v>15</c:v>
                </c:pt>
                <c:pt idx="34">
                  <c:v>15.1</c:v>
                </c:pt>
                <c:pt idx="35">
                  <c:v>15.4</c:v>
                </c:pt>
                <c:pt idx="36">
                  <c:v>15.5</c:v>
                </c:pt>
                <c:pt idx="37">
                  <c:v>15.9</c:v>
                </c:pt>
                <c:pt idx="38">
                  <c:v>16</c:v>
                </c:pt>
                <c:pt idx="39">
                  <c:v>16.399999999999999</c:v>
                </c:pt>
                <c:pt idx="40">
                  <c:v>16.2</c:v>
                </c:pt>
                <c:pt idx="41">
                  <c:v>16.2</c:v>
                </c:pt>
                <c:pt idx="42">
                  <c:v>16.600000000000001</c:v>
                </c:pt>
                <c:pt idx="43">
                  <c:v>16.7</c:v>
                </c:pt>
                <c:pt idx="44">
                  <c:v>16.8</c:v>
                </c:pt>
                <c:pt idx="45">
                  <c:v>16.899999999999999</c:v>
                </c:pt>
                <c:pt idx="46">
                  <c:v>17.399999999999999</c:v>
                </c:pt>
                <c:pt idx="47">
                  <c:v>17.8</c:v>
                </c:pt>
                <c:pt idx="48">
                  <c:v>18.399999999999999</c:v>
                </c:pt>
                <c:pt idx="49">
                  <c:v>18.600000000000001</c:v>
                </c:pt>
                <c:pt idx="50">
                  <c:v>19</c:v>
                </c:pt>
                <c:pt idx="51">
                  <c:v>19.600000000000001</c:v>
                </c:pt>
                <c:pt idx="52">
                  <c:v>20.3</c:v>
                </c:pt>
                <c:pt idx="53">
                  <c:v>20.8</c:v>
                </c:pt>
                <c:pt idx="54">
                  <c:v>20.9</c:v>
                </c:pt>
                <c:pt idx="55">
                  <c:v>20.6</c:v>
                </c:pt>
                <c:pt idx="56">
                  <c:v>21.5</c:v>
                </c:pt>
                <c:pt idx="57">
                  <c:v>22.8</c:v>
                </c:pt>
                <c:pt idx="58">
                  <c:v>24.4</c:v>
                </c:pt>
                <c:pt idx="59">
                  <c:v>25.1</c:v>
                </c:pt>
                <c:pt idx="60">
                  <c:v>23.1</c:v>
                </c:pt>
                <c:pt idx="61">
                  <c:v>21.9</c:v>
                </c:pt>
                <c:pt idx="62">
                  <c:v>20.8</c:v>
                </c:pt>
                <c:pt idx="63">
                  <c:v>20.3</c:v>
                </c:pt>
                <c:pt idx="64">
                  <c:v>20</c:v>
                </c:pt>
                <c:pt idx="65">
                  <c:v>19.399999999999999</c:v>
                </c:pt>
                <c:pt idx="66">
                  <c:v>19.100000000000001</c:v>
                </c:pt>
                <c:pt idx="67">
                  <c:v>18.7</c:v>
                </c:pt>
                <c:pt idx="68">
                  <c:v>18.600000000000001</c:v>
                </c:pt>
                <c:pt idx="69">
                  <c:v>18.7</c:v>
                </c:pt>
                <c:pt idx="70">
                  <c:v>18.7</c:v>
                </c:pt>
                <c:pt idx="71">
                  <c:v>18.899999999999999</c:v>
                </c:pt>
                <c:pt idx="72">
                  <c:v>18.8</c:v>
                </c:pt>
                <c:pt idx="73" formatCode="General">
                  <c:v>18.7</c:v>
                </c:pt>
                <c:pt idx="74" formatCode="General">
                  <c:v>18.899999999999999</c:v>
                </c:pt>
                <c:pt idx="75" formatCode="General">
                  <c:v>18.8</c:v>
                </c:pt>
                <c:pt idx="76" formatCode="General">
                  <c:v>19.2</c:v>
                </c:pt>
                <c:pt idx="77" formatCode="General">
                  <c:v>19.8</c:v>
                </c:pt>
                <c:pt idx="78" formatCode="General">
                  <c:v>20.399999999999999</c:v>
                </c:pt>
                <c:pt idx="79" formatCode="General">
                  <c:v>20.7</c:v>
                </c:pt>
                <c:pt idx="80" formatCode="General">
                  <c:v>20.2</c:v>
                </c:pt>
                <c:pt idx="81" formatCode="General">
                  <c:v>20.399999999999999</c:v>
                </c:pt>
                <c:pt idx="82" formatCode="General">
                  <c:v>20.3</c:v>
                </c:pt>
                <c:pt idx="83" formatCode="General">
                  <c:v>20.100000000000001</c:v>
                </c:pt>
              </c:numCache>
            </c:numRef>
          </c:val>
          <c:smooth val="0"/>
          <c:extLst>
            <c:ext xmlns:c16="http://schemas.microsoft.com/office/drawing/2014/chart" uri="{C3380CC4-5D6E-409C-BE32-E72D297353CC}">
              <c16:uniqueId val="{00000000-874F-4DDB-8336-4D2767AD7A91}"/>
            </c:ext>
          </c:extLst>
        </c:ser>
        <c:dLbls>
          <c:showLegendKey val="0"/>
          <c:showVal val="0"/>
          <c:showCatName val="0"/>
          <c:showSerName val="0"/>
          <c:showPercent val="0"/>
          <c:showBubbleSize val="0"/>
        </c:dLbls>
        <c:smooth val="0"/>
        <c:axId val="399079672"/>
        <c:axId val="399073400"/>
      </c:lineChart>
      <c:catAx>
        <c:axId val="399079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3400"/>
        <c:crosses val="autoZero"/>
        <c:auto val="1"/>
        <c:lblAlgn val="ctr"/>
        <c:lblOffset val="100"/>
        <c:tickLblSkip val="1"/>
        <c:tickMarkSkip val="1"/>
        <c:noMultiLvlLbl val="0"/>
      </c:catAx>
      <c:valAx>
        <c:axId val="399073400"/>
        <c:scaling>
          <c:orientation val="minMax"/>
          <c:min val="12"/>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1.5290437607466673E-2"/>
              <c:y val="0.4064524287405250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9672"/>
        <c:crosses val="autoZero"/>
        <c:crossBetween val="between"/>
        <c:majorUnit val="1.5"/>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COUNTRY GOING IN THE RIGHT DIRECTION</a:t>
            </a:r>
          </a:p>
        </c:rich>
      </c:tx>
      <c:layout>
        <c:manualLayout>
          <c:xMode val="edge"/>
          <c:yMode val="edge"/>
          <c:x val="6.5252854812398092E-2"/>
          <c:y val="2.0618556701030927E-2"/>
        </c:manualLayout>
      </c:layout>
      <c:overlay val="0"/>
      <c:spPr>
        <a:noFill/>
        <a:ln w="25400">
          <a:noFill/>
        </a:ln>
      </c:spPr>
    </c:title>
    <c:autoTitleDeleted val="0"/>
    <c:plotArea>
      <c:layout>
        <c:manualLayout>
          <c:layoutTarget val="inner"/>
          <c:xMode val="edge"/>
          <c:yMode val="edge"/>
          <c:x val="0.12132837609801059"/>
          <c:y val="0.22252821879365917"/>
          <c:w val="0.85568433669123856"/>
          <c:h val="0.51373798659770786"/>
        </c:manualLayout>
      </c:layout>
      <c:lineChart>
        <c:grouping val="standard"/>
        <c:varyColors val="0"/>
        <c:ser>
          <c:idx val="0"/>
          <c:order val="0"/>
          <c:tx>
            <c:strRef>
              <c:f>'Country direction'!$D$9</c:f>
              <c:strCache>
                <c:ptCount val="1"/>
                <c:pt idx="0">
                  <c:v>1994-1999</c:v>
                </c:pt>
              </c:strCache>
            </c:strRef>
          </c:tx>
          <c:spPr>
            <a:ln w="25400">
              <a:solidFill>
                <a:srgbClr val="FF6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direction'!$E$9:$N$9</c:f>
              <c:numCache>
                <c:formatCode>#.0</c:formatCode>
                <c:ptCount val="10"/>
                <c:pt idx="0">
                  <c:v>76</c:v>
                </c:pt>
                <c:pt idx="1">
                  <c:v>62</c:v>
                </c:pt>
                <c:pt idx="2">
                  <c:v>49</c:v>
                </c:pt>
                <c:pt idx="3">
                  <c:v>66</c:v>
                </c:pt>
                <c:pt idx="4">
                  <c:v>57</c:v>
                </c:pt>
                <c:pt idx="5">
                  <c:v>56</c:v>
                </c:pt>
                <c:pt idx="8">
                  <c:v>43</c:v>
                </c:pt>
                <c:pt idx="9">
                  <c:v>48</c:v>
                </c:pt>
              </c:numCache>
            </c:numRef>
          </c:val>
          <c:smooth val="0"/>
          <c:extLst>
            <c:ext xmlns:c16="http://schemas.microsoft.com/office/drawing/2014/chart" uri="{C3380CC4-5D6E-409C-BE32-E72D297353CC}">
              <c16:uniqueId val="{00000000-BE6D-4DC7-9E4B-1E1112285F8B}"/>
            </c:ext>
          </c:extLst>
        </c:ser>
        <c:ser>
          <c:idx val="1"/>
          <c:order val="1"/>
          <c:tx>
            <c:strRef>
              <c:f>'Country direction'!$D$10</c:f>
              <c:strCache>
                <c:ptCount val="1"/>
                <c:pt idx="0">
                  <c:v>1999-2004</c:v>
                </c:pt>
              </c:strCache>
            </c:strRef>
          </c:tx>
          <c:spPr>
            <a:ln w="25400">
              <a:solidFill>
                <a:srgbClr val="BE4B48"/>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direction'!$E$10:$N$10</c:f>
              <c:numCache>
                <c:formatCode>#.0</c:formatCode>
                <c:ptCount val="10"/>
                <c:pt idx="0">
                  <c:v>66</c:v>
                </c:pt>
                <c:pt idx="1">
                  <c:v>60</c:v>
                </c:pt>
                <c:pt idx="2">
                  <c:v>56</c:v>
                </c:pt>
                <c:pt idx="3">
                  <c:v>41</c:v>
                </c:pt>
                <c:pt idx="4">
                  <c:v>48.8</c:v>
                </c:pt>
                <c:pt idx="5">
                  <c:v>47.5</c:v>
                </c:pt>
                <c:pt idx="6">
                  <c:v>42.8</c:v>
                </c:pt>
                <c:pt idx="7">
                  <c:v>47.8</c:v>
                </c:pt>
                <c:pt idx="8">
                  <c:v>51.8</c:v>
                </c:pt>
                <c:pt idx="9">
                  <c:v>54</c:v>
                </c:pt>
              </c:numCache>
            </c:numRef>
          </c:val>
          <c:smooth val="0"/>
          <c:extLst>
            <c:ext xmlns:c16="http://schemas.microsoft.com/office/drawing/2014/chart" uri="{C3380CC4-5D6E-409C-BE32-E72D297353CC}">
              <c16:uniqueId val="{00000001-BE6D-4DC7-9E4B-1E1112285F8B}"/>
            </c:ext>
          </c:extLst>
        </c:ser>
        <c:ser>
          <c:idx val="2"/>
          <c:order val="2"/>
          <c:tx>
            <c:strRef>
              <c:f>'Country direction'!$D$11</c:f>
              <c:strCache>
                <c:ptCount val="1"/>
                <c:pt idx="0">
                  <c:v>2004-2009</c:v>
                </c:pt>
              </c:strCache>
            </c:strRef>
          </c:tx>
          <c:spPr>
            <a:ln w="25400">
              <a:solidFill>
                <a:srgbClr val="FFC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direction'!$E$11:$N$11</c:f>
              <c:numCache>
                <c:formatCode>#.0</c:formatCode>
                <c:ptCount val="10"/>
                <c:pt idx="0">
                  <c:v>73.5</c:v>
                </c:pt>
                <c:pt idx="1">
                  <c:v>67.599999999999994</c:v>
                </c:pt>
                <c:pt idx="2">
                  <c:v>67.5</c:v>
                </c:pt>
                <c:pt idx="3">
                  <c:v>65</c:v>
                </c:pt>
                <c:pt idx="4">
                  <c:v>69</c:v>
                </c:pt>
                <c:pt idx="5">
                  <c:v>50.5</c:v>
                </c:pt>
                <c:pt idx="6" formatCode="General">
                  <c:v>59.6</c:v>
                </c:pt>
                <c:pt idx="7">
                  <c:v>54.3</c:v>
                </c:pt>
                <c:pt idx="8">
                  <c:v>45.5</c:v>
                </c:pt>
                <c:pt idx="9">
                  <c:v>38.4</c:v>
                </c:pt>
              </c:numCache>
            </c:numRef>
          </c:val>
          <c:smooth val="0"/>
          <c:extLst>
            <c:ext xmlns:c16="http://schemas.microsoft.com/office/drawing/2014/chart" uri="{C3380CC4-5D6E-409C-BE32-E72D297353CC}">
              <c16:uniqueId val="{00000002-BE6D-4DC7-9E4B-1E1112285F8B}"/>
            </c:ext>
          </c:extLst>
        </c:ser>
        <c:ser>
          <c:idx val="3"/>
          <c:order val="3"/>
          <c:tx>
            <c:strRef>
              <c:f>'Country direction'!$D$12</c:f>
              <c:strCache>
                <c:ptCount val="1"/>
                <c:pt idx="0">
                  <c:v>2009-2014</c:v>
                </c:pt>
              </c:strCache>
            </c:strRef>
          </c:tx>
          <c:spPr>
            <a:ln w="25400">
              <a:solidFill>
                <a:srgbClr val="00B05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direction'!$E$12:$N$12</c:f>
              <c:numCache>
                <c:formatCode>#.0</c:formatCode>
                <c:ptCount val="10"/>
                <c:pt idx="0">
                  <c:v>42.8</c:v>
                </c:pt>
                <c:pt idx="1">
                  <c:v>56.4</c:v>
                </c:pt>
                <c:pt idx="2">
                  <c:v>55.3</c:v>
                </c:pt>
                <c:pt idx="3">
                  <c:v>50</c:v>
                </c:pt>
                <c:pt idx="4">
                  <c:v>51</c:v>
                </c:pt>
                <c:pt idx="5">
                  <c:v>45.1</c:v>
                </c:pt>
                <c:pt idx="6">
                  <c:v>46.1</c:v>
                </c:pt>
                <c:pt idx="7">
                  <c:v>38.200000000000003</c:v>
                </c:pt>
                <c:pt idx="8">
                  <c:v>37.6</c:v>
                </c:pt>
                <c:pt idx="9">
                  <c:v>33.6</c:v>
                </c:pt>
              </c:numCache>
            </c:numRef>
          </c:val>
          <c:smooth val="0"/>
          <c:extLst>
            <c:ext xmlns:c16="http://schemas.microsoft.com/office/drawing/2014/chart" uri="{C3380CC4-5D6E-409C-BE32-E72D297353CC}">
              <c16:uniqueId val="{00000003-BE6D-4DC7-9E4B-1E1112285F8B}"/>
            </c:ext>
          </c:extLst>
        </c:ser>
        <c:ser>
          <c:idx val="4"/>
          <c:order val="4"/>
          <c:tx>
            <c:strRef>
              <c:f>'Country direction'!$D$13</c:f>
              <c:strCache>
                <c:ptCount val="1"/>
                <c:pt idx="0">
                  <c:v>2014-2019</c:v>
                </c:pt>
              </c:strCache>
            </c:strRef>
          </c:tx>
          <c:spPr>
            <a:ln>
              <a:solidFill>
                <a:srgbClr val="3D96AE"/>
              </a:solidFill>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direction'!$E$13:$N$13</c:f>
              <c:numCache>
                <c:formatCode>#.0</c:formatCode>
                <c:ptCount val="10"/>
                <c:pt idx="0">
                  <c:v>40.799999999999997</c:v>
                </c:pt>
                <c:pt idx="1">
                  <c:v>42</c:v>
                </c:pt>
                <c:pt idx="2">
                  <c:v>44</c:v>
                </c:pt>
                <c:pt idx="3">
                  <c:v>40</c:v>
                </c:pt>
              </c:numCache>
            </c:numRef>
          </c:val>
          <c:smooth val="0"/>
          <c:extLst>
            <c:ext xmlns:c16="http://schemas.microsoft.com/office/drawing/2014/chart" uri="{C3380CC4-5D6E-409C-BE32-E72D297353CC}">
              <c16:uniqueId val="{00000004-BE6D-4DC7-9E4B-1E1112285F8B}"/>
            </c:ext>
          </c:extLst>
        </c:ser>
        <c:dLbls>
          <c:showLegendKey val="0"/>
          <c:showVal val="0"/>
          <c:showCatName val="0"/>
          <c:showSerName val="0"/>
          <c:showPercent val="0"/>
          <c:showBubbleSize val="0"/>
        </c:dLbls>
        <c:smooth val="0"/>
        <c:axId val="714538784"/>
        <c:axId val="407982112"/>
      </c:lineChart>
      <c:catAx>
        <c:axId val="71453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82112"/>
        <c:crosses val="autoZero"/>
        <c:auto val="1"/>
        <c:lblAlgn val="ctr"/>
        <c:lblOffset val="100"/>
        <c:tickLblSkip val="2"/>
        <c:tickMarkSkip val="1"/>
        <c:noMultiLvlLbl val="0"/>
      </c:catAx>
      <c:valAx>
        <c:axId val="407982112"/>
        <c:scaling>
          <c:orientation val="minMax"/>
          <c:min val="3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5.3833605220229001E-2"/>
              <c:y val="0.43986398607390964"/>
            </c:manualLayout>
          </c:layout>
          <c:overlay val="0"/>
          <c:spPr>
            <a:noFill/>
            <a:ln w="25400">
              <a:noFill/>
            </a:ln>
          </c:spPr>
        </c:title>
        <c:numFmt formatCode="#"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38784"/>
        <c:crosses val="autoZero"/>
        <c:crossBetween val="between"/>
        <c:majorUnit val="10"/>
      </c:valAx>
      <c:spPr>
        <a:solidFill>
          <a:srgbClr val="FFFFFF"/>
        </a:solidFill>
        <a:ln w="25400">
          <a:noFill/>
        </a:ln>
      </c:spPr>
    </c:plotArea>
    <c:legend>
      <c:legendPos val="r"/>
      <c:layout>
        <c:manualLayout>
          <c:xMode val="edge"/>
          <c:yMode val="edge"/>
          <c:x val="1.8596454178859828E-2"/>
          <c:y val="0.90934366849003689"/>
          <c:w val="0.97047579301629439"/>
          <c:h val="9.0656167979002625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horizontalDpi="0" verticalDpi="0"/>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2837609801059"/>
          <c:y val="9.0515232625624761E-2"/>
          <c:w val="0.85568433669123856"/>
          <c:h val="0.64575114991814142"/>
        </c:manualLayout>
      </c:layout>
      <c:lineChart>
        <c:grouping val="standard"/>
        <c:varyColors val="0"/>
        <c:ser>
          <c:idx val="0"/>
          <c:order val="0"/>
          <c:tx>
            <c:strRef>
              <c:f>'Country direction'!$D$9</c:f>
              <c:strCache>
                <c:ptCount val="1"/>
                <c:pt idx="0">
                  <c:v>1994-1999</c:v>
                </c:pt>
              </c:strCache>
            </c:strRef>
          </c:tx>
          <c:spPr>
            <a:ln w="15875">
              <a:solidFill>
                <a:srgbClr val="9933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direction'!$E$9:$N$9</c:f>
              <c:numCache>
                <c:formatCode>#.0</c:formatCode>
                <c:ptCount val="10"/>
                <c:pt idx="0">
                  <c:v>76</c:v>
                </c:pt>
                <c:pt idx="1">
                  <c:v>62</c:v>
                </c:pt>
                <c:pt idx="2">
                  <c:v>49</c:v>
                </c:pt>
                <c:pt idx="3">
                  <c:v>66</c:v>
                </c:pt>
                <c:pt idx="4">
                  <c:v>57</c:v>
                </c:pt>
                <c:pt idx="5">
                  <c:v>56</c:v>
                </c:pt>
                <c:pt idx="8">
                  <c:v>43</c:v>
                </c:pt>
                <c:pt idx="9">
                  <c:v>48</c:v>
                </c:pt>
              </c:numCache>
            </c:numRef>
          </c:val>
          <c:smooth val="0"/>
          <c:extLst>
            <c:ext xmlns:c16="http://schemas.microsoft.com/office/drawing/2014/chart" uri="{C3380CC4-5D6E-409C-BE32-E72D297353CC}">
              <c16:uniqueId val="{00000000-3EF9-4E92-B5CB-588F9DC4F8A5}"/>
            </c:ext>
          </c:extLst>
        </c:ser>
        <c:ser>
          <c:idx val="1"/>
          <c:order val="1"/>
          <c:tx>
            <c:strRef>
              <c:f>'Country direction'!$D$10</c:f>
              <c:strCache>
                <c:ptCount val="1"/>
                <c:pt idx="0">
                  <c:v>1999-2004</c:v>
                </c:pt>
              </c:strCache>
            </c:strRef>
          </c:tx>
          <c:spPr>
            <a:ln w="15875">
              <a:solidFill>
                <a:srgbClr val="FF6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direction'!$E$10:$N$10</c:f>
              <c:numCache>
                <c:formatCode>#.0</c:formatCode>
                <c:ptCount val="10"/>
                <c:pt idx="0">
                  <c:v>66</c:v>
                </c:pt>
                <c:pt idx="1">
                  <c:v>60</c:v>
                </c:pt>
                <c:pt idx="2">
                  <c:v>56</c:v>
                </c:pt>
                <c:pt idx="3">
                  <c:v>41</c:v>
                </c:pt>
                <c:pt idx="4">
                  <c:v>48.8</c:v>
                </c:pt>
                <c:pt idx="5">
                  <c:v>47.5</c:v>
                </c:pt>
                <c:pt idx="6">
                  <c:v>42.8</c:v>
                </c:pt>
                <c:pt idx="7">
                  <c:v>47.8</c:v>
                </c:pt>
                <c:pt idx="8">
                  <c:v>51.8</c:v>
                </c:pt>
                <c:pt idx="9">
                  <c:v>54</c:v>
                </c:pt>
              </c:numCache>
            </c:numRef>
          </c:val>
          <c:smooth val="0"/>
          <c:extLst>
            <c:ext xmlns:c16="http://schemas.microsoft.com/office/drawing/2014/chart" uri="{C3380CC4-5D6E-409C-BE32-E72D297353CC}">
              <c16:uniqueId val="{00000001-3EF9-4E92-B5CB-588F9DC4F8A5}"/>
            </c:ext>
          </c:extLst>
        </c:ser>
        <c:ser>
          <c:idx val="2"/>
          <c:order val="2"/>
          <c:tx>
            <c:strRef>
              <c:f>'Country direction'!$D$11</c:f>
              <c:strCache>
                <c:ptCount val="1"/>
                <c:pt idx="0">
                  <c:v>2004-2009</c:v>
                </c:pt>
              </c:strCache>
            </c:strRef>
          </c:tx>
          <c:spPr>
            <a:ln w="15875">
              <a:solidFill>
                <a:srgbClr val="8080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direction'!$E$11:$N$11</c:f>
              <c:numCache>
                <c:formatCode>#.0</c:formatCode>
                <c:ptCount val="10"/>
                <c:pt idx="0">
                  <c:v>73.5</c:v>
                </c:pt>
                <c:pt idx="1">
                  <c:v>67.599999999999994</c:v>
                </c:pt>
                <c:pt idx="2">
                  <c:v>67.5</c:v>
                </c:pt>
                <c:pt idx="3">
                  <c:v>65</c:v>
                </c:pt>
                <c:pt idx="4">
                  <c:v>69</c:v>
                </c:pt>
                <c:pt idx="5">
                  <c:v>50.5</c:v>
                </c:pt>
                <c:pt idx="6" formatCode="General">
                  <c:v>59.6</c:v>
                </c:pt>
                <c:pt idx="7">
                  <c:v>54.3</c:v>
                </c:pt>
                <c:pt idx="8">
                  <c:v>45.5</c:v>
                </c:pt>
                <c:pt idx="9">
                  <c:v>38.4</c:v>
                </c:pt>
              </c:numCache>
            </c:numRef>
          </c:val>
          <c:smooth val="0"/>
          <c:extLst>
            <c:ext xmlns:c16="http://schemas.microsoft.com/office/drawing/2014/chart" uri="{C3380CC4-5D6E-409C-BE32-E72D297353CC}">
              <c16:uniqueId val="{00000002-3EF9-4E92-B5CB-588F9DC4F8A5}"/>
            </c:ext>
          </c:extLst>
        </c:ser>
        <c:ser>
          <c:idx val="3"/>
          <c:order val="3"/>
          <c:tx>
            <c:strRef>
              <c:f>'Country direction'!$D$12</c:f>
              <c:strCache>
                <c:ptCount val="1"/>
                <c:pt idx="0">
                  <c:v>2009-2014</c:v>
                </c:pt>
              </c:strCache>
            </c:strRef>
          </c:tx>
          <c:spPr>
            <a:ln w="15875">
              <a:solidFill>
                <a:srgbClr val="FFC0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direction'!$E$12:$N$12</c:f>
              <c:numCache>
                <c:formatCode>#.0</c:formatCode>
                <c:ptCount val="10"/>
                <c:pt idx="0">
                  <c:v>42.8</c:v>
                </c:pt>
                <c:pt idx="1">
                  <c:v>56.4</c:v>
                </c:pt>
                <c:pt idx="2">
                  <c:v>55.3</c:v>
                </c:pt>
                <c:pt idx="3">
                  <c:v>50</c:v>
                </c:pt>
                <c:pt idx="4">
                  <c:v>51</c:v>
                </c:pt>
                <c:pt idx="5">
                  <c:v>45.1</c:v>
                </c:pt>
                <c:pt idx="6">
                  <c:v>46.1</c:v>
                </c:pt>
                <c:pt idx="7">
                  <c:v>38.200000000000003</c:v>
                </c:pt>
                <c:pt idx="8">
                  <c:v>37.6</c:v>
                </c:pt>
                <c:pt idx="9">
                  <c:v>33.6</c:v>
                </c:pt>
              </c:numCache>
            </c:numRef>
          </c:val>
          <c:smooth val="0"/>
          <c:extLst>
            <c:ext xmlns:c16="http://schemas.microsoft.com/office/drawing/2014/chart" uri="{C3380CC4-5D6E-409C-BE32-E72D297353CC}">
              <c16:uniqueId val="{00000003-3EF9-4E92-B5CB-588F9DC4F8A5}"/>
            </c:ext>
          </c:extLst>
        </c:ser>
        <c:ser>
          <c:idx val="4"/>
          <c:order val="4"/>
          <c:tx>
            <c:strRef>
              <c:f>'Country direction'!$D$13</c:f>
              <c:strCache>
                <c:ptCount val="1"/>
                <c:pt idx="0">
                  <c:v>2014-2019</c:v>
                </c:pt>
              </c:strCache>
            </c:strRef>
          </c:tx>
          <c:spPr>
            <a:ln w="15875"/>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direction'!$E$13:$N$13</c:f>
              <c:numCache>
                <c:formatCode>#.0</c:formatCode>
                <c:ptCount val="10"/>
                <c:pt idx="0">
                  <c:v>40.799999999999997</c:v>
                </c:pt>
                <c:pt idx="1">
                  <c:v>42</c:v>
                </c:pt>
                <c:pt idx="2">
                  <c:v>44</c:v>
                </c:pt>
                <c:pt idx="3">
                  <c:v>40</c:v>
                </c:pt>
              </c:numCache>
            </c:numRef>
          </c:val>
          <c:smooth val="0"/>
          <c:extLst>
            <c:ext xmlns:c16="http://schemas.microsoft.com/office/drawing/2014/chart" uri="{C3380CC4-5D6E-409C-BE32-E72D297353CC}">
              <c16:uniqueId val="{00000004-3EF9-4E92-B5CB-588F9DC4F8A5}"/>
            </c:ext>
          </c:extLst>
        </c:ser>
        <c:dLbls>
          <c:showLegendKey val="0"/>
          <c:showVal val="0"/>
          <c:showCatName val="0"/>
          <c:showSerName val="0"/>
          <c:showPercent val="0"/>
          <c:showBubbleSize val="0"/>
        </c:dLbls>
        <c:smooth val="0"/>
        <c:axId val="407982504"/>
        <c:axId val="407982896"/>
      </c:lineChart>
      <c:catAx>
        <c:axId val="407982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07982896"/>
        <c:crosses val="autoZero"/>
        <c:auto val="1"/>
        <c:lblAlgn val="ctr"/>
        <c:lblOffset val="100"/>
        <c:tickLblSkip val="2"/>
        <c:tickMarkSkip val="1"/>
        <c:noMultiLvlLbl val="0"/>
      </c:catAx>
      <c:valAx>
        <c:axId val="407982896"/>
        <c:scaling>
          <c:orientation val="minMax"/>
          <c:min val="3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5.3833605220229001E-2"/>
              <c:y val="0.43986398607390964"/>
            </c:manualLayout>
          </c:layout>
          <c:overlay val="0"/>
          <c:spPr>
            <a:noFill/>
            <a:ln w="25400">
              <a:noFill/>
            </a:ln>
          </c:spPr>
        </c:title>
        <c:numFmt formatCode="#" sourceLinked="0"/>
        <c:majorTickMark val="out"/>
        <c:minorTickMark val="none"/>
        <c:tickLblPos val="nextTo"/>
        <c:spPr>
          <a:ln w="3175">
            <a:solidFill>
              <a:srgbClr val="000000"/>
            </a:solidFill>
            <a:prstDash val="solid"/>
          </a:ln>
        </c:spPr>
        <c:txPr>
          <a:bodyPr rot="0" vert="horz"/>
          <a:lstStyle/>
          <a:p>
            <a:pPr>
              <a:defRPr/>
            </a:pPr>
            <a:endParaRPr lang="en-US"/>
          </a:p>
        </c:txPr>
        <c:crossAx val="407982504"/>
        <c:crosses val="autoZero"/>
        <c:crossBetween val="between"/>
        <c:majorUnit val="10"/>
      </c:valAx>
      <c:spPr>
        <a:solidFill>
          <a:srgbClr val="FFFFFF"/>
        </a:solidFill>
        <a:ln w="25400">
          <a:noFill/>
        </a:ln>
      </c:spPr>
    </c:plotArea>
    <c:legend>
      <c:legendPos val="r"/>
      <c:layout>
        <c:manualLayout>
          <c:xMode val="edge"/>
          <c:yMode val="edge"/>
          <c:x val="1.8596454178859828E-2"/>
          <c:y val="0.90934366849003689"/>
          <c:w val="0.97047579301629439"/>
          <c:h val="9.0656167979002625E-2"/>
        </c:manualLayout>
      </c:layout>
      <c:overlay val="0"/>
      <c:spPr>
        <a:solidFill>
          <a:srgbClr val="FFFFFF"/>
        </a:solidFill>
        <a:ln w="3175">
          <a:noFill/>
          <a:prstDash val="solid"/>
        </a:ln>
      </c:spPr>
    </c:legend>
    <c:plotVisOnly val="1"/>
    <c:dispBlanksAs val="gap"/>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544" r="0.75000000000000544" t="1" header="0.5" footer="0.5"/>
    <c:pageSetup orientation="landscape" horizontalDpi="0" verticalDpi="0"/>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SELF-DESCRIPTION</a:t>
            </a:r>
          </a:p>
        </c:rich>
      </c:tx>
      <c:layout>
        <c:manualLayout>
          <c:xMode val="edge"/>
          <c:yMode val="edge"/>
          <c:x val="8.2456303417384802E-2"/>
          <c:y val="3.3557046979865786E-2"/>
        </c:manualLayout>
      </c:layout>
      <c:overlay val="0"/>
      <c:spPr>
        <a:noFill/>
        <a:ln w="25400">
          <a:noFill/>
        </a:ln>
      </c:spPr>
    </c:title>
    <c:autoTitleDeleted val="0"/>
    <c:plotArea>
      <c:layout>
        <c:manualLayout>
          <c:layoutTarget val="inner"/>
          <c:xMode val="edge"/>
          <c:yMode val="edge"/>
          <c:x val="0.10381092516437385"/>
          <c:y val="0.19571128841017818"/>
          <c:w val="0.87122333397443075"/>
          <c:h val="0.54423824037350665"/>
        </c:manualLayout>
      </c:layout>
      <c:barChart>
        <c:barDir val="col"/>
        <c:grouping val="percentStacked"/>
        <c:varyColors val="0"/>
        <c:ser>
          <c:idx val="0"/>
          <c:order val="0"/>
          <c:tx>
            <c:strRef>
              <c:f>'Self description'!$D$8</c:f>
              <c:strCache>
                <c:ptCount val="1"/>
                <c:pt idx="0">
                  <c:v>As an African</c:v>
                </c:pt>
              </c:strCache>
            </c:strRef>
          </c:tx>
          <c:spPr>
            <a:solidFill>
              <a:srgbClr val="FCD5B5"/>
            </a:solidFill>
            <a:ln w="12700">
              <a:noFill/>
              <a:prstDash val="solid"/>
            </a:ln>
          </c:spPr>
          <c:invertIfNegative val="0"/>
          <c:cat>
            <c:numRef>
              <c:f>'Self description'!$E$7:$M$7</c:f>
              <c:numCache>
                <c:formatCode>General</c:formatCode>
                <c:ptCount val="9"/>
                <c:pt idx="0">
                  <c:v>2004</c:v>
                </c:pt>
                <c:pt idx="1">
                  <c:v>2007</c:v>
                </c:pt>
                <c:pt idx="2">
                  <c:v>2008</c:v>
                </c:pt>
                <c:pt idx="3">
                  <c:v>2009</c:v>
                </c:pt>
                <c:pt idx="4">
                  <c:v>2010</c:v>
                </c:pt>
                <c:pt idx="5">
                  <c:v>2011</c:v>
                </c:pt>
                <c:pt idx="6">
                  <c:v>2012</c:v>
                </c:pt>
                <c:pt idx="7">
                  <c:v>2014</c:v>
                </c:pt>
                <c:pt idx="8">
                  <c:v>2015</c:v>
                </c:pt>
              </c:numCache>
            </c:numRef>
          </c:cat>
          <c:val>
            <c:numRef>
              <c:f>'Self description'!$E$8:$M$8</c:f>
              <c:numCache>
                <c:formatCode>General</c:formatCode>
                <c:ptCount val="9"/>
                <c:pt idx="0">
                  <c:v>18.399999999999999</c:v>
                </c:pt>
                <c:pt idx="1">
                  <c:v>25.8</c:v>
                </c:pt>
                <c:pt idx="2">
                  <c:v>32.6</c:v>
                </c:pt>
                <c:pt idx="3">
                  <c:v>30.2</c:v>
                </c:pt>
                <c:pt idx="5">
                  <c:v>30.8</c:v>
                </c:pt>
                <c:pt idx="6">
                  <c:v>29.1</c:v>
                </c:pt>
                <c:pt idx="7">
                  <c:v>30</c:v>
                </c:pt>
                <c:pt idx="8">
                  <c:v>29</c:v>
                </c:pt>
              </c:numCache>
            </c:numRef>
          </c:val>
          <c:extLst>
            <c:ext xmlns:c16="http://schemas.microsoft.com/office/drawing/2014/chart" uri="{C3380CC4-5D6E-409C-BE32-E72D297353CC}">
              <c16:uniqueId val="{00000000-3B10-4DF9-8227-920E1D2D68D3}"/>
            </c:ext>
          </c:extLst>
        </c:ser>
        <c:ser>
          <c:idx val="1"/>
          <c:order val="1"/>
          <c:tx>
            <c:strRef>
              <c:f>'Self description'!$D$9</c:f>
              <c:strCache>
                <c:ptCount val="1"/>
                <c:pt idx="0">
                  <c:v>As South African</c:v>
                </c:pt>
              </c:strCache>
            </c:strRef>
          </c:tx>
          <c:spPr>
            <a:solidFill>
              <a:srgbClr val="F8A662"/>
            </a:solidFill>
            <a:ln w="12700">
              <a:noFill/>
              <a:prstDash val="solid"/>
            </a:ln>
          </c:spPr>
          <c:invertIfNegative val="0"/>
          <c:cat>
            <c:numRef>
              <c:f>'Self description'!$E$7:$M$7</c:f>
              <c:numCache>
                <c:formatCode>General</c:formatCode>
                <c:ptCount val="9"/>
                <c:pt idx="0">
                  <c:v>2004</c:v>
                </c:pt>
                <c:pt idx="1">
                  <c:v>2007</c:v>
                </c:pt>
                <c:pt idx="2">
                  <c:v>2008</c:v>
                </c:pt>
                <c:pt idx="3">
                  <c:v>2009</c:v>
                </c:pt>
                <c:pt idx="4">
                  <c:v>2010</c:v>
                </c:pt>
                <c:pt idx="5">
                  <c:v>2011</c:v>
                </c:pt>
                <c:pt idx="6">
                  <c:v>2012</c:v>
                </c:pt>
                <c:pt idx="7">
                  <c:v>2014</c:v>
                </c:pt>
                <c:pt idx="8">
                  <c:v>2015</c:v>
                </c:pt>
              </c:numCache>
            </c:numRef>
          </c:cat>
          <c:val>
            <c:numRef>
              <c:f>'Self description'!$E$9:$M$9</c:f>
              <c:numCache>
                <c:formatCode>General</c:formatCode>
                <c:ptCount val="9"/>
                <c:pt idx="0">
                  <c:v>52.8</c:v>
                </c:pt>
                <c:pt idx="1">
                  <c:v>52.6</c:v>
                </c:pt>
                <c:pt idx="2">
                  <c:v>45.7</c:v>
                </c:pt>
                <c:pt idx="3">
                  <c:v>54.1</c:v>
                </c:pt>
                <c:pt idx="5">
                  <c:v>50.8</c:v>
                </c:pt>
                <c:pt idx="6">
                  <c:v>52.4</c:v>
                </c:pt>
                <c:pt idx="7">
                  <c:v>57</c:v>
                </c:pt>
                <c:pt idx="8">
                  <c:v>52</c:v>
                </c:pt>
              </c:numCache>
            </c:numRef>
          </c:val>
          <c:extLst>
            <c:ext xmlns:c16="http://schemas.microsoft.com/office/drawing/2014/chart" uri="{C3380CC4-5D6E-409C-BE32-E72D297353CC}">
              <c16:uniqueId val="{00000001-3B10-4DF9-8227-920E1D2D68D3}"/>
            </c:ext>
          </c:extLst>
        </c:ser>
        <c:ser>
          <c:idx val="2"/>
          <c:order val="2"/>
          <c:tx>
            <c:strRef>
              <c:f>'Self description'!$D$10</c:f>
              <c:strCache>
                <c:ptCount val="1"/>
                <c:pt idx="0">
                  <c:v>By race group</c:v>
                </c:pt>
              </c:strCache>
            </c:strRef>
          </c:tx>
          <c:spPr>
            <a:solidFill>
              <a:srgbClr val="E46C0A"/>
            </a:solidFill>
            <a:ln w="12700">
              <a:noFill/>
              <a:prstDash val="solid"/>
            </a:ln>
          </c:spPr>
          <c:invertIfNegative val="0"/>
          <c:cat>
            <c:numRef>
              <c:f>'Self description'!$E$7:$M$7</c:f>
              <c:numCache>
                <c:formatCode>General</c:formatCode>
                <c:ptCount val="9"/>
                <c:pt idx="0">
                  <c:v>2004</c:v>
                </c:pt>
                <c:pt idx="1">
                  <c:v>2007</c:v>
                </c:pt>
                <c:pt idx="2">
                  <c:v>2008</c:v>
                </c:pt>
                <c:pt idx="3">
                  <c:v>2009</c:v>
                </c:pt>
                <c:pt idx="4">
                  <c:v>2010</c:v>
                </c:pt>
                <c:pt idx="5">
                  <c:v>2011</c:v>
                </c:pt>
                <c:pt idx="6">
                  <c:v>2012</c:v>
                </c:pt>
                <c:pt idx="7">
                  <c:v>2014</c:v>
                </c:pt>
                <c:pt idx="8">
                  <c:v>2015</c:v>
                </c:pt>
              </c:numCache>
            </c:numRef>
          </c:cat>
          <c:val>
            <c:numRef>
              <c:f>'Self description'!$E$10:$M$10</c:f>
              <c:numCache>
                <c:formatCode>General</c:formatCode>
                <c:ptCount val="9"/>
                <c:pt idx="0">
                  <c:v>4.0999999999999996</c:v>
                </c:pt>
                <c:pt idx="1">
                  <c:v>9.9</c:v>
                </c:pt>
                <c:pt idx="2">
                  <c:v>11.3</c:v>
                </c:pt>
                <c:pt idx="3">
                  <c:v>7.1</c:v>
                </c:pt>
                <c:pt idx="5">
                  <c:v>9.1</c:v>
                </c:pt>
                <c:pt idx="6">
                  <c:v>8.8000000000000007</c:v>
                </c:pt>
                <c:pt idx="7">
                  <c:v>6</c:v>
                </c:pt>
                <c:pt idx="8">
                  <c:v>9</c:v>
                </c:pt>
              </c:numCache>
            </c:numRef>
          </c:val>
          <c:extLst>
            <c:ext xmlns:c16="http://schemas.microsoft.com/office/drawing/2014/chart" uri="{C3380CC4-5D6E-409C-BE32-E72D297353CC}">
              <c16:uniqueId val="{00000002-3B10-4DF9-8227-920E1D2D68D3}"/>
            </c:ext>
          </c:extLst>
        </c:ser>
        <c:ser>
          <c:idx val="3"/>
          <c:order val="3"/>
          <c:tx>
            <c:strRef>
              <c:f>'Self description'!$D$11</c:f>
              <c:strCache>
                <c:ptCount val="1"/>
                <c:pt idx="0">
                  <c:v>By language group</c:v>
                </c:pt>
              </c:strCache>
            </c:strRef>
          </c:tx>
          <c:spPr>
            <a:solidFill>
              <a:srgbClr val="984807"/>
            </a:solidFill>
            <a:ln w="12700">
              <a:noFill/>
              <a:prstDash val="solid"/>
            </a:ln>
          </c:spPr>
          <c:invertIfNegative val="0"/>
          <c:cat>
            <c:numRef>
              <c:f>'Self description'!$E$7:$M$7</c:f>
              <c:numCache>
                <c:formatCode>General</c:formatCode>
                <c:ptCount val="9"/>
                <c:pt idx="0">
                  <c:v>2004</c:v>
                </c:pt>
                <c:pt idx="1">
                  <c:v>2007</c:v>
                </c:pt>
                <c:pt idx="2">
                  <c:v>2008</c:v>
                </c:pt>
                <c:pt idx="3">
                  <c:v>2009</c:v>
                </c:pt>
                <c:pt idx="4">
                  <c:v>2010</c:v>
                </c:pt>
                <c:pt idx="5">
                  <c:v>2011</c:v>
                </c:pt>
                <c:pt idx="6">
                  <c:v>2012</c:v>
                </c:pt>
                <c:pt idx="7">
                  <c:v>2014</c:v>
                </c:pt>
                <c:pt idx="8">
                  <c:v>2015</c:v>
                </c:pt>
              </c:numCache>
            </c:numRef>
          </c:cat>
          <c:val>
            <c:numRef>
              <c:f>'Self description'!$E$11:$M$11</c:f>
              <c:numCache>
                <c:formatCode>General</c:formatCode>
                <c:ptCount val="9"/>
                <c:pt idx="0">
                  <c:v>13.6</c:v>
                </c:pt>
                <c:pt idx="1">
                  <c:v>2.6</c:v>
                </c:pt>
                <c:pt idx="2">
                  <c:v>3.1</c:v>
                </c:pt>
                <c:pt idx="3">
                  <c:v>1.9</c:v>
                </c:pt>
                <c:pt idx="5">
                  <c:v>3.7</c:v>
                </c:pt>
                <c:pt idx="6">
                  <c:v>4.0999999999999996</c:v>
                </c:pt>
                <c:pt idx="7">
                  <c:v>2</c:v>
                </c:pt>
                <c:pt idx="8">
                  <c:v>3</c:v>
                </c:pt>
              </c:numCache>
            </c:numRef>
          </c:val>
          <c:extLst>
            <c:ext xmlns:c16="http://schemas.microsoft.com/office/drawing/2014/chart" uri="{C3380CC4-5D6E-409C-BE32-E72D297353CC}">
              <c16:uniqueId val="{00000003-3B10-4DF9-8227-920E1D2D68D3}"/>
            </c:ext>
          </c:extLst>
        </c:ser>
        <c:ser>
          <c:idx val="4"/>
          <c:order val="4"/>
          <c:tx>
            <c:strRef>
              <c:f>'Self description'!$D$12</c:f>
              <c:strCache>
                <c:ptCount val="1"/>
                <c:pt idx="0">
                  <c:v>Rest of self descriptors</c:v>
                </c:pt>
              </c:strCache>
            </c:strRef>
          </c:tx>
          <c:spPr>
            <a:solidFill>
              <a:srgbClr val="C83C14"/>
            </a:solidFill>
            <a:ln w="12700">
              <a:noFill/>
              <a:prstDash val="solid"/>
            </a:ln>
          </c:spPr>
          <c:invertIfNegative val="0"/>
          <c:cat>
            <c:numRef>
              <c:f>'Self description'!$E$7:$M$7</c:f>
              <c:numCache>
                <c:formatCode>General</c:formatCode>
                <c:ptCount val="9"/>
                <c:pt idx="0">
                  <c:v>2004</c:v>
                </c:pt>
                <c:pt idx="1">
                  <c:v>2007</c:v>
                </c:pt>
                <c:pt idx="2">
                  <c:v>2008</c:v>
                </c:pt>
                <c:pt idx="3">
                  <c:v>2009</c:v>
                </c:pt>
                <c:pt idx="4">
                  <c:v>2010</c:v>
                </c:pt>
                <c:pt idx="5">
                  <c:v>2011</c:v>
                </c:pt>
                <c:pt idx="6">
                  <c:v>2012</c:v>
                </c:pt>
                <c:pt idx="7">
                  <c:v>2014</c:v>
                </c:pt>
                <c:pt idx="8">
                  <c:v>2015</c:v>
                </c:pt>
              </c:numCache>
            </c:numRef>
          </c:cat>
          <c:val>
            <c:numRef>
              <c:f>'Self description'!$E$12:$M$12</c:f>
              <c:numCache>
                <c:formatCode>General</c:formatCode>
                <c:ptCount val="9"/>
                <c:pt idx="0">
                  <c:v>11.1</c:v>
                </c:pt>
                <c:pt idx="1">
                  <c:v>9.0999999999999943</c:v>
                </c:pt>
                <c:pt idx="2">
                  <c:v>7.3</c:v>
                </c:pt>
                <c:pt idx="3">
                  <c:v>6.7</c:v>
                </c:pt>
                <c:pt idx="5">
                  <c:v>5.6</c:v>
                </c:pt>
                <c:pt idx="6">
                  <c:v>5.6</c:v>
                </c:pt>
                <c:pt idx="7">
                  <c:v>6.9</c:v>
                </c:pt>
                <c:pt idx="8">
                  <c:v>7</c:v>
                </c:pt>
              </c:numCache>
            </c:numRef>
          </c:val>
          <c:extLst>
            <c:ext xmlns:c16="http://schemas.microsoft.com/office/drawing/2014/chart" uri="{C3380CC4-5D6E-409C-BE32-E72D297353CC}">
              <c16:uniqueId val="{00000004-3B10-4DF9-8227-920E1D2D68D3}"/>
            </c:ext>
          </c:extLst>
        </c:ser>
        <c:dLbls>
          <c:showLegendKey val="0"/>
          <c:showVal val="0"/>
          <c:showCatName val="0"/>
          <c:showSerName val="0"/>
          <c:showPercent val="0"/>
          <c:showBubbleSize val="0"/>
        </c:dLbls>
        <c:gapWidth val="150"/>
        <c:overlap val="100"/>
        <c:axId val="407975840"/>
        <c:axId val="407969960"/>
      </c:barChart>
      <c:catAx>
        <c:axId val="407975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69960"/>
        <c:crosses val="autoZero"/>
        <c:auto val="1"/>
        <c:lblAlgn val="ctr"/>
        <c:lblOffset val="100"/>
        <c:tickLblSkip val="1"/>
        <c:tickMarkSkip val="1"/>
        <c:noMultiLvlLbl val="0"/>
      </c:catAx>
      <c:valAx>
        <c:axId val="407969960"/>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75840"/>
        <c:crosses val="autoZero"/>
        <c:crossBetween val="between"/>
        <c:majorUnit val="0.2"/>
      </c:valAx>
      <c:spPr>
        <a:noFill/>
        <a:ln w="25400">
          <a:noFill/>
        </a:ln>
      </c:spPr>
    </c:plotArea>
    <c:legend>
      <c:legendPos val="b"/>
      <c:layout>
        <c:manualLayout>
          <c:xMode val="edge"/>
          <c:yMode val="edge"/>
          <c:x val="4.9934369066407802E-2"/>
          <c:y val="0.90080812199752358"/>
          <c:w val="0.90276083022690001"/>
          <c:h val="7.7748320053357703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83912248629124E-2"/>
          <c:y val="0.20391151840797794"/>
          <c:w val="0.89670932358319377"/>
          <c:h val="0.65922079923675025"/>
        </c:manualLayout>
      </c:layout>
      <c:lineChart>
        <c:grouping val="standard"/>
        <c:varyColors val="0"/>
        <c:ser>
          <c:idx val="0"/>
          <c:order val="0"/>
          <c:spPr>
            <a:ln w="25400">
              <a:solidFill>
                <a:srgbClr val="FF6600"/>
              </a:solidFill>
            </a:ln>
          </c:spPr>
          <c:marker>
            <c:symbol val="square"/>
            <c:size val="5"/>
            <c:spPr>
              <a:solidFill>
                <a:srgbClr val="FF6600"/>
              </a:solidFill>
              <a:ln>
                <a:solidFill>
                  <a:srgbClr val="F79646">
                    <a:lumMod val="75000"/>
                  </a:srgbClr>
                </a:solidFill>
              </a:ln>
            </c:spPr>
          </c:marker>
          <c:cat>
            <c:strRef>
              <c:f>'Pride in being SA'!$E$39:$Q$39</c:f>
              <c:strCache>
                <c:ptCount val="13"/>
                <c:pt idx="0">
                  <c:v>2003</c:v>
                </c:pt>
                <c:pt idx="1">
                  <c:v>2004</c:v>
                </c:pt>
                <c:pt idx="2">
                  <c:v>2005</c:v>
                </c:pt>
                <c:pt idx="3">
                  <c:v>2006</c:v>
                </c:pt>
                <c:pt idx="4">
                  <c:v>2007</c:v>
                </c:pt>
                <c:pt idx="5">
                  <c:v>2008</c:v>
                </c:pt>
                <c:pt idx="6">
                  <c:v>2009</c:v>
                </c:pt>
                <c:pt idx="7">
                  <c:v>2010/11</c:v>
                </c:pt>
                <c:pt idx="8">
                  <c:v>2011/12</c:v>
                </c:pt>
                <c:pt idx="9">
                  <c:v>2012/13</c:v>
                </c:pt>
                <c:pt idx="10">
                  <c:v>2013/14</c:v>
                </c:pt>
                <c:pt idx="11">
                  <c:v>2014/15</c:v>
                </c:pt>
                <c:pt idx="12">
                  <c:v>2015/16</c:v>
                </c:pt>
              </c:strCache>
            </c:strRef>
          </c:cat>
          <c:val>
            <c:numRef>
              <c:f>'Pride in being SA'!$E$40:$Q$40</c:f>
              <c:numCache>
                <c:formatCode>General</c:formatCode>
                <c:ptCount val="13"/>
                <c:pt idx="0">
                  <c:v>84</c:v>
                </c:pt>
                <c:pt idx="1">
                  <c:v>90</c:v>
                </c:pt>
                <c:pt idx="2">
                  <c:v>90</c:v>
                </c:pt>
                <c:pt idx="3">
                  <c:v>90</c:v>
                </c:pt>
                <c:pt idx="4">
                  <c:v>78</c:v>
                </c:pt>
                <c:pt idx="5">
                  <c:v>65</c:v>
                </c:pt>
                <c:pt idx="6">
                  <c:v>75</c:v>
                </c:pt>
                <c:pt idx="7">
                  <c:v>90</c:v>
                </c:pt>
                <c:pt idx="8" formatCode="0">
                  <c:v>88.25</c:v>
                </c:pt>
                <c:pt idx="9">
                  <c:v>87</c:v>
                </c:pt>
                <c:pt idx="10" formatCode="0">
                  <c:v>88</c:v>
                </c:pt>
                <c:pt idx="11" formatCode="0">
                  <c:v>89</c:v>
                </c:pt>
                <c:pt idx="12" formatCode="0">
                  <c:v>85</c:v>
                </c:pt>
              </c:numCache>
            </c:numRef>
          </c:val>
          <c:smooth val="0"/>
          <c:extLst>
            <c:ext xmlns:c16="http://schemas.microsoft.com/office/drawing/2014/chart" uri="{C3380CC4-5D6E-409C-BE32-E72D297353CC}">
              <c16:uniqueId val="{00000000-A714-442D-8D78-0B2279C7C4BA}"/>
            </c:ext>
          </c:extLst>
        </c:ser>
        <c:dLbls>
          <c:showLegendKey val="0"/>
          <c:showVal val="0"/>
          <c:showCatName val="0"/>
          <c:showSerName val="0"/>
          <c:showPercent val="0"/>
          <c:showBubbleSize val="0"/>
        </c:dLbls>
        <c:marker val="1"/>
        <c:smooth val="0"/>
        <c:axId val="407978192"/>
        <c:axId val="407971920"/>
      </c:lineChart>
      <c:catAx>
        <c:axId val="407978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71920"/>
        <c:crosses val="autoZero"/>
        <c:auto val="0"/>
        <c:lblAlgn val="ctr"/>
        <c:lblOffset val="100"/>
        <c:tickLblSkip val="1"/>
        <c:tickMarkSkip val="1"/>
        <c:noMultiLvlLbl val="0"/>
      </c:catAx>
      <c:valAx>
        <c:axId val="407971920"/>
        <c:scaling>
          <c:orientation val="minMax"/>
          <c:max val="100"/>
          <c:min val="5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2.1052675773846442E-2"/>
              <c:y val="0.50482301793281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78192"/>
        <c:crosses val="autoZero"/>
        <c:crossBetween val="midCat"/>
        <c:majorUnit val="5"/>
      </c:valAx>
      <c:spPr>
        <a:solidFill>
          <a:schemeClr val="bg1"/>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611" r="0.75000000000000611" t="1" header="0.5" footer="0.5"/>
    <c:pageSetup paperSize="9"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472284956628"/>
          <c:y val="8.3945644326592836E-2"/>
          <c:w val="0.85364300392683468"/>
          <c:h val="0.7791864866506083"/>
        </c:manualLayout>
      </c:layout>
      <c:lineChart>
        <c:grouping val="standard"/>
        <c:varyColors val="0"/>
        <c:ser>
          <c:idx val="0"/>
          <c:order val="0"/>
          <c:spPr>
            <a:ln w="15875">
              <a:solidFill>
                <a:schemeClr val="accent6">
                  <a:lumMod val="75000"/>
                </a:schemeClr>
              </a:solidFill>
            </a:ln>
          </c:spPr>
          <c:marker>
            <c:symbol val="none"/>
          </c:marker>
          <c:cat>
            <c:strRef>
              <c:f>'Pride in being SA'!$E$39:$Q$39</c:f>
              <c:strCache>
                <c:ptCount val="13"/>
                <c:pt idx="0">
                  <c:v>2003</c:v>
                </c:pt>
                <c:pt idx="1">
                  <c:v>2004</c:v>
                </c:pt>
                <c:pt idx="2">
                  <c:v>2005</c:v>
                </c:pt>
                <c:pt idx="3">
                  <c:v>2006</c:v>
                </c:pt>
                <c:pt idx="4">
                  <c:v>2007</c:v>
                </c:pt>
                <c:pt idx="5">
                  <c:v>2008</c:v>
                </c:pt>
                <c:pt idx="6">
                  <c:v>2009</c:v>
                </c:pt>
                <c:pt idx="7">
                  <c:v>2010/11</c:v>
                </c:pt>
                <c:pt idx="8">
                  <c:v>2011/12</c:v>
                </c:pt>
                <c:pt idx="9">
                  <c:v>2012/13</c:v>
                </c:pt>
                <c:pt idx="10">
                  <c:v>2013/14</c:v>
                </c:pt>
                <c:pt idx="11">
                  <c:v>2014/15</c:v>
                </c:pt>
                <c:pt idx="12">
                  <c:v>2015/16</c:v>
                </c:pt>
              </c:strCache>
            </c:strRef>
          </c:cat>
          <c:val>
            <c:numRef>
              <c:f>'Pride in being SA'!$E$40:$Q$40</c:f>
              <c:numCache>
                <c:formatCode>General</c:formatCode>
                <c:ptCount val="13"/>
                <c:pt idx="0">
                  <c:v>84</c:v>
                </c:pt>
                <c:pt idx="1">
                  <c:v>90</c:v>
                </c:pt>
                <c:pt idx="2">
                  <c:v>90</c:v>
                </c:pt>
                <c:pt idx="3">
                  <c:v>90</c:v>
                </c:pt>
                <c:pt idx="4">
                  <c:v>78</c:v>
                </c:pt>
                <c:pt idx="5">
                  <c:v>65</c:v>
                </c:pt>
                <c:pt idx="6">
                  <c:v>75</c:v>
                </c:pt>
                <c:pt idx="7">
                  <c:v>90</c:v>
                </c:pt>
                <c:pt idx="8" formatCode="0">
                  <c:v>88.25</c:v>
                </c:pt>
                <c:pt idx="9">
                  <c:v>87</c:v>
                </c:pt>
                <c:pt idx="10" formatCode="0">
                  <c:v>88</c:v>
                </c:pt>
                <c:pt idx="11" formatCode="0">
                  <c:v>89</c:v>
                </c:pt>
                <c:pt idx="12" formatCode="0">
                  <c:v>85</c:v>
                </c:pt>
              </c:numCache>
            </c:numRef>
          </c:val>
          <c:smooth val="0"/>
          <c:extLst>
            <c:ext xmlns:c16="http://schemas.microsoft.com/office/drawing/2014/chart" uri="{C3380CC4-5D6E-409C-BE32-E72D297353CC}">
              <c16:uniqueId val="{00000000-2A63-44BC-9A7E-CA722EED0836}"/>
            </c:ext>
          </c:extLst>
        </c:ser>
        <c:dLbls>
          <c:showLegendKey val="0"/>
          <c:showVal val="0"/>
          <c:showCatName val="0"/>
          <c:showSerName val="0"/>
          <c:showPercent val="0"/>
          <c:showBubbleSize val="0"/>
        </c:dLbls>
        <c:smooth val="0"/>
        <c:axId val="407972312"/>
        <c:axId val="407973096"/>
      </c:lineChart>
      <c:catAx>
        <c:axId val="407972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07973096"/>
        <c:crosses val="autoZero"/>
        <c:auto val="0"/>
        <c:lblAlgn val="ctr"/>
        <c:lblOffset val="100"/>
        <c:tickLblSkip val="1"/>
        <c:tickMarkSkip val="1"/>
        <c:noMultiLvlLbl val="0"/>
      </c:catAx>
      <c:valAx>
        <c:axId val="407973096"/>
        <c:scaling>
          <c:orientation val="minMax"/>
          <c:max val="100"/>
          <c:min val="5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2.1052675773846442E-2"/>
              <c:y val="0.50482301793281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07972312"/>
        <c:crosses val="autoZero"/>
        <c:crossBetween val="midCat"/>
        <c:majorUnit val="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oddHeader>&amp;A</c:oddHeader>
      <c:oddFooter>Page &amp;P</c:oddFooter>
    </c:headerFooter>
    <c:pageMargins b="1" l="0.75000000000000611" r="0.75000000000000611" t="1" header="0.5" footer="0.5"/>
    <c:pageSetup paperSize="9" orientation="landscape" horizontalDpi="300" verticalDpi="30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832752006795"/>
          <c:y val="6.965174129353234E-2"/>
          <c:w val="0.83348719341116839"/>
          <c:h val="0.80643788929368898"/>
        </c:manualLayout>
      </c:layout>
      <c:lineChart>
        <c:grouping val="standard"/>
        <c:varyColors val="0"/>
        <c:ser>
          <c:idx val="0"/>
          <c:order val="0"/>
          <c:tx>
            <c:strRef>
              <c:f>'Crime Victims '!$D$8</c:f>
              <c:strCache>
                <c:ptCount val="1"/>
                <c:pt idx="0">
                  <c:v>Safe during the day</c:v>
                </c:pt>
              </c:strCache>
            </c:strRef>
          </c:tx>
          <c:spPr>
            <a:ln w="25400">
              <a:solidFill>
                <a:srgbClr val="BE4B48"/>
              </a:solidFill>
            </a:ln>
          </c:spPr>
          <c:marker>
            <c:symbol val="none"/>
          </c:marker>
          <c:cat>
            <c:strRef>
              <c:f>'Crime Victims '!$E$7:$K$7</c:f>
              <c:strCache>
                <c:ptCount val="7"/>
                <c:pt idx="0">
                  <c:v>1998</c:v>
                </c:pt>
                <c:pt idx="1">
                  <c:v>2003</c:v>
                </c:pt>
                <c:pt idx="2">
                  <c:v>2007</c:v>
                </c:pt>
                <c:pt idx="3">
                  <c:v>2011</c:v>
                </c:pt>
                <c:pt idx="4">
                  <c:v>2012</c:v>
                </c:pt>
                <c:pt idx="5">
                  <c:v>2013/14</c:v>
                </c:pt>
                <c:pt idx="6">
                  <c:v>2014/15</c:v>
                </c:pt>
              </c:strCache>
            </c:strRef>
          </c:cat>
          <c:val>
            <c:numRef>
              <c:f>'Crime Victims '!$E$8:$K$8</c:f>
              <c:numCache>
                <c:formatCode>0.0</c:formatCode>
                <c:ptCount val="7"/>
                <c:pt idx="0">
                  <c:v>85</c:v>
                </c:pt>
                <c:pt idx="1">
                  <c:v>85</c:v>
                </c:pt>
                <c:pt idx="2">
                  <c:v>76</c:v>
                </c:pt>
                <c:pt idx="3">
                  <c:v>88.2</c:v>
                </c:pt>
                <c:pt idx="4">
                  <c:v>85.7</c:v>
                </c:pt>
                <c:pt idx="5" formatCode="General">
                  <c:v>86.5</c:v>
                </c:pt>
                <c:pt idx="6" formatCode="General">
                  <c:v>85.4</c:v>
                </c:pt>
              </c:numCache>
            </c:numRef>
          </c:val>
          <c:smooth val="0"/>
          <c:extLst>
            <c:ext xmlns:c16="http://schemas.microsoft.com/office/drawing/2014/chart" uri="{C3380CC4-5D6E-409C-BE32-E72D297353CC}">
              <c16:uniqueId val="{00000000-D635-4AE8-8F2F-6D4BB706722B}"/>
            </c:ext>
          </c:extLst>
        </c:ser>
        <c:ser>
          <c:idx val="1"/>
          <c:order val="1"/>
          <c:tx>
            <c:strRef>
              <c:f>'Crime Victims '!$D$9</c:f>
              <c:strCache>
                <c:ptCount val="1"/>
                <c:pt idx="0">
                  <c:v>Safe at night</c:v>
                </c:pt>
              </c:strCache>
            </c:strRef>
          </c:tx>
          <c:spPr>
            <a:ln w="25400">
              <a:solidFill>
                <a:srgbClr val="FF6600"/>
              </a:solidFill>
            </a:ln>
          </c:spPr>
          <c:marker>
            <c:symbol val="none"/>
          </c:marker>
          <c:cat>
            <c:strRef>
              <c:f>'Crime Victims '!$E$7:$K$7</c:f>
              <c:strCache>
                <c:ptCount val="7"/>
                <c:pt idx="0">
                  <c:v>1998</c:v>
                </c:pt>
                <c:pt idx="1">
                  <c:v>2003</c:v>
                </c:pt>
                <c:pt idx="2">
                  <c:v>2007</c:v>
                </c:pt>
                <c:pt idx="3">
                  <c:v>2011</c:v>
                </c:pt>
                <c:pt idx="4">
                  <c:v>2012</c:v>
                </c:pt>
                <c:pt idx="5">
                  <c:v>2013/14</c:v>
                </c:pt>
                <c:pt idx="6">
                  <c:v>2014/15</c:v>
                </c:pt>
              </c:strCache>
            </c:strRef>
          </c:cat>
          <c:val>
            <c:numRef>
              <c:f>'Crime Victims '!$E$9:$K$9</c:f>
              <c:numCache>
                <c:formatCode>0.0</c:formatCode>
                <c:ptCount val="7"/>
                <c:pt idx="0">
                  <c:v>56</c:v>
                </c:pt>
                <c:pt idx="1">
                  <c:v>23</c:v>
                </c:pt>
                <c:pt idx="2">
                  <c:v>23</c:v>
                </c:pt>
                <c:pt idx="3">
                  <c:v>37</c:v>
                </c:pt>
                <c:pt idx="4">
                  <c:v>36.5</c:v>
                </c:pt>
                <c:pt idx="5" formatCode="General">
                  <c:v>34.799999999999997</c:v>
                </c:pt>
                <c:pt idx="6" formatCode="General">
                  <c:v>31.2</c:v>
                </c:pt>
              </c:numCache>
            </c:numRef>
          </c:val>
          <c:smooth val="0"/>
          <c:extLst>
            <c:ext xmlns:c16="http://schemas.microsoft.com/office/drawing/2014/chart" uri="{C3380CC4-5D6E-409C-BE32-E72D297353CC}">
              <c16:uniqueId val="{00000001-D635-4AE8-8F2F-6D4BB706722B}"/>
            </c:ext>
          </c:extLst>
        </c:ser>
        <c:dLbls>
          <c:showLegendKey val="0"/>
          <c:showVal val="0"/>
          <c:showCatName val="0"/>
          <c:showSerName val="0"/>
          <c:showPercent val="0"/>
          <c:showBubbleSize val="0"/>
        </c:dLbls>
        <c:smooth val="0"/>
        <c:axId val="113191168"/>
        <c:axId val="112914432"/>
      </c:lineChart>
      <c:catAx>
        <c:axId val="113191168"/>
        <c:scaling>
          <c:orientation val="minMax"/>
        </c:scaling>
        <c:delete val="0"/>
        <c:axPos val="b"/>
        <c:numFmt formatCode="General" sourceLinked="0"/>
        <c:majorTickMark val="out"/>
        <c:minorTickMark val="none"/>
        <c:tickLblPos val="nextTo"/>
        <c:crossAx val="112914432"/>
        <c:crosses val="autoZero"/>
        <c:auto val="1"/>
        <c:lblAlgn val="ctr"/>
        <c:lblOffset val="100"/>
        <c:noMultiLvlLbl val="0"/>
      </c:catAx>
      <c:valAx>
        <c:axId val="112914432"/>
        <c:scaling>
          <c:orientation val="minMax"/>
        </c:scaling>
        <c:delete val="0"/>
        <c:axPos val="l"/>
        <c:majorGridlines>
          <c:spPr>
            <a:ln>
              <a:prstDash val="sysDash"/>
            </a:ln>
          </c:spPr>
        </c:majorGridlines>
        <c:numFmt formatCode="0.0" sourceLinked="1"/>
        <c:majorTickMark val="out"/>
        <c:minorTickMark val="none"/>
        <c:tickLblPos val="nextTo"/>
        <c:crossAx val="113191168"/>
        <c:crosses val="autoZero"/>
        <c:crossBetween val="between"/>
      </c:valAx>
    </c:plotArea>
    <c:legend>
      <c:legendPos val="b"/>
      <c:layout>
        <c:manualLayout>
          <c:xMode val="edge"/>
          <c:yMode val="edge"/>
          <c:x val="0.21614208038318816"/>
          <c:y val="0.33698515297528109"/>
          <c:w val="0.70034183392858373"/>
          <c:h val="0.12570141418889802"/>
        </c:manualLayout>
      </c:layout>
      <c:overlay val="0"/>
    </c:legend>
    <c:plotVisOnly val="1"/>
    <c:dispBlanksAs val="gap"/>
    <c:showDLblsOverMax val="0"/>
  </c:chart>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Contact crime</a:t>
            </a:r>
          </a:p>
        </c:rich>
      </c:tx>
      <c:layout>
        <c:manualLayout>
          <c:xMode val="edge"/>
          <c:yMode val="edge"/>
          <c:x val="0.46300233612447755"/>
          <c:y val="3.8610038610038609E-2"/>
        </c:manualLayout>
      </c:layout>
      <c:overlay val="0"/>
      <c:spPr>
        <a:noFill/>
        <a:ln w="25400">
          <a:noFill/>
        </a:ln>
      </c:spPr>
    </c:title>
    <c:autoTitleDeleted val="0"/>
    <c:plotArea>
      <c:layout/>
      <c:lineChart>
        <c:grouping val="standard"/>
        <c:varyColors val="0"/>
        <c:ser>
          <c:idx val="0"/>
          <c:order val="0"/>
          <c:tx>
            <c:strRef>
              <c:f>'[30]Contact Crime'!$A$171</c:f>
              <c:strCache>
                <c:ptCount val="1"/>
                <c:pt idx="0">
                  <c:v>Murder</c:v>
                </c:pt>
              </c:strCache>
            </c:strRef>
          </c:tx>
          <c:spPr>
            <a:ln w="25400">
              <a:solidFill>
                <a:srgbClr val="000080"/>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Crime'!$B$171:$N$171</c:f>
              <c:numCache>
                <c:formatCode>General</c:formatCode>
                <c:ptCount val="13"/>
                <c:pt idx="0">
                  <c:v>100</c:v>
                </c:pt>
                <c:pt idx="1">
                  <c:v>101.48809863178425</c:v>
                </c:pt>
                <c:pt idx="2">
                  <c:v>93.792224016122006</c:v>
                </c:pt>
                <c:pt idx="3">
                  <c:v>88.88863667337769</c:v>
                </c:pt>
                <c:pt idx="4">
                  <c:v>89.425679533944773</c:v>
                </c:pt>
                <c:pt idx="5">
                  <c:v>78.461546575609759</c:v>
                </c:pt>
                <c:pt idx="6">
                  <c:v>74.433399137940413</c:v>
                </c:pt>
                <c:pt idx="7">
                  <c:v>71.372958646877066</c:v>
                </c:pt>
                <c:pt idx="8">
                  <c:v>70.865078875843395</c:v>
                </c:pt>
                <c:pt idx="9">
                  <c:v>63.87080275468464</c:v>
                </c:pt>
                <c:pt idx="10">
                  <c:v>60.227275178124387</c:v>
                </c:pt>
                <c:pt idx="11">
                  <c:v>59.031696514538801</c:v>
                </c:pt>
                <c:pt idx="12">
                  <c:v>58.1661271719314</c:v>
                </c:pt>
              </c:numCache>
            </c:numRef>
          </c:val>
          <c:smooth val="0"/>
          <c:extLst>
            <c:ext xmlns:c16="http://schemas.microsoft.com/office/drawing/2014/chart" uri="{C3380CC4-5D6E-409C-BE32-E72D297353CC}">
              <c16:uniqueId val="{00000000-7DA3-4180-B737-4B8BB4301796}"/>
            </c:ext>
          </c:extLst>
        </c:ser>
        <c:ser>
          <c:idx val="1"/>
          <c:order val="1"/>
          <c:tx>
            <c:strRef>
              <c:f>'[30]Contact Crime'!$A$172</c:f>
              <c:strCache>
                <c:ptCount val="1"/>
                <c:pt idx="0">
                  <c:v>Attempted Murder</c:v>
                </c:pt>
              </c:strCache>
            </c:strRef>
          </c:tx>
          <c:spPr>
            <a:ln w="25400">
              <a:solidFill>
                <a:srgbClr val="FF00FF"/>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Crime'!$B$172:$N$172</c:f>
              <c:numCache>
                <c:formatCode>General</c:formatCode>
                <c:ptCount val="13"/>
                <c:pt idx="0">
                  <c:v>100</c:v>
                </c:pt>
                <c:pt idx="1">
                  <c:v>98.300396799455157</c:v>
                </c:pt>
                <c:pt idx="2">
                  <c:v>101.92850161180844</c:v>
                </c:pt>
                <c:pt idx="3">
                  <c:v>98.965988480689745</c:v>
                </c:pt>
                <c:pt idx="4">
                  <c:v>101.85020728590619</c:v>
                </c:pt>
                <c:pt idx="5">
                  <c:v>94.744379636660454</c:v>
                </c:pt>
                <c:pt idx="6">
                  <c:v>93.206037906338395</c:v>
                </c:pt>
                <c:pt idx="7">
                  <c:v>101.06993390949953</c:v>
                </c:pt>
                <c:pt idx="8">
                  <c:v>114.20976962200314</c:v>
                </c:pt>
                <c:pt idx="9">
                  <c:v>93.861496756907187</c:v>
                </c:pt>
                <c:pt idx="10">
                  <c:v>76.143042602402446</c:v>
                </c:pt>
                <c:pt idx="11">
                  <c:v>63.549041259419525</c:v>
                </c:pt>
                <c:pt idx="12">
                  <c:v>64.647797291263586</c:v>
                </c:pt>
              </c:numCache>
            </c:numRef>
          </c:val>
          <c:smooth val="0"/>
          <c:extLst>
            <c:ext xmlns:c16="http://schemas.microsoft.com/office/drawing/2014/chart" uri="{C3380CC4-5D6E-409C-BE32-E72D297353CC}">
              <c16:uniqueId val="{00000001-7DA3-4180-B737-4B8BB4301796}"/>
            </c:ext>
          </c:extLst>
        </c:ser>
        <c:ser>
          <c:idx val="2"/>
          <c:order val="2"/>
          <c:tx>
            <c:strRef>
              <c:f>'[30]Contact Crime'!$A$173</c:f>
              <c:strCache>
                <c:ptCount val="1"/>
                <c:pt idx="0">
                  <c:v>Common Assault</c:v>
                </c:pt>
              </c:strCache>
            </c:strRef>
          </c:tx>
          <c:spPr>
            <a:ln w="25400">
              <a:solidFill>
                <a:srgbClr val="FFFF00"/>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Crime'!$B$173:$N$173</c:f>
              <c:numCache>
                <c:formatCode>General</c:formatCode>
                <c:ptCount val="13"/>
                <c:pt idx="0">
                  <c:v>100</c:v>
                </c:pt>
                <c:pt idx="1">
                  <c:v>100.86356963047767</c:v>
                </c:pt>
                <c:pt idx="2">
                  <c:v>96.940056766335076</c:v>
                </c:pt>
                <c:pt idx="3">
                  <c:v>94.760859194917018</c:v>
                </c:pt>
                <c:pt idx="4">
                  <c:v>93.990913545732539</c:v>
                </c:pt>
                <c:pt idx="5">
                  <c:v>104.42984058536841</c:v>
                </c:pt>
                <c:pt idx="6">
                  <c:v>110.38945943236611</c:v>
                </c:pt>
                <c:pt idx="7">
                  <c:v>113.22723186957828</c:v>
                </c:pt>
                <c:pt idx="8">
                  <c:v>120.44897440470879</c:v>
                </c:pt>
                <c:pt idx="9">
                  <c:v>117.36751111526502</c:v>
                </c:pt>
                <c:pt idx="10">
                  <c:v>111.42333506452</c:v>
                </c:pt>
                <c:pt idx="11">
                  <c:v>94.04129479445487</c:v>
                </c:pt>
                <c:pt idx="12">
                  <c:v>93.236135840703653</c:v>
                </c:pt>
              </c:numCache>
            </c:numRef>
          </c:val>
          <c:smooth val="0"/>
          <c:extLst>
            <c:ext xmlns:c16="http://schemas.microsoft.com/office/drawing/2014/chart" uri="{C3380CC4-5D6E-409C-BE32-E72D297353CC}">
              <c16:uniqueId val="{00000002-7DA3-4180-B737-4B8BB4301796}"/>
            </c:ext>
          </c:extLst>
        </c:ser>
        <c:ser>
          <c:idx val="3"/>
          <c:order val="3"/>
          <c:tx>
            <c:strRef>
              <c:f>'[30]Contact Crime'!$A$174</c:f>
              <c:strCache>
                <c:ptCount val="1"/>
                <c:pt idx="0">
                  <c:v>Assault GBH</c:v>
                </c:pt>
              </c:strCache>
            </c:strRef>
          </c:tx>
          <c:spPr>
            <a:ln w="25400">
              <a:solidFill>
                <a:srgbClr val="00FFFF"/>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Crime'!$B$174:$N$174</c:f>
              <c:numCache>
                <c:formatCode>General</c:formatCode>
                <c:ptCount val="13"/>
                <c:pt idx="0">
                  <c:v>100</c:v>
                </c:pt>
                <c:pt idx="1">
                  <c:v>101.42023909693563</c:v>
                </c:pt>
                <c:pt idx="2">
                  <c:v>102.63130030166299</c:v>
                </c:pt>
                <c:pt idx="3">
                  <c:v>102.62619076688368</c:v>
                </c:pt>
                <c:pt idx="4">
                  <c:v>101.89735397608868</c:v>
                </c:pt>
                <c:pt idx="5">
                  <c:v>109.40682585435466</c:v>
                </c:pt>
                <c:pt idx="6">
                  <c:v>113.37944140371015</c:v>
                </c:pt>
                <c:pt idx="7">
                  <c:v>105.98361038677584</c:v>
                </c:pt>
                <c:pt idx="8">
                  <c:v>105.42085488670978</c:v>
                </c:pt>
                <c:pt idx="9">
                  <c:v>100.88299258504389</c:v>
                </c:pt>
                <c:pt idx="10">
                  <c:v>96.312351683814683</c:v>
                </c:pt>
                <c:pt idx="11">
                  <c:v>87.082343013200656</c:v>
                </c:pt>
                <c:pt idx="12">
                  <c:v>85.862884754165208</c:v>
                </c:pt>
              </c:numCache>
            </c:numRef>
          </c:val>
          <c:smooth val="0"/>
          <c:extLst>
            <c:ext xmlns:c16="http://schemas.microsoft.com/office/drawing/2014/chart" uri="{C3380CC4-5D6E-409C-BE32-E72D297353CC}">
              <c16:uniqueId val="{00000003-7DA3-4180-B737-4B8BB4301796}"/>
            </c:ext>
          </c:extLst>
        </c:ser>
        <c:ser>
          <c:idx val="4"/>
          <c:order val="4"/>
          <c:tx>
            <c:strRef>
              <c:f>'[30]Contact Crime'!$A$175</c:f>
              <c:strCache>
                <c:ptCount val="1"/>
                <c:pt idx="0">
                  <c:v>Rape</c:v>
                </c:pt>
              </c:strCache>
            </c:strRef>
          </c:tx>
          <c:spPr>
            <a:ln w="25400">
              <a:solidFill>
                <a:srgbClr val="800080"/>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Crime'!$B$175:$N$175</c:f>
              <c:numCache>
                <c:formatCode>General</c:formatCode>
                <c:ptCount val="13"/>
                <c:pt idx="0">
                  <c:v>100</c:v>
                </c:pt>
                <c:pt idx="1">
                  <c:v>109.13463626136526</c:v>
                </c:pt>
                <c:pt idx="2">
                  <c:v>109.89608362935093</c:v>
                </c:pt>
                <c:pt idx="3">
                  <c:v>109.43966794611318</c:v>
                </c:pt>
                <c:pt idx="4">
                  <c:v>102.58409629960279</c:v>
                </c:pt>
                <c:pt idx="5">
                  <c:v>106.521905451002</c:v>
                </c:pt>
                <c:pt idx="6">
                  <c:v>104.94462529245878</c:v>
                </c:pt>
                <c:pt idx="7">
                  <c:v>105.03834975306225</c:v>
                </c:pt>
                <c:pt idx="8">
                  <c:v>100.01118371738772</c:v>
                </c:pt>
                <c:pt idx="9">
                  <c:v>98.577805820101432</c:v>
                </c:pt>
                <c:pt idx="10">
                  <c:v>102.57900829031755</c:v>
                </c:pt>
                <c:pt idx="11">
                  <c:v>101.5384773524614</c:v>
                </c:pt>
                <c:pt idx="12">
                  <c:v>93.039644269568171</c:v>
                </c:pt>
              </c:numCache>
            </c:numRef>
          </c:val>
          <c:smooth val="0"/>
          <c:extLst>
            <c:ext xmlns:c16="http://schemas.microsoft.com/office/drawing/2014/chart" uri="{C3380CC4-5D6E-409C-BE32-E72D297353CC}">
              <c16:uniqueId val="{00000004-7DA3-4180-B737-4B8BB4301796}"/>
            </c:ext>
          </c:extLst>
        </c:ser>
        <c:ser>
          <c:idx val="5"/>
          <c:order val="5"/>
          <c:tx>
            <c:strRef>
              <c:f>'[30]Contact Crime'!$A$176</c:f>
              <c:strCache>
                <c:ptCount val="1"/>
                <c:pt idx="0">
                  <c:v>Aggravated Robbery</c:v>
                </c:pt>
              </c:strCache>
            </c:strRef>
          </c:tx>
          <c:spPr>
            <a:ln w="25400">
              <a:solidFill>
                <a:srgbClr val="800000"/>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Crime'!$B$176:$N$176</c:f>
              <c:numCache>
                <c:formatCode>General</c:formatCode>
                <c:ptCount val="13"/>
                <c:pt idx="0">
                  <c:v>100</c:v>
                </c:pt>
                <c:pt idx="1">
                  <c:v>89.235003265699802</c:v>
                </c:pt>
                <c:pt idx="2">
                  <c:v>74.61435352574199</c:v>
                </c:pt>
                <c:pt idx="3">
                  <c:v>81.214908237866752</c:v>
                </c:pt>
                <c:pt idx="4">
                  <c:v>100.95842708080112</c:v>
                </c:pt>
                <c:pt idx="5">
                  <c:v>105.04005802956391</c:v>
                </c:pt>
                <c:pt idx="6">
                  <c:v>119.13510643002132</c:v>
                </c:pt>
                <c:pt idx="7">
                  <c:v>119.20448020355859</c:v>
                </c:pt>
                <c:pt idx="8">
                  <c:v>127.78285341991094</c:v>
                </c:pt>
                <c:pt idx="9">
                  <c:v>131.8789091649472</c:v>
                </c:pt>
                <c:pt idx="10">
                  <c:v>124.57921566314796</c:v>
                </c:pt>
                <c:pt idx="11">
                  <c:v>116.84450315503922</c:v>
                </c:pt>
                <c:pt idx="12">
                  <c:v>130.94021278525798</c:v>
                </c:pt>
              </c:numCache>
            </c:numRef>
          </c:val>
          <c:smooth val="0"/>
          <c:extLst>
            <c:ext xmlns:c16="http://schemas.microsoft.com/office/drawing/2014/chart" uri="{C3380CC4-5D6E-409C-BE32-E72D297353CC}">
              <c16:uniqueId val="{00000005-7DA3-4180-B737-4B8BB4301796}"/>
            </c:ext>
          </c:extLst>
        </c:ser>
        <c:ser>
          <c:idx val="6"/>
          <c:order val="6"/>
          <c:tx>
            <c:strRef>
              <c:f>'[30]Contact Crime'!$A$177</c:f>
              <c:strCache>
                <c:ptCount val="1"/>
                <c:pt idx="0">
                  <c:v>Common Robbery</c:v>
                </c:pt>
              </c:strCache>
            </c:strRef>
          </c:tx>
          <c:spPr>
            <a:ln w="25400">
              <a:solidFill>
                <a:srgbClr val="008080"/>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Crime'!$B$177:$N$177</c:f>
              <c:numCache>
                <c:formatCode>General</c:formatCode>
                <c:ptCount val="13"/>
                <c:pt idx="0">
                  <c:v>100</c:v>
                </c:pt>
                <c:pt idx="1">
                  <c:v>137.14323363080365</c:v>
                </c:pt>
                <c:pt idx="2">
                  <c:v>148.36301853422606</c:v>
                </c:pt>
                <c:pt idx="3">
                  <c:v>158.54014668552037</c:v>
                </c:pt>
                <c:pt idx="4">
                  <c:v>183.85413131696907</c:v>
                </c:pt>
                <c:pt idx="5">
                  <c:v>206.17763770597759</c:v>
                </c:pt>
                <c:pt idx="6">
                  <c:v>245.36526242085023</c:v>
                </c:pt>
                <c:pt idx="7">
                  <c:v>239.13025278191299</c:v>
                </c:pt>
                <c:pt idx="8">
                  <c:v>265.42041125464038</c:v>
                </c:pt>
                <c:pt idx="9">
                  <c:v>244.75510917078935</c:v>
                </c:pt>
                <c:pt idx="10">
                  <c:v>231.69049879053247</c:v>
                </c:pt>
                <c:pt idx="11">
                  <c:v>189.39213080620962</c:v>
                </c:pt>
                <c:pt idx="12">
                  <c:v>138.09804960269682</c:v>
                </c:pt>
              </c:numCache>
            </c:numRef>
          </c:val>
          <c:smooth val="0"/>
          <c:extLst>
            <c:ext xmlns:c16="http://schemas.microsoft.com/office/drawing/2014/chart" uri="{C3380CC4-5D6E-409C-BE32-E72D297353CC}">
              <c16:uniqueId val="{00000006-7DA3-4180-B737-4B8BB4301796}"/>
            </c:ext>
          </c:extLst>
        </c:ser>
        <c:dLbls>
          <c:showLegendKey val="0"/>
          <c:showVal val="0"/>
          <c:showCatName val="0"/>
          <c:showSerName val="0"/>
          <c:showPercent val="0"/>
          <c:showBubbleSize val="0"/>
        </c:dLbls>
        <c:smooth val="0"/>
        <c:axId val="132276608"/>
        <c:axId val="132278144"/>
      </c:lineChart>
      <c:catAx>
        <c:axId val="132276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2278144"/>
        <c:crosses val="autoZero"/>
        <c:auto val="1"/>
        <c:lblAlgn val="ctr"/>
        <c:lblOffset val="100"/>
        <c:tickLblSkip val="1"/>
        <c:tickMarkSkip val="1"/>
        <c:noMultiLvlLbl val="0"/>
      </c:catAx>
      <c:valAx>
        <c:axId val="132278144"/>
        <c:scaling>
          <c:orientation val="minMax"/>
          <c:min val="50"/>
        </c:scaling>
        <c:delete val="0"/>
        <c:axPos val="l"/>
        <c:majorGridlines>
          <c:spPr>
            <a:ln w="12700">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2276608"/>
        <c:crosses val="autoZero"/>
        <c:crossBetween val="midCat"/>
      </c:valAx>
      <c:spPr>
        <a:solidFill>
          <a:srgbClr val="C0C0C0"/>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33" r="0.75000000000000533" t="1" header="0.5" footer="0.5"/>
    <c:pageSetup paperSize="9" orientation="landscape" horizontalDpi="-4"/>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Contact crimes per 100 000 of population</a:t>
            </a:r>
          </a:p>
        </c:rich>
      </c:tx>
      <c:overlay val="0"/>
    </c:title>
    <c:autoTitleDeleted val="0"/>
    <c:plotArea>
      <c:layout>
        <c:manualLayout>
          <c:layoutTarget val="inner"/>
          <c:xMode val="edge"/>
          <c:yMode val="edge"/>
          <c:x val="8.6111529832470168E-2"/>
          <c:y val="0.19296579491392307"/>
          <c:w val="0.90222180280492736"/>
          <c:h val="0.5817052891950204"/>
        </c:manualLayout>
      </c:layout>
      <c:lineChart>
        <c:grouping val="standard"/>
        <c:varyColors val="0"/>
        <c:ser>
          <c:idx val="0"/>
          <c:order val="0"/>
          <c:tx>
            <c:strRef>
              <c:f>'Contact crime'!$D$8</c:f>
              <c:strCache>
                <c:ptCount val="1"/>
                <c:pt idx="0">
                  <c:v>Social Contact crimes</c:v>
                </c:pt>
              </c:strCache>
            </c:strRef>
          </c:tx>
          <c:marker>
            <c:symbol val="none"/>
          </c:marker>
          <c:cat>
            <c:strRef>
              <c:f>'Contact crime'!$E$7:$X$7</c:f>
              <c:strCache>
                <c:ptCount val="20"/>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strCache>
            </c:strRef>
          </c:cat>
          <c:val>
            <c:numRef>
              <c:f>'Contact crime'!$E$8:$X$8</c:f>
              <c:numCache>
                <c:formatCode>General</c:formatCode>
                <c:ptCount val="20"/>
              </c:numCache>
            </c:numRef>
          </c:val>
          <c:smooth val="0"/>
          <c:extLst>
            <c:ext xmlns:c16="http://schemas.microsoft.com/office/drawing/2014/chart" uri="{C3380CC4-5D6E-409C-BE32-E72D297353CC}">
              <c16:uniqueId val="{00000000-2D92-423E-93BD-ED6904200EA7}"/>
            </c:ext>
          </c:extLst>
        </c:ser>
        <c:ser>
          <c:idx val="1"/>
          <c:order val="1"/>
          <c:tx>
            <c:strRef>
              <c:f>'Contact crime'!$D$9</c:f>
              <c:strCache>
                <c:ptCount val="1"/>
                <c:pt idx="0">
                  <c:v>Murder</c:v>
                </c:pt>
              </c:strCache>
            </c:strRef>
          </c:tx>
          <c:spPr>
            <a:ln>
              <a:solidFill>
                <a:srgbClr val="FF6600"/>
              </a:solidFill>
            </a:ln>
          </c:spPr>
          <c:marker>
            <c:symbol val="none"/>
          </c:marker>
          <c:cat>
            <c:strRef>
              <c:f>'Contact crime'!$E$7:$X$7</c:f>
              <c:strCache>
                <c:ptCount val="20"/>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strCache>
            </c:strRef>
          </c:cat>
          <c:val>
            <c:numRef>
              <c:f>'Contact crime'!$E$9:$X$9</c:f>
              <c:numCache>
                <c:formatCode>#\ ##0.0</c:formatCode>
                <c:ptCount val="20"/>
                <c:pt idx="0">
                  <c:v>67.90893930971751</c:v>
                </c:pt>
                <c:pt idx="1">
                  <c:v>62.759382965122363</c:v>
                </c:pt>
                <c:pt idx="2">
                  <c:v>59.478235522736107</c:v>
                </c:pt>
                <c:pt idx="3">
                  <c:v>59.837588112021344</c:v>
                </c:pt>
                <c:pt idx="4">
                  <c:v>52.501135368408086</c:v>
                </c:pt>
                <c:pt idx="5">
                  <c:v>49.805772822817829</c:v>
                </c:pt>
                <c:pt idx="6">
                  <c:v>47.757934008508478</c:v>
                </c:pt>
                <c:pt idx="7">
                  <c:v>47.418095377055813</c:v>
                </c:pt>
                <c:pt idx="8">
                  <c:v>42.73800107013161</c:v>
                </c:pt>
                <c:pt idx="9">
                  <c:v>40.299999999999997</c:v>
                </c:pt>
                <c:pt idx="10">
                  <c:v>39.6</c:v>
                </c:pt>
                <c:pt idx="11">
                  <c:v>40.5</c:v>
                </c:pt>
                <c:pt idx="12">
                  <c:v>38.6</c:v>
                </c:pt>
                <c:pt idx="13">
                  <c:v>37.299999999999997</c:v>
                </c:pt>
                <c:pt idx="14">
                  <c:v>34.1</c:v>
                </c:pt>
                <c:pt idx="15">
                  <c:v>31.9</c:v>
                </c:pt>
                <c:pt idx="16">
                  <c:v>30.9</c:v>
                </c:pt>
                <c:pt idx="17">
                  <c:v>31.1</c:v>
                </c:pt>
                <c:pt idx="18">
                  <c:v>32.200000000000003</c:v>
                </c:pt>
                <c:pt idx="19">
                  <c:v>32.971029159426344</c:v>
                </c:pt>
              </c:numCache>
            </c:numRef>
          </c:val>
          <c:smooth val="0"/>
          <c:extLst>
            <c:ext xmlns:c16="http://schemas.microsoft.com/office/drawing/2014/chart" uri="{C3380CC4-5D6E-409C-BE32-E72D297353CC}">
              <c16:uniqueId val="{00000001-2D92-423E-93BD-ED6904200EA7}"/>
            </c:ext>
          </c:extLst>
        </c:ser>
        <c:ser>
          <c:idx val="2"/>
          <c:order val="2"/>
          <c:tx>
            <c:strRef>
              <c:f>'Contact crime'!$D$10</c:f>
              <c:strCache>
                <c:ptCount val="1"/>
                <c:pt idx="0">
                  <c:v>Attempted Murder</c:v>
                </c:pt>
              </c:strCache>
            </c:strRef>
          </c:tx>
          <c:spPr>
            <a:ln>
              <a:solidFill>
                <a:srgbClr val="BE4B48"/>
              </a:solidFill>
            </a:ln>
          </c:spPr>
          <c:marker>
            <c:symbol val="none"/>
          </c:marker>
          <c:cat>
            <c:strRef>
              <c:f>'Contact crime'!$E$7:$X$7</c:f>
              <c:strCache>
                <c:ptCount val="20"/>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strCache>
            </c:strRef>
          </c:cat>
          <c:val>
            <c:numRef>
              <c:f>'Contact crime'!$E$10:$X$10</c:f>
              <c:numCache>
                <c:formatCode>#\ ##0.0</c:formatCode>
                <c:ptCount val="20"/>
                <c:pt idx="0">
                  <c:v>67.906412653494357</c:v>
                </c:pt>
                <c:pt idx="1">
                  <c:v>70.412725858317103</c:v>
                </c:pt>
                <c:pt idx="2">
                  <c:v>68.366206762534006</c:v>
                </c:pt>
                <c:pt idx="3">
                  <c:v>70.35863974090303</c:v>
                </c:pt>
                <c:pt idx="4">
                  <c:v>65.449897962589432</c:v>
                </c:pt>
                <c:pt idx="5">
                  <c:v>64.38720369336427</c:v>
                </c:pt>
                <c:pt idx="6">
                  <c:v>69.819622935213999</c:v>
                </c:pt>
                <c:pt idx="7">
                  <c:v>78.896688085955475</c:v>
                </c:pt>
                <c:pt idx="8">
                  <c:v>64.839997991589897</c:v>
                </c:pt>
                <c:pt idx="9">
                  <c:v>52.6</c:v>
                </c:pt>
                <c:pt idx="10">
                  <c:v>43.8</c:v>
                </c:pt>
                <c:pt idx="11">
                  <c:v>42.5</c:v>
                </c:pt>
                <c:pt idx="12">
                  <c:v>39.299999999999997</c:v>
                </c:pt>
                <c:pt idx="13">
                  <c:v>37.6</c:v>
                </c:pt>
                <c:pt idx="14">
                  <c:v>35.299999999999997</c:v>
                </c:pt>
                <c:pt idx="15">
                  <c:v>31</c:v>
                </c:pt>
                <c:pt idx="16">
                  <c:v>29.4</c:v>
                </c:pt>
                <c:pt idx="17">
                  <c:v>31.3</c:v>
                </c:pt>
                <c:pt idx="18">
                  <c:v>32.299999999999997</c:v>
                </c:pt>
                <c:pt idx="19">
                  <c:v>32.474750821053625</c:v>
                </c:pt>
              </c:numCache>
            </c:numRef>
          </c:val>
          <c:smooth val="0"/>
          <c:extLst>
            <c:ext xmlns:c16="http://schemas.microsoft.com/office/drawing/2014/chart" uri="{C3380CC4-5D6E-409C-BE32-E72D297353CC}">
              <c16:uniqueId val="{00000002-2D92-423E-93BD-ED6904200EA7}"/>
            </c:ext>
          </c:extLst>
        </c:ser>
        <c:ser>
          <c:idx val="3"/>
          <c:order val="3"/>
          <c:tx>
            <c:strRef>
              <c:f>'Contact crime'!$D$11</c:f>
              <c:strCache>
                <c:ptCount val="1"/>
                <c:pt idx="0">
                  <c:v>Common Assault</c:v>
                </c:pt>
              </c:strCache>
            </c:strRef>
          </c:tx>
          <c:spPr>
            <a:ln>
              <a:solidFill>
                <a:srgbClr val="FFC600"/>
              </a:solidFill>
            </a:ln>
          </c:spPr>
          <c:marker>
            <c:symbol val="none"/>
          </c:marker>
          <c:cat>
            <c:strRef>
              <c:f>'Contact crime'!$E$7:$X$7</c:f>
              <c:strCache>
                <c:ptCount val="20"/>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strCache>
            </c:strRef>
          </c:cat>
          <c:val>
            <c:numRef>
              <c:f>'Contact crime'!$E$11:$X$11</c:f>
              <c:numCache>
                <c:formatCode>#\ ##0.0</c:formatCode>
                <c:ptCount val="20"/>
                <c:pt idx="0">
                  <c:v>520.50634190712015</c:v>
                </c:pt>
                <c:pt idx="1">
                  <c:v>500.25905801837609</c:v>
                </c:pt>
                <c:pt idx="2">
                  <c:v>489.01331130975518</c:v>
                </c:pt>
                <c:pt idx="3">
                  <c:v>485.04000762049913</c:v>
                </c:pt>
                <c:pt idx="4">
                  <c:v>538.9100793098354</c:v>
                </c:pt>
                <c:pt idx="5">
                  <c:v>569.66468591929822</c:v>
                </c:pt>
                <c:pt idx="6">
                  <c:v>584.30900751003276</c:v>
                </c:pt>
                <c:pt idx="7">
                  <c:v>621.57680204602934</c:v>
                </c:pt>
                <c:pt idx="8">
                  <c:v>605.67491407611556</c:v>
                </c:pt>
                <c:pt idx="9">
                  <c:v>575</c:v>
                </c:pt>
                <c:pt idx="10">
                  <c:v>485.3</c:v>
                </c:pt>
                <c:pt idx="11">
                  <c:v>443.2</c:v>
                </c:pt>
                <c:pt idx="12">
                  <c:v>413.9</c:v>
                </c:pt>
                <c:pt idx="13">
                  <c:v>396.1</c:v>
                </c:pt>
                <c:pt idx="14">
                  <c:v>400</c:v>
                </c:pt>
                <c:pt idx="15">
                  <c:v>371.8</c:v>
                </c:pt>
                <c:pt idx="16">
                  <c:v>359.1</c:v>
                </c:pt>
                <c:pt idx="17">
                  <c:v>330.8</c:v>
                </c:pt>
                <c:pt idx="18">
                  <c:v>315.5</c:v>
                </c:pt>
                <c:pt idx="19">
                  <c:v>299.03732742707791</c:v>
                </c:pt>
              </c:numCache>
            </c:numRef>
          </c:val>
          <c:smooth val="0"/>
          <c:extLst>
            <c:ext xmlns:c16="http://schemas.microsoft.com/office/drawing/2014/chart" uri="{C3380CC4-5D6E-409C-BE32-E72D297353CC}">
              <c16:uniqueId val="{00000003-2D92-423E-93BD-ED6904200EA7}"/>
            </c:ext>
          </c:extLst>
        </c:ser>
        <c:ser>
          <c:idx val="4"/>
          <c:order val="4"/>
          <c:tx>
            <c:strRef>
              <c:f>'Contact crime'!$D$12</c:f>
              <c:strCache>
                <c:ptCount val="1"/>
                <c:pt idx="0">
                  <c:v>Assault Grievous Body Harm</c:v>
                </c:pt>
              </c:strCache>
            </c:strRef>
          </c:tx>
          <c:spPr>
            <a:ln>
              <a:solidFill>
                <a:srgbClr val="00B050"/>
              </a:solidFill>
            </a:ln>
          </c:spPr>
          <c:marker>
            <c:symbol val="none"/>
          </c:marker>
          <c:cat>
            <c:strRef>
              <c:f>'Contact crime'!$E$7:$X$7</c:f>
              <c:strCache>
                <c:ptCount val="20"/>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strCache>
            </c:strRef>
          </c:cat>
          <c:val>
            <c:numRef>
              <c:f>'Contact crime'!$E$12:$X$12</c:f>
              <c:numCache>
                <c:formatCode>#\ ##0.0</c:formatCode>
                <c:ptCount val="20"/>
                <c:pt idx="0">
                  <c:v>563.68942341704985</c:v>
                </c:pt>
                <c:pt idx="1">
                  <c:v>570.42045065869388</c:v>
                </c:pt>
                <c:pt idx="2">
                  <c:v>570.39205207928489</c:v>
                </c:pt>
                <c:pt idx="3">
                  <c:v>566.34120784911408</c:v>
                </c:pt>
                <c:pt idx="4">
                  <c:v>608.07853671875387</c:v>
                </c:pt>
                <c:pt idx="5">
                  <c:v>630.15816686371431</c:v>
                </c:pt>
                <c:pt idx="6">
                  <c:v>589.05244912190324</c:v>
                </c:pt>
                <c:pt idx="7">
                  <c:v>585.92467772063662</c:v>
                </c:pt>
                <c:pt idx="8">
                  <c:v>560.70342989921153</c:v>
                </c:pt>
                <c:pt idx="9">
                  <c:v>535.29999999999995</c:v>
                </c:pt>
                <c:pt idx="10">
                  <c:v>484</c:v>
                </c:pt>
                <c:pt idx="11">
                  <c:v>460.1</c:v>
                </c:pt>
                <c:pt idx="12">
                  <c:v>439.1</c:v>
                </c:pt>
                <c:pt idx="13">
                  <c:v>418.5</c:v>
                </c:pt>
                <c:pt idx="14">
                  <c:v>416.2</c:v>
                </c:pt>
                <c:pt idx="15">
                  <c:v>397.3</c:v>
                </c:pt>
                <c:pt idx="16">
                  <c:v>380.8</c:v>
                </c:pt>
                <c:pt idx="17">
                  <c:v>355.6</c:v>
                </c:pt>
                <c:pt idx="18">
                  <c:v>345.7</c:v>
                </c:pt>
                <c:pt idx="19">
                  <c:v>338.05443410436595</c:v>
                </c:pt>
              </c:numCache>
            </c:numRef>
          </c:val>
          <c:smooth val="0"/>
          <c:extLst>
            <c:ext xmlns:c16="http://schemas.microsoft.com/office/drawing/2014/chart" uri="{C3380CC4-5D6E-409C-BE32-E72D297353CC}">
              <c16:uniqueId val="{00000004-2D92-423E-93BD-ED6904200EA7}"/>
            </c:ext>
          </c:extLst>
        </c:ser>
        <c:ser>
          <c:idx val="5"/>
          <c:order val="5"/>
          <c:tx>
            <c:strRef>
              <c:f>'Contact crime'!$D$13</c:f>
              <c:strCache>
                <c:ptCount val="1"/>
                <c:pt idx="0">
                  <c:v>Sexual Offences</c:v>
                </c:pt>
              </c:strCache>
            </c:strRef>
          </c:tx>
          <c:spPr>
            <a:ln>
              <a:solidFill>
                <a:srgbClr val="3D96AE"/>
              </a:solidFill>
            </a:ln>
          </c:spPr>
          <c:marker>
            <c:symbol val="none"/>
          </c:marker>
          <c:cat>
            <c:strRef>
              <c:f>'Contact crime'!$E$7:$X$7</c:f>
              <c:strCache>
                <c:ptCount val="20"/>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strCache>
            </c:strRef>
          </c:cat>
          <c:val>
            <c:numRef>
              <c:f>'Contact crime'!$E$13:$X$13</c:f>
              <c:numCache>
                <c:formatCode>#\ ##0.0</c:formatCode>
                <c:ptCount val="20"/>
                <c:pt idx="8">
                  <c:v>142.5</c:v>
                </c:pt>
                <c:pt idx="9">
                  <c:v>148.4</c:v>
                </c:pt>
                <c:pt idx="10">
                  <c:v>145.19999999999999</c:v>
                </c:pt>
                <c:pt idx="11">
                  <c:v>137.6</c:v>
                </c:pt>
                <c:pt idx="12">
                  <c:v>133.4</c:v>
                </c:pt>
                <c:pt idx="13">
                  <c:v>144.80000000000001</c:v>
                </c:pt>
                <c:pt idx="14">
                  <c:v>138.5</c:v>
                </c:pt>
                <c:pt idx="15">
                  <c:v>132.4</c:v>
                </c:pt>
                <c:pt idx="16">
                  <c:v>127.5</c:v>
                </c:pt>
                <c:pt idx="17">
                  <c:v>127</c:v>
                </c:pt>
                <c:pt idx="18">
                  <c:v>118.2</c:v>
                </c:pt>
                <c:pt idx="19">
                  <c:v>99.287148016903245</c:v>
                </c:pt>
              </c:numCache>
            </c:numRef>
          </c:val>
          <c:smooth val="0"/>
          <c:extLst>
            <c:ext xmlns:c16="http://schemas.microsoft.com/office/drawing/2014/chart" uri="{C3380CC4-5D6E-409C-BE32-E72D297353CC}">
              <c16:uniqueId val="{00000005-2D92-423E-93BD-ED6904200EA7}"/>
            </c:ext>
          </c:extLst>
        </c:ser>
        <c:ser>
          <c:idx val="6"/>
          <c:order val="6"/>
          <c:tx>
            <c:strRef>
              <c:f>'Contact crime'!$D$14</c:f>
              <c:strCache>
                <c:ptCount val="1"/>
                <c:pt idx="0">
                  <c:v>Aggravated Robbery</c:v>
                </c:pt>
              </c:strCache>
            </c:strRef>
          </c:tx>
          <c:spPr>
            <a:ln>
              <a:solidFill>
                <a:srgbClr val="000AFF"/>
              </a:solidFill>
            </a:ln>
          </c:spPr>
          <c:marker>
            <c:symbol val="none"/>
          </c:marker>
          <c:cat>
            <c:strRef>
              <c:f>'Contact crime'!$E$7:$X$7</c:f>
              <c:strCache>
                <c:ptCount val="20"/>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strCache>
            </c:strRef>
          </c:cat>
          <c:val>
            <c:numRef>
              <c:f>'Contact crime'!$E$14:$X$14</c:f>
              <c:numCache>
                <c:formatCode>#\ ##0.0</c:formatCode>
                <c:ptCount val="20"/>
                <c:pt idx="0">
                  <c:v>194.97448077214614</c:v>
                </c:pt>
                <c:pt idx="1">
                  <c:v>163.02901669106365</c:v>
                </c:pt>
                <c:pt idx="2">
                  <c:v>177.45093276331133</c:v>
                </c:pt>
                <c:pt idx="3">
                  <c:v>220.58963612116594</c:v>
                </c:pt>
                <c:pt idx="4">
                  <c:v>229.50781672086839</c:v>
                </c:pt>
                <c:pt idx="5">
                  <c:v>260.30486544349441</c:v>
                </c:pt>
                <c:pt idx="6">
                  <c:v>260.45644402790214</c:v>
                </c:pt>
                <c:pt idx="7">
                  <c:v>279.19980484504561</c:v>
                </c:pt>
                <c:pt idx="8">
                  <c:v>288.14950297778705</c:v>
                </c:pt>
                <c:pt idx="9">
                  <c:v>272.2</c:v>
                </c:pt>
                <c:pt idx="10">
                  <c:v>255.3</c:v>
                </c:pt>
                <c:pt idx="11">
                  <c:v>267.10000000000002</c:v>
                </c:pt>
                <c:pt idx="12">
                  <c:v>247.3</c:v>
                </c:pt>
                <c:pt idx="13">
                  <c:v>249.3</c:v>
                </c:pt>
                <c:pt idx="14">
                  <c:v>230.6</c:v>
                </c:pt>
                <c:pt idx="15">
                  <c:v>203</c:v>
                </c:pt>
                <c:pt idx="16">
                  <c:v>200.1</c:v>
                </c:pt>
                <c:pt idx="17">
                  <c:v>202.6</c:v>
                </c:pt>
                <c:pt idx="18">
                  <c:v>225.3</c:v>
                </c:pt>
                <c:pt idx="19">
                  <c:v>238.96357528099816</c:v>
                </c:pt>
              </c:numCache>
            </c:numRef>
          </c:val>
          <c:smooth val="0"/>
          <c:extLst>
            <c:ext xmlns:c16="http://schemas.microsoft.com/office/drawing/2014/chart" uri="{C3380CC4-5D6E-409C-BE32-E72D297353CC}">
              <c16:uniqueId val="{00000006-2D92-423E-93BD-ED6904200EA7}"/>
            </c:ext>
          </c:extLst>
        </c:ser>
        <c:ser>
          <c:idx val="7"/>
          <c:order val="7"/>
          <c:tx>
            <c:strRef>
              <c:f>'Contact crime'!$D$15</c:f>
              <c:strCache>
                <c:ptCount val="1"/>
                <c:pt idx="0">
                  <c:v>Common Robbery</c:v>
                </c:pt>
              </c:strCache>
            </c:strRef>
          </c:tx>
          <c:spPr>
            <a:ln>
              <a:solidFill>
                <a:srgbClr val="F30DE3"/>
              </a:solidFill>
            </a:ln>
          </c:spPr>
          <c:marker>
            <c:symbol val="none"/>
          </c:marker>
          <c:cat>
            <c:strRef>
              <c:f>'Contact crime'!$E$7:$X$7</c:f>
              <c:strCache>
                <c:ptCount val="20"/>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strCache>
            </c:strRef>
          </c:cat>
          <c:val>
            <c:numRef>
              <c:f>'Contact crime'!$E$15:$X$15</c:f>
              <c:numCache>
                <c:formatCode>#\ ##0.0</c:formatCode>
                <c:ptCount val="20"/>
                <c:pt idx="0">
                  <c:v>115.42523624235687</c:v>
                </c:pt>
                <c:pt idx="1">
                  <c:v>124.86825642483475</c:v>
                </c:pt>
                <c:pt idx="2">
                  <c:v>133.43373493975903</c:v>
                </c:pt>
                <c:pt idx="3">
                  <c:v>154.73899790436275</c:v>
                </c:pt>
                <c:pt idx="4">
                  <c:v>173.52735465002374</c:v>
                </c:pt>
                <c:pt idx="5">
                  <c:v>206.50922856928531</c:v>
                </c:pt>
                <c:pt idx="6">
                  <c:v>201.2615948253916</c:v>
                </c:pt>
                <c:pt idx="7">
                  <c:v>223.38844477799452</c:v>
                </c:pt>
                <c:pt idx="8">
                  <c:v>205.99569916526156</c:v>
                </c:pt>
                <c:pt idx="9">
                  <c:v>195</c:v>
                </c:pt>
                <c:pt idx="10">
                  <c:v>159.4</c:v>
                </c:pt>
                <c:pt idx="11">
                  <c:v>150.1</c:v>
                </c:pt>
                <c:pt idx="12">
                  <c:v>135.80000000000001</c:v>
                </c:pt>
                <c:pt idx="13">
                  <c:v>121.7</c:v>
                </c:pt>
                <c:pt idx="14">
                  <c:v>116.7</c:v>
                </c:pt>
                <c:pt idx="15">
                  <c:v>109.8</c:v>
                </c:pt>
                <c:pt idx="16">
                  <c:v>104.7</c:v>
                </c:pt>
                <c:pt idx="17">
                  <c:v>102.4</c:v>
                </c:pt>
                <c:pt idx="18">
                  <c:v>101.7</c:v>
                </c:pt>
                <c:pt idx="19">
                  <c:v>101.71298616342661</c:v>
                </c:pt>
              </c:numCache>
            </c:numRef>
          </c:val>
          <c:smooth val="0"/>
          <c:extLst>
            <c:ext xmlns:c16="http://schemas.microsoft.com/office/drawing/2014/chart" uri="{C3380CC4-5D6E-409C-BE32-E72D297353CC}">
              <c16:uniqueId val="{00000007-2D92-423E-93BD-ED6904200EA7}"/>
            </c:ext>
          </c:extLst>
        </c:ser>
        <c:dLbls>
          <c:showLegendKey val="0"/>
          <c:showVal val="0"/>
          <c:showCatName val="0"/>
          <c:showSerName val="0"/>
          <c:showPercent val="0"/>
          <c:showBubbleSize val="0"/>
        </c:dLbls>
        <c:smooth val="0"/>
        <c:axId val="132304256"/>
        <c:axId val="130483328"/>
      </c:lineChart>
      <c:catAx>
        <c:axId val="132304256"/>
        <c:scaling>
          <c:orientation val="minMax"/>
        </c:scaling>
        <c:delete val="0"/>
        <c:axPos val="b"/>
        <c:numFmt formatCode="General" sourceLinked="0"/>
        <c:majorTickMark val="none"/>
        <c:minorTickMark val="none"/>
        <c:tickLblPos val="nextTo"/>
        <c:crossAx val="130483328"/>
        <c:crosses val="autoZero"/>
        <c:auto val="1"/>
        <c:lblAlgn val="ctr"/>
        <c:lblOffset val="100"/>
        <c:noMultiLvlLbl val="0"/>
      </c:catAx>
      <c:valAx>
        <c:axId val="130483328"/>
        <c:scaling>
          <c:orientation val="minMax"/>
        </c:scaling>
        <c:delete val="0"/>
        <c:axPos val="l"/>
        <c:majorGridlines/>
        <c:title>
          <c:tx>
            <c:rich>
              <a:bodyPr/>
              <a:lstStyle/>
              <a:p>
                <a:pPr>
                  <a:defRPr/>
                </a:pPr>
                <a:r>
                  <a:rPr lang="en-US"/>
                  <a:t>Number per 100 000 of population</a:t>
                </a:r>
              </a:p>
            </c:rich>
          </c:tx>
          <c:layout>
            <c:manualLayout>
              <c:xMode val="edge"/>
              <c:yMode val="edge"/>
              <c:x val="2.3333334725204886E-2"/>
              <c:y val="0.19296579491392307"/>
            </c:manualLayout>
          </c:layout>
          <c:overlay val="0"/>
        </c:title>
        <c:numFmt formatCode="#\,##0.0" sourceLinked="0"/>
        <c:majorTickMark val="none"/>
        <c:minorTickMark val="none"/>
        <c:tickLblPos val="nextTo"/>
        <c:crossAx val="132304256"/>
        <c:crosses val="autoZero"/>
        <c:crossBetween val="between"/>
      </c:valAx>
    </c:plotArea>
    <c:legend>
      <c:legendPos val="b"/>
      <c:overlay val="0"/>
      <c:spPr>
        <a:noFill/>
      </c:spPr>
    </c:legend>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132768407380785E-2"/>
          <c:y val="2.1594195630004847E-2"/>
          <c:w val="0.9432842986253348"/>
          <c:h val="0.63302962925812623"/>
        </c:manualLayout>
      </c:layout>
      <c:barChart>
        <c:barDir val="col"/>
        <c:grouping val="stacked"/>
        <c:varyColors val="0"/>
        <c:ser>
          <c:idx val="0"/>
          <c:order val="0"/>
          <c:tx>
            <c:strRef>
              <c:f>'Serious robberies'!$D$59</c:f>
              <c:strCache>
                <c:ptCount val="1"/>
                <c:pt idx="0">
                  <c:v>Carjacking</c:v>
                </c:pt>
              </c:strCache>
            </c:strRef>
          </c:tx>
          <c:invertIfNegative val="0"/>
          <c:cat>
            <c:multiLvlStrRef>
              <c:f>'Serious robberies'!$E$57:$O$58</c:f>
              <c:multiLvlStrCache>
                <c:ptCount val="11"/>
                <c:lvl>
                  <c:pt idx="0">
                    <c:v>2004/05</c:v>
                  </c:pt>
                  <c:pt idx="1">
                    <c:v>2005/06</c:v>
                  </c:pt>
                  <c:pt idx="2">
                    <c:v>2006/07</c:v>
                  </c:pt>
                  <c:pt idx="3">
                    <c:v>2007/08</c:v>
                  </c:pt>
                  <c:pt idx="4">
                    <c:v>2008/09</c:v>
                  </c:pt>
                  <c:pt idx="5">
                    <c:v>2009/10</c:v>
                  </c:pt>
                  <c:pt idx="6">
                    <c:v>2010/11</c:v>
                  </c:pt>
                  <c:pt idx="7">
                    <c:v>2011/12</c:v>
                  </c:pt>
                  <c:pt idx="8">
                    <c:v>2012/13</c:v>
                  </c:pt>
                  <c:pt idx="9">
                    <c:v>2013/14</c:v>
                  </c:pt>
                  <c:pt idx="10">
                    <c:v>2014/15</c:v>
                  </c:pt>
                </c:lvl>
                <c:lvl>
                  <c:pt idx="0">
                    <c:v>Selected aggravated robberies - reported cases</c:v>
                  </c:pt>
                </c:lvl>
              </c:multiLvlStrCache>
            </c:multiLvlStrRef>
          </c:cat>
          <c:val>
            <c:numRef>
              <c:f>'Serious robberies'!$E$59:$O$59</c:f>
              <c:numCache>
                <c:formatCode>0.0</c:formatCode>
                <c:ptCount val="11"/>
                <c:pt idx="0">
                  <c:v>100</c:v>
                </c:pt>
                <c:pt idx="1">
                  <c:v>103.1446035065144</c:v>
                </c:pt>
                <c:pt idx="2">
                  <c:v>109.3694708058549</c:v>
                </c:pt>
                <c:pt idx="3">
                  <c:v>114.21103426089753</c:v>
                </c:pt>
                <c:pt idx="4">
                  <c:v>119.953353707576</c:v>
                </c:pt>
                <c:pt idx="5">
                  <c:v>111.80633746179829</c:v>
                </c:pt>
                <c:pt idx="6">
                  <c:v>85.467267170661088</c:v>
                </c:pt>
                <c:pt idx="7">
                  <c:v>76.202348399549621</c:v>
                </c:pt>
                <c:pt idx="8">
                  <c:v>80.344217468232273</c:v>
                </c:pt>
                <c:pt idx="9">
                  <c:v>90.244490912015436</c:v>
                </c:pt>
                <c:pt idx="10">
                  <c:v>102.72639536754062</c:v>
                </c:pt>
              </c:numCache>
            </c:numRef>
          </c:val>
          <c:extLst>
            <c:ext xmlns:c16="http://schemas.microsoft.com/office/drawing/2014/chart" uri="{C3380CC4-5D6E-409C-BE32-E72D297353CC}">
              <c16:uniqueId val="{00000000-7CD5-4F4C-A54C-A6227E02097A}"/>
            </c:ext>
          </c:extLst>
        </c:ser>
        <c:ser>
          <c:idx val="1"/>
          <c:order val="1"/>
          <c:tx>
            <c:strRef>
              <c:f>'Serious robberies'!$D$60</c:f>
              <c:strCache>
                <c:ptCount val="1"/>
                <c:pt idx="0">
                  <c:v>Truckjacking</c:v>
                </c:pt>
              </c:strCache>
            </c:strRef>
          </c:tx>
          <c:invertIfNegative val="0"/>
          <c:cat>
            <c:multiLvlStrRef>
              <c:f>'Serious robberies'!$E$57:$O$58</c:f>
              <c:multiLvlStrCache>
                <c:ptCount val="11"/>
                <c:lvl>
                  <c:pt idx="0">
                    <c:v>2004/05</c:v>
                  </c:pt>
                  <c:pt idx="1">
                    <c:v>2005/06</c:v>
                  </c:pt>
                  <c:pt idx="2">
                    <c:v>2006/07</c:v>
                  </c:pt>
                  <c:pt idx="3">
                    <c:v>2007/08</c:v>
                  </c:pt>
                  <c:pt idx="4">
                    <c:v>2008/09</c:v>
                  </c:pt>
                  <c:pt idx="5">
                    <c:v>2009/10</c:v>
                  </c:pt>
                  <c:pt idx="6">
                    <c:v>2010/11</c:v>
                  </c:pt>
                  <c:pt idx="7">
                    <c:v>2011/12</c:v>
                  </c:pt>
                  <c:pt idx="8">
                    <c:v>2012/13</c:v>
                  </c:pt>
                  <c:pt idx="9">
                    <c:v>2013/14</c:v>
                  </c:pt>
                  <c:pt idx="10">
                    <c:v>2014/15</c:v>
                  </c:pt>
                </c:lvl>
                <c:lvl>
                  <c:pt idx="0">
                    <c:v>Selected aggravated robberies - reported cases</c:v>
                  </c:pt>
                </c:lvl>
              </c:multiLvlStrCache>
            </c:multiLvlStrRef>
          </c:cat>
          <c:val>
            <c:numRef>
              <c:f>'Serious robberies'!$E$60:$O$60</c:f>
              <c:numCache>
                <c:formatCode>0.0</c:formatCode>
                <c:ptCount val="11"/>
                <c:pt idx="0">
                  <c:v>100</c:v>
                </c:pt>
                <c:pt idx="1">
                  <c:v>89.13978494623656</c:v>
                </c:pt>
                <c:pt idx="2">
                  <c:v>95.913978494623649</c:v>
                </c:pt>
                <c:pt idx="3">
                  <c:v>133.87096774193549</c:v>
                </c:pt>
                <c:pt idx="4">
                  <c:v>154.51612903225808</c:v>
                </c:pt>
                <c:pt idx="5">
                  <c:v>151.82795698924733</c:v>
                </c:pt>
                <c:pt idx="6">
                  <c:v>107.41935483870968</c:v>
                </c:pt>
                <c:pt idx="7">
                  <c:v>88.27956989247312</c:v>
                </c:pt>
                <c:pt idx="8">
                  <c:v>101.39784946236558</c:v>
                </c:pt>
                <c:pt idx="9">
                  <c:v>106.55913978494624</c:v>
                </c:pt>
                <c:pt idx="10">
                  <c:v>137.52688172043011</c:v>
                </c:pt>
              </c:numCache>
            </c:numRef>
          </c:val>
          <c:extLst>
            <c:ext xmlns:c16="http://schemas.microsoft.com/office/drawing/2014/chart" uri="{C3380CC4-5D6E-409C-BE32-E72D297353CC}">
              <c16:uniqueId val="{00000001-7CD5-4F4C-A54C-A6227E02097A}"/>
            </c:ext>
          </c:extLst>
        </c:ser>
        <c:ser>
          <c:idx val="2"/>
          <c:order val="2"/>
          <c:tx>
            <c:strRef>
              <c:f>'Serious robberies'!$D$61</c:f>
              <c:strCache>
                <c:ptCount val="1"/>
                <c:pt idx="0">
                  <c:v>Robbery of cash in transit</c:v>
                </c:pt>
              </c:strCache>
            </c:strRef>
          </c:tx>
          <c:invertIfNegative val="0"/>
          <c:cat>
            <c:multiLvlStrRef>
              <c:f>'Serious robberies'!$E$57:$O$58</c:f>
              <c:multiLvlStrCache>
                <c:ptCount val="11"/>
                <c:lvl>
                  <c:pt idx="0">
                    <c:v>2004/05</c:v>
                  </c:pt>
                  <c:pt idx="1">
                    <c:v>2005/06</c:v>
                  </c:pt>
                  <c:pt idx="2">
                    <c:v>2006/07</c:v>
                  </c:pt>
                  <c:pt idx="3">
                    <c:v>2007/08</c:v>
                  </c:pt>
                  <c:pt idx="4">
                    <c:v>2008/09</c:v>
                  </c:pt>
                  <c:pt idx="5">
                    <c:v>2009/10</c:v>
                  </c:pt>
                  <c:pt idx="6">
                    <c:v>2010/11</c:v>
                  </c:pt>
                  <c:pt idx="7">
                    <c:v>2011/12</c:v>
                  </c:pt>
                  <c:pt idx="8">
                    <c:v>2012/13</c:v>
                  </c:pt>
                  <c:pt idx="9">
                    <c:v>2013/14</c:v>
                  </c:pt>
                  <c:pt idx="10">
                    <c:v>2014/15</c:v>
                  </c:pt>
                </c:lvl>
                <c:lvl>
                  <c:pt idx="0">
                    <c:v>Selected aggravated robberies - reported cases</c:v>
                  </c:pt>
                </c:lvl>
              </c:multiLvlStrCache>
            </c:multiLvlStrRef>
          </c:cat>
          <c:val>
            <c:numRef>
              <c:f>'Serious robberies'!$E$61:$N$61</c:f>
              <c:numCache>
                <c:formatCode>0.0</c:formatCode>
                <c:ptCount val="10"/>
                <c:pt idx="0">
                  <c:v>100</c:v>
                </c:pt>
                <c:pt idx="1">
                  <c:v>174.09090909090909</c:v>
                </c:pt>
                <c:pt idx="2">
                  <c:v>212.27272727272725</c:v>
                </c:pt>
                <c:pt idx="3">
                  <c:v>179.54545454545453</c:v>
                </c:pt>
                <c:pt idx="4">
                  <c:v>175.45454545454547</c:v>
                </c:pt>
                <c:pt idx="5">
                  <c:v>162.72727272727272</c:v>
                </c:pt>
                <c:pt idx="6">
                  <c:v>132.27272727272728</c:v>
                </c:pt>
                <c:pt idx="7">
                  <c:v>82.727272727272734</c:v>
                </c:pt>
                <c:pt idx="8">
                  <c:v>65.909090909090907</c:v>
                </c:pt>
                <c:pt idx="9">
                  <c:v>65.909090909090907</c:v>
                </c:pt>
              </c:numCache>
            </c:numRef>
          </c:val>
          <c:extLst>
            <c:ext xmlns:c16="http://schemas.microsoft.com/office/drawing/2014/chart" uri="{C3380CC4-5D6E-409C-BE32-E72D297353CC}">
              <c16:uniqueId val="{00000002-7CD5-4F4C-A54C-A6227E02097A}"/>
            </c:ext>
          </c:extLst>
        </c:ser>
        <c:ser>
          <c:idx val="3"/>
          <c:order val="3"/>
          <c:tx>
            <c:strRef>
              <c:f>'Serious robberies'!$D$62</c:f>
              <c:strCache>
                <c:ptCount val="1"/>
                <c:pt idx="0">
                  <c:v>Street and public roberies</c:v>
                </c:pt>
              </c:strCache>
            </c:strRef>
          </c:tx>
          <c:invertIfNegative val="0"/>
          <c:cat>
            <c:multiLvlStrRef>
              <c:f>'Serious robberies'!$E$57:$O$58</c:f>
              <c:multiLvlStrCache>
                <c:ptCount val="11"/>
                <c:lvl>
                  <c:pt idx="0">
                    <c:v>2004/05</c:v>
                  </c:pt>
                  <c:pt idx="1">
                    <c:v>2005/06</c:v>
                  </c:pt>
                  <c:pt idx="2">
                    <c:v>2006/07</c:v>
                  </c:pt>
                  <c:pt idx="3">
                    <c:v>2007/08</c:v>
                  </c:pt>
                  <c:pt idx="4">
                    <c:v>2008/09</c:v>
                  </c:pt>
                  <c:pt idx="5">
                    <c:v>2009/10</c:v>
                  </c:pt>
                  <c:pt idx="6">
                    <c:v>2010/11</c:v>
                  </c:pt>
                  <c:pt idx="7">
                    <c:v>2011/12</c:v>
                  </c:pt>
                  <c:pt idx="8">
                    <c:v>2012/13</c:v>
                  </c:pt>
                  <c:pt idx="9">
                    <c:v>2013/14</c:v>
                  </c:pt>
                  <c:pt idx="10">
                    <c:v>2014/15</c:v>
                  </c:pt>
                </c:lvl>
                <c:lvl>
                  <c:pt idx="0">
                    <c:v>Selected aggravated robberies - reported cases</c:v>
                  </c:pt>
                </c:lvl>
              </c:multiLvlStrCache>
            </c:multiLvlStrRef>
          </c:cat>
          <c:val>
            <c:numRef>
              <c:f>'Serious robberies'!$E$62:$O$62</c:f>
              <c:numCache>
                <c:formatCode>0.0</c:formatCode>
                <c:ptCount val="11"/>
                <c:pt idx="0">
                  <c:v>100</c:v>
                </c:pt>
                <c:pt idx="1">
                  <c:v>90.674658488988015</c:v>
                </c:pt>
                <c:pt idx="2">
                  <c:v>91.621530128639122</c:v>
                </c:pt>
                <c:pt idx="3">
                  <c:v>77.645465769246087</c:v>
                </c:pt>
                <c:pt idx="4">
                  <c:v>71.880600581464819</c:v>
                </c:pt>
                <c:pt idx="5">
                  <c:v>67.376239595364211</c:v>
                </c:pt>
                <c:pt idx="6">
                  <c:v>57.699430483093714</c:v>
                </c:pt>
                <c:pt idx="7">
                  <c:v>57.721334979489427</c:v>
                </c:pt>
                <c:pt idx="8">
                  <c:v>60.213469273965515</c:v>
                </c:pt>
                <c:pt idx="9">
                  <c:v>68.939424110876573</c:v>
                </c:pt>
              </c:numCache>
            </c:numRef>
          </c:val>
          <c:extLst>
            <c:ext xmlns:c16="http://schemas.microsoft.com/office/drawing/2014/chart" uri="{C3380CC4-5D6E-409C-BE32-E72D297353CC}">
              <c16:uniqueId val="{00000003-7CD5-4F4C-A54C-A6227E02097A}"/>
            </c:ext>
          </c:extLst>
        </c:ser>
        <c:ser>
          <c:idx val="4"/>
          <c:order val="4"/>
          <c:tx>
            <c:strRef>
              <c:f>'Serious robberies'!$D$63</c:f>
              <c:strCache>
                <c:ptCount val="1"/>
                <c:pt idx="0">
                  <c:v>Bank robbery</c:v>
                </c:pt>
              </c:strCache>
            </c:strRef>
          </c:tx>
          <c:invertIfNegative val="0"/>
          <c:cat>
            <c:multiLvlStrRef>
              <c:f>'Serious robberies'!$E$57:$O$58</c:f>
              <c:multiLvlStrCache>
                <c:ptCount val="11"/>
                <c:lvl>
                  <c:pt idx="0">
                    <c:v>2004/05</c:v>
                  </c:pt>
                  <c:pt idx="1">
                    <c:v>2005/06</c:v>
                  </c:pt>
                  <c:pt idx="2">
                    <c:v>2006/07</c:v>
                  </c:pt>
                  <c:pt idx="3">
                    <c:v>2007/08</c:v>
                  </c:pt>
                  <c:pt idx="4">
                    <c:v>2008/09</c:v>
                  </c:pt>
                  <c:pt idx="5">
                    <c:v>2009/10</c:v>
                  </c:pt>
                  <c:pt idx="6">
                    <c:v>2010/11</c:v>
                  </c:pt>
                  <c:pt idx="7">
                    <c:v>2011/12</c:v>
                  </c:pt>
                  <c:pt idx="8">
                    <c:v>2012/13</c:v>
                  </c:pt>
                  <c:pt idx="9">
                    <c:v>2013/14</c:v>
                  </c:pt>
                  <c:pt idx="10">
                    <c:v>2014/15</c:v>
                  </c:pt>
                </c:lvl>
                <c:lvl>
                  <c:pt idx="0">
                    <c:v>Selected aggravated robberies - reported cases</c:v>
                  </c:pt>
                </c:lvl>
              </c:multiLvlStrCache>
            </c:multiLvlStrRef>
          </c:cat>
          <c:val>
            <c:numRef>
              <c:f>'Serious robberies'!$E$63:$O$63</c:f>
              <c:numCache>
                <c:formatCode>0.0</c:formatCode>
                <c:ptCount val="11"/>
                <c:pt idx="0">
                  <c:v>100</c:v>
                </c:pt>
                <c:pt idx="1">
                  <c:v>101.72413793103448</c:v>
                </c:pt>
                <c:pt idx="2">
                  <c:v>222.41379310344826</c:v>
                </c:pt>
                <c:pt idx="3">
                  <c:v>248.27586206896552</c:v>
                </c:pt>
                <c:pt idx="4">
                  <c:v>175.86206896551724</c:v>
                </c:pt>
                <c:pt idx="5">
                  <c:v>160.34482758620689</c:v>
                </c:pt>
                <c:pt idx="6">
                  <c:v>67.241379310344826</c:v>
                </c:pt>
                <c:pt idx="7">
                  <c:v>60.344827586206897</c:v>
                </c:pt>
                <c:pt idx="8">
                  <c:v>12.068965517241379</c:v>
                </c:pt>
                <c:pt idx="9">
                  <c:v>36.206896551724135</c:v>
                </c:pt>
                <c:pt idx="10">
                  <c:v>29.310344827586203</c:v>
                </c:pt>
              </c:numCache>
            </c:numRef>
          </c:val>
          <c:extLst>
            <c:ext xmlns:c16="http://schemas.microsoft.com/office/drawing/2014/chart" uri="{C3380CC4-5D6E-409C-BE32-E72D297353CC}">
              <c16:uniqueId val="{00000004-7CD5-4F4C-A54C-A6227E02097A}"/>
            </c:ext>
          </c:extLst>
        </c:ser>
        <c:ser>
          <c:idx val="5"/>
          <c:order val="5"/>
          <c:tx>
            <c:strRef>
              <c:f>'Serious robberies'!$D$64</c:f>
              <c:strCache>
                <c:ptCount val="1"/>
                <c:pt idx="0">
                  <c:v>Robbery at residential premises</c:v>
                </c:pt>
              </c:strCache>
            </c:strRef>
          </c:tx>
          <c:invertIfNegative val="0"/>
          <c:cat>
            <c:multiLvlStrRef>
              <c:f>'Serious robberies'!$E$57:$O$58</c:f>
              <c:multiLvlStrCache>
                <c:ptCount val="11"/>
                <c:lvl>
                  <c:pt idx="0">
                    <c:v>2004/05</c:v>
                  </c:pt>
                  <c:pt idx="1">
                    <c:v>2005/06</c:v>
                  </c:pt>
                  <c:pt idx="2">
                    <c:v>2006/07</c:v>
                  </c:pt>
                  <c:pt idx="3">
                    <c:v>2007/08</c:v>
                  </c:pt>
                  <c:pt idx="4">
                    <c:v>2008/09</c:v>
                  </c:pt>
                  <c:pt idx="5">
                    <c:v>2009/10</c:v>
                  </c:pt>
                  <c:pt idx="6">
                    <c:v>2010/11</c:v>
                  </c:pt>
                  <c:pt idx="7">
                    <c:v>2011/12</c:v>
                  </c:pt>
                  <c:pt idx="8">
                    <c:v>2012/13</c:v>
                  </c:pt>
                  <c:pt idx="9">
                    <c:v>2013/14</c:v>
                  </c:pt>
                  <c:pt idx="10">
                    <c:v>2014/15</c:v>
                  </c:pt>
                </c:lvl>
                <c:lvl>
                  <c:pt idx="0">
                    <c:v>Selected aggravated robberies - reported cases</c:v>
                  </c:pt>
                </c:lvl>
              </c:multiLvlStrCache>
            </c:multiLvlStrRef>
          </c:cat>
          <c:val>
            <c:numRef>
              <c:f>'Serious robberies'!$E$64:$O$64</c:f>
              <c:numCache>
                <c:formatCode>0.0</c:formatCode>
                <c:ptCount val="11"/>
                <c:pt idx="0">
                  <c:v>100</c:v>
                </c:pt>
                <c:pt idx="1">
                  <c:v>108.32712171227772</c:v>
                </c:pt>
                <c:pt idx="2">
                  <c:v>135.88542221275691</c:v>
                </c:pt>
                <c:pt idx="3">
                  <c:v>154.20083058247258</c:v>
                </c:pt>
                <c:pt idx="4">
                  <c:v>196.33691832605686</c:v>
                </c:pt>
                <c:pt idx="5">
                  <c:v>200.04259397295283</c:v>
                </c:pt>
                <c:pt idx="6">
                  <c:v>179.84240230007453</c:v>
                </c:pt>
                <c:pt idx="7">
                  <c:v>178.53263763177509</c:v>
                </c:pt>
                <c:pt idx="8">
                  <c:v>191.14045362581194</c:v>
                </c:pt>
                <c:pt idx="9">
                  <c:v>205.34554360557982</c:v>
                </c:pt>
                <c:pt idx="10">
                  <c:v>215.96209136407199</c:v>
                </c:pt>
              </c:numCache>
            </c:numRef>
          </c:val>
          <c:extLst>
            <c:ext xmlns:c16="http://schemas.microsoft.com/office/drawing/2014/chart" uri="{C3380CC4-5D6E-409C-BE32-E72D297353CC}">
              <c16:uniqueId val="{00000005-7CD5-4F4C-A54C-A6227E02097A}"/>
            </c:ext>
          </c:extLst>
        </c:ser>
        <c:ser>
          <c:idx val="6"/>
          <c:order val="6"/>
          <c:tx>
            <c:strRef>
              <c:f>'Serious robberies'!$D$65</c:f>
              <c:strCache>
                <c:ptCount val="1"/>
                <c:pt idx="0">
                  <c:v>Robbery at business premises</c:v>
                </c:pt>
              </c:strCache>
            </c:strRef>
          </c:tx>
          <c:invertIfNegative val="0"/>
          <c:cat>
            <c:multiLvlStrRef>
              <c:f>'Serious robberies'!$E$57:$O$58</c:f>
              <c:multiLvlStrCache>
                <c:ptCount val="11"/>
                <c:lvl>
                  <c:pt idx="0">
                    <c:v>2004/05</c:v>
                  </c:pt>
                  <c:pt idx="1">
                    <c:v>2005/06</c:v>
                  </c:pt>
                  <c:pt idx="2">
                    <c:v>2006/07</c:v>
                  </c:pt>
                  <c:pt idx="3">
                    <c:v>2007/08</c:v>
                  </c:pt>
                  <c:pt idx="4">
                    <c:v>2008/09</c:v>
                  </c:pt>
                  <c:pt idx="5">
                    <c:v>2009/10</c:v>
                  </c:pt>
                  <c:pt idx="6">
                    <c:v>2010/11</c:v>
                  </c:pt>
                  <c:pt idx="7">
                    <c:v>2011/12</c:v>
                  </c:pt>
                  <c:pt idx="8">
                    <c:v>2012/13</c:v>
                  </c:pt>
                  <c:pt idx="9">
                    <c:v>2013/14</c:v>
                  </c:pt>
                  <c:pt idx="10">
                    <c:v>2014/15</c:v>
                  </c:pt>
                </c:lvl>
                <c:lvl>
                  <c:pt idx="0">
                    <c:v>Selected aggravated robberies - reported cases</c:v>
                  </c:pt>
                </c:lvl>
              </c:multiLvlStrCache>
            </c:multiLvlStrRef>
          </c:cat>
          <c:val>
            <c:numRef>
              <c:f>'Serious robberies'!$E$65:$O$65</c:f>
              <c:numCache>
                <c:formatCode>0.0</c:formatCode>
                <c:ptCount val="11"/>
                <c:pt idx="0">
                  <c:v>100</c:v>
                </c:pt>
                <c:pt idx="1">
                  <c:v>132.13855421686748</c:v>
                </c:pt>
                <c:pt idx="2">
                  <c:v>201.47590361445782</c:v>
                </c:pt>
                <c:pt idx="3">
                  <c:v>297.0481927710843</c:v>
                </c:pt>
                <c:pt idx="4">
                  <c:v>419.2771084337349</c:v>
                </c:pt>
                <c:pt idx="5">
                  <c:v>437.77108433734941</c:v>
                </c:pt>
                <c:pt idx="6">
                  <c:v>441.77710843373495</c:v>
                </c:pt>
                <c:pt idx="7">
                  <c:v>480.4518072289157</c:v>
                </c:pt>
                <c:pt idx="8">
                  <c:v>493.2831325301205</c:v>
                </c:pt>
                <c:pt idx="9">
                  <c:v>560.69277108433732</c:v>
                </c:pt>
                <c:pt idx="10">
                  <c:v>577.40963855421694</c:v>
                </c:pt>
              </c:numCache>
            </c:numRef>
          </c:val>
          <c:extLst>
            <c:ext xmlns:c16="http://schemas.microsoft.com/office/drawing/2014/chart" uri="{C3380CC4-5D6E-409C-BE32-E72D297353CC}">
              <c16:uniqueId val="{00000006-7CD5-4F4C-A54C-A6227E02097A}"/>
            </c:ext>
          </c:extLst>
        </c:ser>
        <c:dLbls>
          <c:showLegendKey val="0"/>
          <c:showVal val="0"/>
          <c:showCatName val="0"/>
          <c:showSerName val="0"/>
          <c:showPercent val="0"/>
          <c:showBubbleSize val="0"/>
        </c:dLbls>
        <c:gapWidth val="150"/>
        <c:overlap val="100"/>
        <c:axId val="130640896"/>
        <c:axId val="130663168"/>
      </c:barChart>
      <c:catAx>
        <c:axId val="130640896"/>
        <c:scaling>
          <c:orientation val="minMax"/>
        </c:scaling>
        <c:delete val="0"/>
        <c:axPos val="b"/>
        <c:numFmt formatCode="General" sourceLinked="0"/>
        <c:majorTickMark val="out"/>
        <c:minorTickMark val="out"/>
        <c:tickLblPos val="nextTo"/>
        <c:crossAx val="130663168"/>
        <c:crosses val="autoZero"/>
        <c:auto val="1"/>
        <c:lblAlgn val="ctr"/>
        <c:lblOffset val="100"/>
        <c:noMultiLvlLbl val="0"/>
      </c:catAx>
      <c:valAx>
        <c:axId val="130663168"/>
        <c:scaling>
          <c:orientation val="minMax"/>
        </c:scaling>
        <c:delete val="0"/>
        <c:axPos val="l"/>
        <c:majorGridlines/>
        <c:numFmt formatCode="0" sourceLinked="0"/>
        <c:majorTickMark val="out"/>
        <c:minorTickMark val="none"/>
        <c:tickLblPos val="nextTo"/>
        <c:crossAx val="130640896"/>
        <c:crosses val="autoZero"/>
        <c:crossBetween val="between"/>
      </c:valAx>
    </c:plotArea>
    <c:legend>
      <c:legendPos val="b"/>
      <c:layout>
        <c:manualLayout>
          <c:xMode val="edge"/>
          <c:yMode val="edge"/>
          <c:x val="2.2662914952224864E-2"/>
          <c:y val="0.81500729704045616"/>
          <c:w val="0.80557466755769913"/>
          <c:h val="5.1401977803955605E-2"/>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132768407380785E-2"/>
          <c:y val="2.1594195630004847E-2"/>
          <c:w val="0.9432842986253348"/>
          <c:h val="0.63302962925812623"/>
        </c:manualLayout>
      </c:layout>
      <c:lineChart>
        <c:grouping val="standard"/>
        <c:varyColors val="0"/>
        <c:ser>
          <c:idx val="0"/>
          <c:order val="0"/>
          <c:tx>
            <c:strRef>
              <c:f>'Serious robberies'!$D$59</c:f>
              <c:strCache>
                <c:ptCount val="1"/>
                <c:pt idx="0">
                  <c:v>Carjacking</c:v>
                </c:pt>
              </c:strCache>
            </c:strRef>
          </c:tx>
          <c:marker>
            <c:symbol val="none"/>
          </c:marker>
          <c:cat>
            <c:multiLvlStrRef>
              <c:f>'Serious robberies'!$E$57:$O$58</c:f>
              <c:multiLvlStrCache>
                <c:ptCount val="11"/>
                <c:lvl>
                  <c:pt idx="0">
                    <c:v>2004/05</c:v>
                  </c:pt>
                  <c:pt idx="1">
                    <c:v>2005/06</c:v>
                  </c:pt>
                  <c:pt idx="2">
                    <c:v>2006/07</c:v>
                  </c:pt>
                  <c:pt idx="3">
                    <c:v>2007/08</c:v>
                  </c:pt>
                  <c:pt idx="4">
                    <c:v>2008/09</c:v>
                  </c:pt>
                  <c:pt idx="5">
                    <c:v>2009/10</c:v>
                  </c:pt>
                  <c:pt idx="6">
                    <c:v>2010/11</c:v>
                  </c:pt>
                  <c:pt idx="7">
                    <c:v>2011/12</c:v>
                  </c:pt>
                  <c:pt idx="8">
                    <c:v>2012/13</c:v>
                  </c:pt>
                  <c:pt idx="9">
                    <c:v>2013/14</c:v>
                  </c:pt>
                  <c:pt idx="10">
                    <c:v>2014/15</c:v>
                  </c:pt>
                </c:lvl>
                <c:lvl>
                  <c:pt idx="0">
                    <c:v>Selected aggravated robberies - reported cases</c:v>
                  </c:pt>
                </c:lvl>
              </c:multiLvlStrCache>
            </c:multiLvlStrRef>
          </c:cat>
          <c:val>
            <c:numRef>
              <c:f>'Serious robberies'!$E$59:$O$59</c:f>
              <c:numCache>
                <c:formatCode>0.0</c:formatCode>
                <c:ptCount val="11"/>
                <c:pt idx="0">
                  <c:v>100</c:v>
                </c:pt>
                <c:pt idx="1">
                  <c:v>103.1446035065144</c:v>
                </c:pt>
                <c:pt idx="2">
                  <c:v>109.3694708058549</c:v>
                </c:pt>
                <c:pt idx="3">
                  <c:v>114.21103426089753</c:v>
                </c:pt>
                <c:pt idx="4">
                  <c:v>119.953353707576</c:v>
                </c:pt>
                <c:pt idx="5">
                  <c:v>111.80633746179829</c:v>
                </c:pt>
                <c:pt idx="6">
                  <c:v>85.467267170661088</c:v>
                </c:pt>
                <c:pt idx="7">
                  <c:v>76.202348399549621</c:v>
                </c:pt>
                <c:pt idx="8">
                  <c:v>80.344217468232273</c:v>
                </c:pt>
                <c:pt idx="9">
                  <c:v>90.244490912015436</c:v>
                </c:pt>
                <c:pt idx="10">
                  <c:v>102.72639536754062</c:v>
                </c:pt>
              </c:numCache>
            </c:numRef>
          </c:val>
          <c:smooth val="0"/>
          <c:extLst>
            <c:ext xmlns:c16="http://schemas.microsoft.com/office/drawing/2014/chart" uri="{C3380CC4-5D6E-409C-BE32-E72D297353CC}">
              <c16:uniqueId val="{00000000-8C3C-4D08-B88C-6C927B4BEFFD}"/>
            </c:ext>
          </c:extLst>
        </c:ser>
        <c:ser>
          <c:idx val="1"/>
          <c:order val="1"/>
          <c:tx>
            <c:strRef>
              <c:f>'Serious robberies'!$D$60</c:f>
              <c:strCache>
                <c:ptCount val="1"/>
                <c:pt idx="0">
                  <c:v>Truckjacking</c:v>
                </c:pt>
              </c:strCache>
            </c:strRef>
          </c:tx>
          <c:marker>
            <c:symbol val="none"/>
          </c:marker>
          <c:cat>
            <c:multiLvlStrRef>
              <c:f>'Serious robberies'!$E$57:$O$58</c:f>
              <c:multiLvlStrCache>
                <c:ptCount val="11"/>
                <c:lvl>
                  <c:pt idx="0">
                    <c:v>2004/05</c:v>
                  </c:pt>
                  <c:pt idx="1">
                    <c:v>2005/06</c:v>
                  </c:pt>
                  <c:pt idx="2">
                    <c:v>2006/07</c:v>
                  </c:pt>
                  <c:pt idx="3">
                    <c:v>2007/08</c:v>
                  </c:pt>
                  <c:pt idx="4">
                    <c:v>2008/09</c:v>
                  </c:pt>
                  <c:pt idx="5">
                    <c:v>2009/10</c:v>
                  </c:pt>
                  <c:pt idx="6">
                    <c:v>2010/11</c:v>
                  </c:pt>
                  <c:pt idx="7">
                    <c:v>2011/12</c:v>
                  </c:pt>
                  <c:pt idx="8">
                    <c:v>2012/13</c:v>
                  </c:pt>
                  <c:pt idx="9">
                    <c:v>2013/14</c:v>
                  </c:pt>
                  <c:pt idx="10">
                    <c:v>2014/15</c:v>
                  </c:pt>
                </c:lvl>
                <c:lvl>
                  <c:pt idx="0">
                    <c:v>Selected aggravated robberies - reported cases</c:v>
                  </c:pt>
                </c:lvl>
              </c:multiLvlStrCache>
            </c:multiLvlStrRef>
          </c:cat>
          <c:val>
            <c:numRef>
              <c:f>'Serious robberies'!$E$60:$O$60</c:f>
              <c:numCache>
                <c:formatCode>0.0</c:formatCode>
                <c:ptCount val="11"/>
                <c:pt idx="0">
                  <c:v>100</c:v>
                </c:pt>
                <c:pt idx="1">
                  <c:v>89.13978494623656</c:v>
                </c:pt>
                <c:pt idx="2">
                  <c:v>95.913978494623649</c:v>
                </c:pt>
                <c:pt idx="3">
                  <c:v>133.87096774193549</c:v>
                </c:pt>
                <c:pt idx="4">
                  <c:v>154.51612903225808</c:v>
                </c:pt>
                <c:pt idx="5">
                  <c:v>151.82795698924733</c:v>
                </c:pt>
                <c:pt idx="6">
                  <c:v>107.41935483870968</c:v>
                </c:pt>
                <c:pt idx="7">
                  <c:v>88.27956989247312</c:v>
                </c:pt>
                <c:pt idx="8">
                  <c:v>101.39784946236558</c:v>
                </c:pt>
                <c:pt idx="9">
                  <c:v>106.55913978494624</c:v>
                </c:pt>
                <c:pt idx="10">
                  <c:v>137.52688172043011</c:v>
                </c:pt>
              </c:numCache>
            </c:numRef>
          </c:val>
          <c:smooth val="0"/>
          <c:extLst>
            <c:ext xmlns:c16="http://schemas.microsoft.com/office/drawing/2014/chart" uri="{C3380CC4-5D6E-409C-BE32-E72D297353CC}">
              <c16:uniqueId val="{00000001-8C3C-4D08-B88C-6C927B4BEFFD}"/>
            </c:ext>
          </c:extLst>
        </c:ser>
        <c:ser>
          <c:idx val="2"/>
          <c:order val="2"/>
          <c:tx>
            <c:strRef>
              <c:f>'Serious robberies'!$D$61</c:f>
              <c:strCache>
                <c:ptCount val="1"/>
                <c:pt idx="0">
                  <c:v>Robbery of cash in transit</c:v>
                </c:pt>
              </c:strCache>
            </c:strRef>
          </c:tx>
          <c:marker>
            <c:symbol val="none"/>
          </c:marker>
          <c:cat>
            <c:multiLvlStrRef>
              <c:f>'Serious robberies'!$E$57:$O$58</c:f>
              <c:multiLvlStrCache>
                <c:ptCount val="11"/>
                <c:lvl>
                  <c:pt idx="0">
                    <c:v>2004/05</c:v>
                  </c:pt>
                  <c:pt idx="1">
                    <c:v>2005/06</c:v>
                  </c:pt>
                  <c:pt idx="2">
                    <c:v>2006/07</c:v>
                  </c:pt>
                  <c:pt idx="3">
                    <c:v>2007/08</c:v>
                  </c:pt>
                  <c:pt idx="4">
                    <c:v>2008/09</c:v>
                  </c:pt>
                  <c:pt idx="5">
                    <c:v>2009/10</c:v>
                  </c:pt>
                  <c:pt idx="6">
                    <c:v>2010/11</c:v>
                  </c:pt>
                  <c:pt idx="7">
                    <c:v>2011/12</c:v>
                  </c:pt>
                  <c:pt idx="8">
                    <c:v>2012/13</c:v>
                  </c:pt>
                  <c:pt idx="9">
                    <c:v>2013/14</c:v>
                  </c:pt>
                  <c:pt idx="10">
                    <c:v>2014/15</c:v>
                  </c:pt>
                </c:lvl>
                <c:lvl>
                  <c:pt idx="0">
                    <c:v>Selected aggravated robberies - reported cases</c:v>
                  </c:pt>
                </c:lvl>
              </c:multiLvlStrCache>
            </c:multiLvlStrRef>
          </c:cat>
          <c:val>
            <c:numRef>
              <c:f>'Serious robberies'!$E$61:$O$61</c:f>
              <c:numCache>
                <c:formatCode>0.0</c:formatCode>
                <c:ptCount val="11"/>
                <c:pt idx="0">
                  <c:v>100</c:v>
                </c:pt>
                <c:pt idx="1">
                  <c:v>174.09090909090909</c:v>
                </c:pt>
                <c:pt idx="2">
                  <c:v>212.27272727272725</c:v>
                </c:pt>
                <c:pt idx="3">
                  <c:v>179.54545454545453</c:v>
                </c:pt>
                <c:pt idx="4">
                  <c:v>175.45454545454547</c:v>
                </c:pt>
                <c:pt idx="5">
                  <c:v>162.72727272727272</c:v>
                </c:pt>
                <c:pt idx="6">
                  <c:v>132.27272727272728</c:v>
                </c:pt>
                <c:pt idx="7">
                  <c:v>82.727272727272734</c:v>
                </c:pt>
                <c:pt idx="8">
                  <c:v>65.909090909090907</c:v>
                </c:pt>
                <c:pt idx="9">
                  <c:v>65.909090909090907</c:v>
                </c:pt>
                <c:pt idx="10">
                  <c:v>54.090909090909086</c:v>
                </c:pt>
              </c:numCache>
            </c:numRef>
          </c:val>
          <c:smooth val="0"/>
          <c:extLst>
            <c:ext xmlns:c16="http://schemas.microsoft.com/office/drawing/2014/chart" uri="{C3380CC4-5D6E-409C-BE32-E72D297353CC}">
              <c16:uniqueId val="{00000002-8C3C-4D08-B88C-6C927B4BEFFD}"/>
            </c:ext>
          </c:extLst>
        </c:ser>
        <c:ser>
          <c:idx val="3"/>
          <c:order val="3"/>
          <c:tx>
            <c:strRef>
              <c:f>'Serious robberies'!$D$62</c:f>
              <c:strCache>
                <c:ptCount val="1"/>
                <c:pt idx="0">
                  <c:v>Street and public roberies</c:v>
                </c:pt>
              </c:strCache>
            </c:strRef>
          </c:tx>
          <c:marker>
            <c:symbol val="none"/>
          </c:marker>
          <c:cat>
            <c:multiLvlStrRef>
              <c:f>'Serious robberies'!$E$57:$O$58</c:f>
              <c:multiLvlStrCache>
                <c:ptCount val="11"/>
                <c:lvl>
                  <c:pt idx="0">
                    <c:v>2004/05</c:v>
                  </c:pt>
                  <c:pt idx="1">
                    <c:v>2005/06</c:v>
                  </c:pt>
                  <c:pt idx="2">
                    <c:v>2006/07</c:v>
                  </c:pt>
                  <c:pt idx="3">
                    <c:v>2007/08</c:v>
                  </c:pt>
                  <c:pt idx="4">
                    <c:v>2008/09</c:v>
                  </c:pt>
                  <c:pt idx="5">
                    <c:v>2009/10</c:v>
                  </c:pt>
                  <c:pt idx="6">
                    <c:v>2010/11</c:v>
                  </c:pt>
                  <c:pt idx="7">
                    <c:v>2011/12</c:v>
                  </c:pt>
                  <c:pt idx="8">
                    <c:v>2012/13</c:v>
                  </c:pt>
                  <c:pt idx="9">
                    <c:v>2013/14</c:v>
                  </c:pt>
                  <c:pt idx="10">
                    <c:v>2014/15</c:v>
                  </c:pt>
                </c:lvl>
                <c:lvl>
                  <c:pt idx="0">
                    <c:v>Selected aggravated robberies - reported cases</c:v>
                  </c:pt>
                </c:lvl>
              </c:multiLvlStrCache>
            </c:multiLvlStrRef>
          </c:cat>
          <c:val>
            <c:numRef>
              <c:f>'Serious robberies'!$E$62:$O$62</c:f>
              <c:numCache>
                <c:formatCode>0.0</c:formatCode>
                <c:ptCount val="11"/>
                <c:pt idx="0">
                  <c:v>100</c:v>
                </c:pt>
                <c:pt idx="1">
                  <c:v>90.674658488988015</c:v>
                </c:pt>
                <c:pt idx="2">
                  <c:v>91.621530128639122</c:v>
                </c:pt>
                <c:pt idx="3">
                  <c:v>77.645465769246087</c:v>
                </c:pt>
                <c:pt idx="4">
                  <c:v>71.880600581464819</c:v>
                </c:pt>
                <c:pt idx="5">
                  <c:v>67.376239595364211</c:v>
                </c:pt>
                <c:pt idx="6">
                  <c:v>57.699430483093714</c:v>
                </c:pt>
                <c:pt idx="7">
                  <c:v>57.721334979489427</c:v>
                </c:pt>
                <c:pt idx="8">
                  <c:v>60.213469273965515</c:v>
                </c:pt>
                <c:pt idx="9">
                  <c:v>68.939424110876573</c:v>
                </c:pt>
              </c:numCache>
            </c:numRef>
          </c:val>
          <c:smooth val="0"/>
          <c:extLst>
            <c:ext xmlns:c16="http://schemas.microsoft.com/office/drawing/2014/chart" uri="{C3380CC4-5D6E-409C-BE32-E72D297353CC}">
              <c16:uniqueId val="{00000003-8C3C-4D08-B88C-6C927B4BEFFD}"/>
            </c:ext>
          </c:extLst>
        </c:ser>
        <c:ser>
          <c:idx val="4"/>
          <c:order val="4"/>
          <c:tx>
            <c:strRef>
              <c:f>'Serious robberies'!$D$63</c:f>
              <c:strCache>
                <c:ptCount val="1"/>
                <c:pt idx="0">
                  <c:v>Bank robbery</c:v>
                </c:pt>
              </c:strCache>
            </c:strRef>
          </c:tx>
          <c:marker>
            <c:symbol val="none"/>
          </c:marker>
          <c:cat>
            <c:multiLvlStrRef>
              <c:f>'Serious robberies'!$E$57:$O$58</c:f>
              <c:multiLvlStrCache>
                <c:ptCount val="11"/>
                <c:lvl>
                  <c:pt idx="0">
                    <c:v>2004/05</c:v>
                  </c:pt>
                  <c:pt idx="1">
                    <c:v>2005/06</c:v>
                  </c:pt>
                  <c:pt idx="2">
                    <c:v>2006/07</c:v>
                  </c:pt>
                  <c:pt idx="3">
                    <c:v>2007/08</c:v>
                  </c:pt>
                  <c:pt idx="4">
                    <c:v>2008/09</c:v>
                  </c:pt>
                  <c:pt idx="5">
                    <c:v>2009/10</c:v>
                  </c:pt>
                  <c:pt idx="6">
                    <c:v>2010/11</c:v>
                  </c:pt>
                  <c:pt idx="7">
                    <c:v>2011/12</c:v>
                  </c:pt>
                  <c:pt idx="8">
                    <c:v>2012/13</c:v>
                  </c:pt>
                  <c:pt idx="9">
                    <c:v>2013/14</c:v>
                  </c:pt>
                  <c:pt idx="10">
                    <c:v>2014/15</c:v>
                  </c:pt>
                </c:lvl>
                <c:lvl>
                  <c:pt idx="0">
                    <c:v>Selected aggravated robberies - reported cases</c:v>
                  </c:pt>
                </c:lvl>
              </c:multiLvlStrCache>
            </c:multiLvlStrRef>
          </c:cat>
          <c:val>
            <c:numRef>
              <c:f>'Serious robberies'!$E$63:$O$63</c:f>
              <c:numCache>
                <c:formatCode>0.0</c:formatCode>
                <c:ptCount val="11"/>
                <c:pt idx="0">
                  <c:v>100</c:v>
                </c:pt>
                <c:pt idx="1">
                  <c:v>101.72413793103448</c:v>
                </c:pt>
                <c:pt idx="2">
                  <c:v>222.41379310344826</c:v>
                </c:pt>
                <c:pt idx="3">
                  <c:v>248.27586206896552</c:v>
                </c:pt>
                <c:pt idx="4">
                  <c:v>175.86206896551724</c:v>
                </c:pt>
                <c:pt idx="5">
                  <c:v>160.34482758620689</c:v>
                </c:pt>
                <c:pt idx="6">
                  <c:v>67.241379310344826</c:v>
                </c:pt>
                <c:pt idx="7">
                  <c:v>60.344827586206897</c:v>
                </c:pt>
                <c:pt idx="8">
                  <c:v>12.068965517241379</c:v>
                </c:pt>
                <c:pt idx="9">
                  <c:v>36.206896551724135</c:v>
                </c:pt>
                <c:pt idx="10">
                  <c:v>29.310344827586203</c:v>
                </c:pt>
              </c:numCache>
            </c:numRef>
          </c:val>
          <c:smooth val="0"/>
          <c:extLst>
            <c:ext xmlns:c16="http://schemas.microsoft.com/office/drawing/2014/chart" uri="{C3380CC4-5D6E-409C-BE32-E72D297353CC}">
              <c16:uniqueId val="{00000004-8C3C-4D08-B88C-6C927B4BEFFD}"/>
            </c:ext>
          </c:extLst>
        </c:ser>
        <c:ser>
          <c:idx val="5"/>
          <c:order val="5"/>
          <c:tx>
            <c:strRef>
              <c:f>'Serious robberies'!$D$64</c:f>
              <c:strCache>
                <c:ptCount val="1"/>
                <c:pt idx="0">
                  <c:v>Robbery at residential premises</c:v>
                </c:pt>
              </c:strCache>
            </c:strRef>
          </c:tx>
          <c:marker>
            <c:symbol val="none"/>
          </c:marker>
          <c:cat>
            <c:multiLvlStrRef>
              <c:f>'Serious robberies'!$E$57:$O$58</c:f>
              <c:multiLvlStrCache>
                <c:ptCount val="11"/>
                <c:lvl>
                  <c:pt idx="0">
                    <c:v>2004/05</c:v>
                  </c:pt>
                  <c:pt idx="1">
                    <c:v>2005/06</c:v>
                  </c:pt>
                  <c:pt idx="2">
                    <c:v>2006/07</c:v>
                  </c:pt>
                  <c:pt idx="3">
                    <c:v>2007/08</c:v>
                  </c:pt>
                  <c:pt idx="4">
                    <c:v>2008/09</c:v>
                  </c:pt>
                  <c:pt idx="5">
                    <c:v>2009/10</c:v>
                  </c:pt>
                  <c:pt idx="6">
                    <c:v>2010/11</c:v>
                  </c:pt>
                  <c:pt idx="7">
                    <c:v>2011/12</c:v>
                  </c:pt>
                  <c:pt idx="8">
                    <c:v>2012/13</c:v>
                  </c:pt>
                  <c:pt idx="9">
                    <c:v>2013/14</c:v>
                  </c:pt>
                  <c:pt idx="10">
                    <c:v>2014/15</c:v>
                  </c:pt>
                </c:lvl>
                <c:lvl>
                  <c:pt idx="0">
                    <c:v>Selected aggravated robberies - reported cases</c:v>
                  </c:pt>
                </c:lvl>
              </c:multiLvlStrCache>
            </c:multiLvlStrRef>
          </c:cat>
          <c:val>
            <c:numRef>
              <c:f>'Serious robberies'!$E$64:$O$64</c:f>
              <c:numCache>
                <c:formatCode>0.0</c:formatCode>
                <c:ptCount val="11"/>
                <c:pt idx="0">
                  <c:v>100</c:v>
                </c:pt>
                <c:pt idx="1">
                  <c:v>108.32712171227772</c:v>
                </c:pt>
                <c:pt idx="2">
                  <c:v>135.88542221275691</c:v>
                </c:pt>
                <c:pt idx="3">
                  <c:v>154.20083058247258</c:v>
                </c:pt>
                <c:pt idx="4">
                  <c:v>196.33691832605686</c:v>
                </c:pt>
                <c:pt idx="5">
                  <c:v>200.04259397295283</c:v>
                </c:pt>
                <c:pt idx="6">
                  <c:v>179.84240230007453</c:v>
                </c:pt>
                <c:pt idx="7">
                  <c:v>178.53263763177509</c:v>
                </c:pt>
                <c:pt idx="8">
                  <c:v>191.14045362581194</c:v>
                </c:pt>
                <c:pt idx="9">
                  <c:v>205.34554360557982</c:v>
                </c:pt>
                <c:pt idx="10">
                  <c:v>215.96209136407199</c:v>
                </c:pt>
              </c:numCache>
            </c:numRef>
          </c:val>
          <c:smooth val="0"/>
          <c:extLst>
            <c:ext xmlns:c16="http://schemas.microsoft.com/office/drawing/2014/chart" uri="{C3380CC4-5D6E-409C-BE32-E72D297353CC}">
              <c16:uniqueId val="{00000005-8C3C-4D08-B88C-6C927B4BEFFD}"/>
            </c:ext>
          </c:extLst>
        </c:ser>
        <c:ser>
          <c:idx val="6"/>
          <c:order val="6"/>
          <c:tx>
            <c:strRef>
              <c:f>'Serious robberies'!$D$65</c:f>
              <c:strCache>
                <c:ptCount val="1"/>
                <c:pt idx="0">
                  <c:v>Robbery at business premises</c:v>
                </c:pt>
              </c:strCache>
            </c:strRef>
          </c:tx>
          <c:marker>
            <c:symbol val="none"/>
          </c:marker>
          <c:cat>
            <c:multiLvlStrRef>
              <c:f>'Serious robberies'!$E$57:$O$58</c:f>
              <c:multiLvlStrCache>
                <c:ptCount val="11"/>
                <c:lvl>
                  <c:pt idx="0">
                    <c:v>2004/05</c:v>
                  </c:pt>
                  <c:pt idx="1">
                    <c:v>2005/06</c:v>
                  </c:pt>
                  <c:pt idx="2">
                    <c:v>2006/07</c:v>
                  </c:pt>
                  <c:pt idx="3">
                    <c:v>2007/08</c:v>
                  </c:pt>
                  <c:pt idx="4">
                    <c:v>2008/09</c:v>
                  </c:pt>
                  <c:pt idx="5">
                    <c:v>2009/10</c:v>
                  </c:pt>
                  <c:pt idx="6">
                    <c:v>2010/11</c:v>
                  </c:pt>
                  <c:pt idx="7">
                    <c:v>2011/12</c:v>
                  </c:pt>
                  <c:pt idx="8">
                    <c:v>2012/13</c:v>
                  </c:pt>
                  <c:pt idx="9">
                    <c:v>2013/14</c:v>
                  </c:pt>
                  <c:pt idx="10">
                    <c:v>2014/15</c:v>
                  </c:pt>
                </c:lvl>
                <c:lvl>
                  <c:pt idx="0">
                    <c:v>Selected aggravated robberies - reported cases</c:v>
                  </c:pt>
                </c:lvl>
              </c:multiLvlStrCache>
            </c:multiLvlStrRef>
          </c:cat>
          <c:val>
            <c:numRef>
              <c:f>'Serious robberies'!$E$65:$O$65</c:f>
              <c:numCache>
                <c:formatCode>0.0</c:formatCode>
                <c:ptCount val="11"/>
                <c:pt idx="0">
                  <c:v>100</c:v>
                </c:pt>
                <c:pt idx="1">
                  <c:v>132.13855421686748</c:v>
                </c:pt>
                <c:pt idx="2">
                  <c:v>201.47590361445782</c:v>
                </c:pt>
                <c:pt idx="3">
                  <c:v>297.0481927710843</c:v>
                </c:pt>
                <c:pt idx="4">
                  <c:v>419.2771084337349</c:v>
                </c:pt>
                <c:pt idx="5">
                  <c:v>437.77108433734941</c:v>
                </c:pt>
                <c:pt idx="6">
                  <c:v>441.77710843373495</c:v>
                </c:pt>
                <c:pt idx="7">
                  <c:v>480.4518072289157</c:v>
                </c:pt>
                <c:pt idx="8">
                  <c:v>493.2831325301205</c:v>
                </c:pt>
                <c:pt idx="9">
                  <c:v>560.69277108433732</c:v>
                </c:pt>
                <c:pt idx="10">
                  <c:v>577.40963855421694</c:v>
                </c:pt>
              </c:numCache>
            </c:numRef>
          </c:val>
          <c:smooth val="0"/>
          <c:extLst>
            <c:ext xmlns:c16="http://schemas.microsoft.com/office/drawing/2014/chart" uri="{C3380CC4-5D6E-409C-BE32-E72D297353CC}">
              <c16:uniqueId val="{00000006-8C3C-4D08-B88C-6C927B4BEFFD}"/>
            </c:ext>
          </c:extLst>
        </c:ser>
        <c:dLbls>
          <c:showLegendKey val="0"/>
          <c:showVal val="0"/>
          <c:showCatName val="0"/>
          <c:showSerName val="0"/>
          <c:showPercent val="0"/>
          <c:showBubbleSize val="0"/>
        </c:dLbls>
        <c:smooth val="0"/>
        <c:axId val="132451712"/>
        <c:axId val="132457600"/>
      </c:lineChart>
      <c:catAx>
        <c:axId val="132451712"/>
        <c:scaling>
          <c:orientation val="minMax"/>
        </c:scaling>
        <c:delete val="0"/>
        <c:axPos val="b"/>
        <c:numFmt formatCode="General" sourceLinked="0"/>
        <c:majorTickMark val="out"/>
        <c:minorTickMark val="out"/>
        <c:tickLblPos val="nextTo"/>
        <c:crossAx val="132457600"/>
        <c:crosses val="autoZero"/>
        <c:auto val="1"/>
        <c:lblAlgn val="ctr"/>
        <c:lblOffset val="100"/>
        <c:noMultiLvlLbl val="0"/>
      </c:catAx>
      <c:valAx>
        <c:axId val="132457600"/>
        <c:scaling>
          <c:orientation val="minMax"/>
        </c:scaling>
        <c:delete val="0"/>
        <c:axPos val="l"/>
        <c:majorGridlines>
          <c:spPr>
            <a:ln w="3175">
              <a:prstDash val="sysDash"/>
            </a:ln>
          </c:spPr>
        </c:majorGridlines>
        <c:numFmt formatCode="0.0" sourceLinked="1"/>
        <c:majorTickMark val="out"/>
        <c:minorTickMark val="none"/>
        <c:tickLblPos val="nextTo"/>
        <c:crossAx val="132451712"/>
        <c:crosses val="autoZero"/>
        <c:crossBetween val="between"/>
      </c:valAx>
    </c:plotArea>
    <c:legend>
      <c:legendPos val="b"/>
      <c:layout>
        <c:manualLayout>
          <c:xMode val="edge"/>
          <c:yMode val="edge"/>
          <c:x val="2.2662914952224864E-2"/>
          <c:y val="0.81500729704045616"/>
          <c:w val="0.89999994692271146"/>
          <c:h val="7.4077176523147367E-2"/>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BUDGET SURPLUS OR DEFICIT BEFORE BORROWING AS A PERCENTAGE OF GDP</a:t>
            </a:r>
          </a:p>
        </c:rich>
      </c:tx>
      <c:layout>
        <c:manualLayout>
          <c:xMode val="edge"/>
          <c:yMode val="edge"/>
          <c:x val="4.8215959358378158E-3"/>
          <c:y val="3.4161455411741079E-2"/>
        </c:manualLayout>
      </c:layout>
      <c:overlay val="0"/>
      <c:spPr>
        <a:noFill/>
        <a:ln w="25400">
          <a:noFill/>
        </a:ln>
      </c:spPr>
    </c:title>
    <c:autoTitleDeleted val="0"/>
    <c:plotArea>
      <c:layout>
        <c:manualLayout>
          <c:layoutTarget val="inner"/>
          <c:xMode val="edge"/>
          <c:yMode val="edge"/>
          <c:x val="6.3645130183220835E-2"/>
          <c:y val="0.18633568628640537"/>
          <c:w val="0.92285438765670202"/>
          <c:h val="0.68633644448825148"/>
        </c:manualLayout>
      </c:layout>
      <c:lineChart>
        <c:grouping val="standard"/>
        <c:varyColors val="0"/>
        <c:ser>
          <c:idx val="0"/>
          <c:order val="0"/>
          <c:tx>
            <c:strRef>
              <c:f>'B deficit '!$D$9</c:f>
              <c:strCache>
                <c:ptCount val="1"/>
                <c:pt idx="0">
                  <c:v>Budget Deficit</c:v>
                </c:pt>
              </c:strCache>
            </c:strRef>
          </c:tx>
          <c:spPr>
            <a:ln w="25400">
              <a:solidFill>
                <a:srgbClr val="FF6600"/>
              </a:solidFill>
              <a:prstDash val="solid"/>
            </a:ln>
          </c:spPr>
          <c:marker>
            <c:symbol val="none"/>
          </c:marker>
          <c:cat>
            <c:strRef>
              <c:f>'B deficit '!$F$8:$AA$8</c:f>
              <c:strCache>
                <c:ptCount val="22"/>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strCache>
            </c:strRef>
          </c:cat>
          <c:val>
            <c:numRef>
              <c:f>'B deficit '!$F$9:$AA$9</c:f>
              <c:numCache>
                <c:formatCode>General</c:formatCode>
                <c:ptCount val="22"/>
                <c:pt idx="0">
                  <c:v>-5.4</c:v>
                </c:pt>
                <c:pt idx="1">
                  <c:v>-4.5</c:v>
                </c:pt>
                <c:pt idx="2">
                  <c:v>-5</c:v>
                </c:pt>
                <c:pt idx="3">
                  <c:v>-4.8</c:v>
                </c:pt>
                <c:pt idx="4">
                  <c:v>-3.6</c:v>
                </c:pt>
                <c:pt idx="5">
                  <c:v>-2.7</c:v>
                </c:pt>
                <c:pt idx="6">
                  <c:v>-2.1</c:v>
                </c:pt>
                <c:pt idx="7">
                  <c:v>-1.9</c:v>
                </c:pt>
                <c:pt idx="8">
                  <c:v>-1.4</c:v>
                </c:pt>
                <c:pt idx="9">
                  <c:v>-1</c:v>
                </c:pt>
                <c:pt idx="10">
                  <c:v>-2.2000000000000002</c:v>
                </c:pt>
                <c:pt idx="11">
                  <c:v>-1.4</c:v>
                </c:pt>
                <c:pt idx="12">
                  <c:v>-0.3</c:v>
                </c:pt>
                <c:pt idx="13">
                  <c:v>0.7</c:v>
                </c:pt>
                <c:pt idx="14">
                  <c:v>0.9</c:v>
                </c:pt>
                <c:pt idx="15">
                  <c:v>-0.7</c:v>
                </c:pt>
                <c:pt idx="16">
                  <c:v>-6.3</c:v>
                </c:pt>
                <c:pt idx="17">
                  <c:v>-4.7</c:v>
                </c:pt>
                <c:pt idx="18">
                  <c:v>-4.7</c:v>
                </c:pt>
                <c:pt idx="19">
                  <c:v>-5</c:v>
                </c:pt>
                <c:pt idx="20" formatCode="#\ ##0.0">
                  <c:v>-4.4000000000000004</c:v>
                </c:pt>
                <c:pt idx="21" formatCode="#\ ##0.0">
                  <c:v>-4.3</c:v>
                </c:pt>
              </c:numCache>
            </c:numRef>
          </c:val>
          <c:smooth val="0"/>
          <c:extLst>
            <c:ext xmlns:c16="http://schemas.microsoft.com/office/drawing/2014/chart" uri="{C3380CC4-5D6E-409C-BE32-E72D297353CC}">
              <c16:uniqueId val="{00000000-8A30-4C59-A223-D5D0E2C5C29A}"/>
            </c:ext>
          </c:extLst>
        </c:ser>
        <c:dLbls>
          <c:showLegendKey val="0"/>
          <c:showVal val="0"/>
          <c:showCatName val="0"/>
          <c:showSerName val="0"/>
          <c:showPercent val="0"/>
          <c:showBubbleSize val="0"/>
        </c:dLbls>
        <c:smooth val="0"/>
        <c:axId val="399509248"/>
        <c:axId val="399512776"/>
      </c:lineChart>
      <c:catAx>
        <c:axId val="399509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2776"/>
        <c:crossesAt val="-10.5"/>
        <c:auto val="1"/>
        <c:lblAlgn val="ctr"/>
        <c:lblOffset val="100"/>
        <c:tickLblSkip val="1"/>
        <c:tickMarkSkip val="1"/>
        <c:noMultiLvlLbl val="0"/>
      </c:catAx>
      <c:valAx>
        <c:axId val="39951277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1.5429170671330981E-2"/>
              <c:y val="0.450311151739277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09248"/>
        <c:crosses val="autoZero"/>
        <c:crossBetween val="between"/>
        <c:majorUnit val="1.5"/>
        <c:minorUnit val="0.3000000000000003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Contact crime</a:t>
            </a:r>
          </a:p>
        </c:rich>
      </c:tx>
      <c:layout>
        <c:manualLayout>
          <c:xMode val="edge"/>
          <c:yMode val="edge"/>
          <c:x val="0.46300233612447766"/>
          <c:y val="3.8610038610038609E-2"/>
        </c:manualLayout>
      </c:layout>
      <c:overlay val="0"/>
      <c:spPr>
        <a:noFill/>
        <a:ln w="25400">
          <a:noFill/>
        </a:ln>
      </c:spPr>
    </c:title>
    <c:autoTitleDeleted val="0"/>
    <c:plotArea>
      <c:layout/>
      <c:lineChart>
        <c:grouping val="standard"/>
        <c:varyColors val="0"/>
        <c:ser>
          <c:idx val="0"/>
          <c:order val="0"/>
          <c:tx>
            <c:strRef>
              <c:f>'[30]Contact Crime'!$A$171</c:f>
              <c:strCache>
                <c:ptCount val="1"/>
                <c:pt idx="0">
                  <c:v>Murder</c:v>
                </c:pt>
              </c:strCache>
            </c:strRef>
          </c:tx>
          <c:spPr>
            <a:ln w="25400">
              <a:solidFill>
                <a:srgbClr val="000080"/>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Crime'!$B$171:$N$171</c:f>
              <c:numCache>
                <c:formatCode>General</c:formatCode>
                <c:ptCount val="13"/>
                <c:pt idx="0">
                  <c:v>100</c:v>
                </c:pt>
                <c:pt idx="1">
                  <c:v>101.48809863178425</c:v>
                </c:pt>
                <c:pt idx="2">
                  <c:v>93.792224016122006</c:v>
                </c:pt>
                <c:pt idx="3">
                  <c:v>88.88863667337769</c:v>
                </c:pt>
                <c:pt idx="4">
                  <c:v>89.425679533944773</c:v>
                </c:pt>
                <c:pt idx="5">
                  <c:v>78.461546575609759</c:v>
                </c:pt>
                <c:pt idx="6">
                  <c:v>74.433399137940413</c:v>
                </c:pt>
                <c:pt idx="7">
                  <c:v>71.372958646877066</c:v>
                </c:pt>
                <c:pt idx="8">
                  <c:v>70.865078875843395</c:v>
                </c:pt>
                <c:pt idx="9">
                  <c:v>63.87080275468464</c:v>
                </c:pt>
                <c:pt idx="10">
                  <c:v>60.227275178124387</c:v>
                </c:pt>
                <c:pt idx="11">
                  <c:v>59.031696514538801</c:v>
                </c:pt>
                <c:pt idx="12">
                  <c:v>58.1661271719314</c:v>
                </c:pt>
              </c:numCache>
            </c:numRef>
          </c:val>
          <c:smooth val="0"/>
          <c:extLst>
            <c:ext xmlns:c16="http://schemas.microsoft.com/office/drawing/2014/chart" uri="{C3380CC4-5D6E-409C-BE32-E72D297353CC}">
              <c16:uniqueId val="{00000000-9454-4AB6-B06B-390A41689821}"/>
            </c:ext>
          </c:extLst>
        </c:ser>
        <c:ser>
          <c:idx val="1"/>
          <c:order val="1"/>
          <c:tx>
            <c:strRef>
              <c:f>'[30]Contact Crime'!$A$172</c:f>
              <c:strCache>
                <c:ptCount val="1"/>
                <c:pt idx="0">
                  <c:v>Attempted Murder</c:v>
                </c:pt>
              </c:strCache>
            </c:strRef>
          </c:tx>
          <c:spPr>
            <a:ln w="25400">
              <a:solidFill>
                <a:srgbClr val="FF00FF"/>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Crime'!$B$172:$N$172</c:f>
              <c:numCache>
                <c:formatCode>General</c:formatCode>
                <c:ptCount val="13"/>
                <c:pt idx="0">
                  <c:v>100</c:v>
                </c:pt>
                <c:pt idx="1">
                  <c:v>98.300396799455157</c:v>
                </c:pt>
                <c:pt idx="2">
                  <c:v>101.92850161180844</c:v>
                </c:pt>
                <c:pt idx="3">
                  <c:v>98.965988480689745</c:v>
                </c:pt>
                <c:pt idx="4">
                  <c:v>101.85020728590619</c:v>
                </c:pt>
                <c:pt idx="5">
                  <c:v>94.744379636660454</c:v>
                </c:pt>
                <c:pt idx="6">
                  <c:v>93.206037906338395</c:v>
                </c:pt>
                <c:pt idx="7">
                  <c:v>101.06993390949953</c:v>
                </c:pt>
                <c:pt idx="8">
                  <c:v>114.20976962200314</c:v>
                </c:pt>
                <c:pt idx="9">
                  <c:v>93.861496756907187</c:v>
                </c:pt>
                <c:pt idx="10">
                  <c:v>76.143042602402446</c:v>
                </c:pt>
                <c:pt idx="11">
                  <c:v>63.549041259419525</c:v>
                </c:pt>
                <c:pt idx="12">
                  <c:v>64.647797291263586</c:v>
                </c:pt>
              </c:numCache>
            </c:numRef>
          </c:val>
          <c:smooth val="0"/>
          <c:extLst>
            <c:ext xmlns:c16="http://schemas.microsoft.com/office/drawing/2014/chart" uri="{C3380CC4-5D6E-409C-BE32-E72D297353CC}">
              <c16:uniqueId val="{00000001-9454-4AB6-B06B-390A41689821}"/>
            </c:ext>
          </c:extLst>
        </c:ser>
        <c:ser>
          <c:idx val="2"/>
          <c:order val="2"/>
          <c:tx>
            <c:strRef>
              <c:f>'[30]Contact Crime'!$A$173</c:f>
              <c:strCache>
                <c:ptCount val="1"/>
                <c:pt idx="0">
                  <c:v>Common Assault</c:v>
                </c:pt>
              </c:strCache>
            </c:strRef>
          </c:tx>
          <c:spPr>
            <a:ln w="25400">
              <a:solidFill>
                <a:srgbClr val="FFFF00"/>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Crime'!$B$173:$N$173</c:f>
              <c:numCache>
                <c:formatCode>General</c:formatCode>
                <c:ptCount val="13"/>
                <c:pt idx="0">
                  <c:v>100</c:v>
                </c:pt>
                <c:pt idx="1">
                  <c:v>100.86356963047767</c:v>
                </c:pt>
                <c:pt idx="2">
                  <c:v>96.940056766335076</c:v>
                </c:pt>
                <c:pt idx="3">
                  <c:v>94.760859194917018</c:v>
                </c:pt>
                <c:pt idx="4">
                  <c:v>93.990913545732539</c:v>
                </c:pt>
                <c:pt idx="5">
                  <c:v>104.42984058536841</c:v>
                </c:pt>
                <c:pt idx="6">
                  <c:v>110.38945943236611</c:v>
                </c:pt>
                <c:pt idx="7">
                  <c:v>113.22723186957828</c:v>
                </c:pt>
                <c:pt idx="8">
                  <c:v>120.44897440470879</c:v>
                </c:pt>
                <c:pt idx="9">
                  <c:v>117.36751111526502</c:v>
                </c:pt>
                <c:pt idx="10">
                  <c:v>111.42333506452</c:v>
                </c:pt>
                <c:pt idx="11">
                  <c:v>94.04129479445487</c:v>
                </c:pt>
                <c:pt idx="12">
                  <c:v>93.236135840703653</c:v>
                </c:pt>
              </c:numCache>
            </c:numRef>
          </c:val>
          <c:smooth val="0"/>
          <c:extLst>
            <c:ext xmlns:c16="http://schemas.microsoft.com/office/drawing/2014/chart" uri="{C3380CC4-5D6E-409C-BE32-E72D297353CC}">
              <c16:uniqueId val="{00000002-9454-4AB6-B06B-390A41689821}"/>
            </c:ext>
          </c:extLst>
        </c:ser>
        <c:ser>
          <c:idx val="3"/>
          <c:order val="3"/>
          <c:tx>
            <c:strRef>
              <c:f>'[30]Contact Crime'!$A$174</c:f>
              <c:strCache>
                <c:ptCount val="1"/>
                <c:pt idx="0">
                  <c:v>Assault GBH</c:v>
                </c:pt>
              </c:strCache>
            </c:strRef>
          </c:tx>
          <c:spPr>
            <a:ln w="25400">
              <a:solidFill>
                <a:srgbClr val="00FFFF"/>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Crime'!$B$174:$N$174</c:f>
              <c:numCache>
                <c:formatCode>General</c:formatCode>
                <c:ptCount val="13"/>
                <c:pt idx="0">
                  <c:v>100</c:v>
                </c:pt>
                <c:pt idx="1">
                  <c:v>101.42023909693563</c:v>
                </c:pt>
                <c:pt idx="2">
                  <c:v>102.63130030166299</c:v>
                </c:pt>
                <c:pt idx="3">
                  <c:v>102.62619076688368</c:v>
                </c:pt>
                <c:pt idx="4">
                  <c:v>101.89735397608868</c:v>
                </c:pt>
                <c:pt idx="5">
                  <c:v>109.40682585435466</c:v>
                </c:pt>
                <c:pt idx="6">
                  <c:v>113.37944140371015</c:v>
                </c:pt>
                <c:pt idx="7">
                  <c:v>105.98361038677584</c:v>
                </c:pt>
                <c:pt idx="8">
                  <c:v>105.42085488670978</c:v>
                </c:pt>
                <c:pt idx="9">
                  <c:v>100.88299258504389</c:v>
                </c:pt>
                <c:pt idx="10">
                  <c:v>96.312351683814683</c:v>
                </c:pt>
                <c:pt idx="11">
                  <c:v>87.082343013200656</c:v>
                </c:pt>
                <c:pt idx="12">
                  <c:v>85.862884754165208</c:v>
                </c:pt>
              </c:numCache>
            </c:numRef>
          </c:val>
          <c:smooth val="0"/>
          <c:extLst>
            <c:ext xmlns:c16="http://schemas.microsoft.com/office/drawing/2014/chart" uri="{C3380CC4-5D6E-409C-BE32-E72D297353CC}">
              <c16:uniqueId val="{00000003-9454-4AB6-B06B-390A41689821}"/>
            </c:ext>
          </c:extLst>
        </c:ser>
        <c:ser>
          <c:idx val="4"/>
          <c:order val="4"/>
          <c:tx>
            <c:strRef>
              <c:f>'[30]Contact Crime'!$A$175</c:f>
              <c:strCache>
                <c:ptCount val="1"/>
                <c:pt idx="0">
                  <c:v>Rape</c:v>
                </c:pt>
              </c:strCache>
            </c:strRef>
          </c:tx>
          <c:spPr>
            <a:ln w="25400">
              <a:solidFill>
                <a:srgbClr val="800080"/>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Crime'!$B$175:$N$175</c:f>
              <c:numCache>
                <c:formatCode>General</c:formatCode>
                <c:ptCount val="13"/>
                <c:pt idx="0">
                  <c:v>100</c:v>
                </c:pt>
                <c:pt idx="1">
                  <c:v>109.13463626136526</c:v>
                </c:pt>
                <c:pt idx="2">
                  <c:v>109.89608362935093</c:v>
                </c:pt>
                <c:pt idx="3">
                  <c:v>109.43966794611318</c:v>
                </c:pt>
                <c:pt idx="4">
                  <c:v>102.58409629960279</c:v>
                </c:pt>
                <c:pt idx="5">
                  <c:v>106.521905451002</c:v>
                </c:pt>
                <c:pt idx="6">
                  <c:v>104.94462529245878</c:v>
                </c:pt>
                <c:pt idx="7">
                  <c:v>105.03834975306225</c:v>
                </c:pt>
                <c:pt idx="8">
                  <c:v>100.01118371738772</c:v>
                </c:pt>
                <c:pt idx="9">
                  <c:v>98.577805820101432</c:v>
                </c:pt>
                <c:pt idx="10">
                  <c:v>102.57900829031755</c:v>
                </c:pt>
                <c:pt idx="11">
                  <c:v>101.5384773524614</c:v>
                </c:pt>
                <c:pt idx="12">
                  <c:v>93.039644269568171</c:v>
                </c:pt>
              </c:numCache>
            </c:numRef>
          </c:val>
          <c:smooth val="0"/>
          <c:extLst>
            <c:ext xmlns:c16="http://schemas.microsoft.com/office/drawing/2014/chart" uri="{C3380CC4-5D6E-409C-BE32-E72D297353CC}">
              <c16:uniqueId val="{00000004-9454-4AB6-B06B-390A41689821}"/>
            </c:ext>
          </c:extLst>
        </c:ser>
        <c:ser>
          <c:idx val="5"/>
          <c:order val="5"/>
          <c:tx>
            <c:strRef>
              <c:f>'[30]Contact Crime'!$A$176</c:f>
              <c:strCache>
                <c:ptCount val="1"/>
                <c:pt idx="0">
                  <c:v>Aggravated Robbery</c:v>
                </c:pt>
              </c:strCache>
            </c:strRef>
          </c:tx>
          <c:spPr>
            <a:ln w="25400">
              <a:solidFill>
                <a:srgbClr val="800000"/>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Crime'!$B$176:$N$176</c:f>
              <c:numCache>
                <c:formatCode>General</c:formatCode>
                <c:ptCount val="13"/>
                <c:pt idx="0">
                  <c:v>100</c:v>
                </c:pt>
                <c:pt idx="1">
                  <c:v>89.235003265699802</c:v>
                </c:pt>
                <c:pt idx="2">
                  <c:v>74.61435352574199</c:v>
                </c:pt>
                <c:pt idx="3">
                  <c:v>81.214908237866752</c:v>
                </c:pt>
                <c:pt idx="4">
                  <c:v>100.95842708080112</c:v>
                </c:pt>
                <c:pt idx="5">
                  <c:v>105.04005802956391</c:v>
                </c:pt>
                <c:pt idx="6">
                  <c:v>119.13510643002132</c:v>
                </c:pt>
                <c:pt idx="7">
                  <c:v>119.20448020355859</c:v>
                </c:pt>
                <c:pt idx="8">
                  <c:v>127.78285341991094</c:v>
                </c:pt>
                <c:pt idx="9">
                  <c:v>131.8789091649472</c:v>
                </c:pt>
                <c:pt idx="10">
                  <c:v>124.57921566314796</c:v>
                </c:pt>
                <c:pt idx="11">
                  <c:v>116.84450315503922</c:v>
                </c:pt>
                <c:pt idx="12">
                  <c:v>130.94021278525798</c:v>
                </c:pt>
              </c:numCache>
            </c:numRef>
          </c:val>
          <c:smooth val="0"/>
          <c:extLst>
            <c:ext xmlns:c16="http://schemas.microsoft.com/office/drawing/2014/chart" uri="{C3380CC4-5D6E-409C-BE32-E72D297353CC}">
              <c16:uniqueId val="{00000005-9454-4AB6-B06B-390A41689821}"/>
            </c:ext>
          </c:extLst>
        </c:ser>
        <c:ser>
          <c:idx val="6"/>
          <c:order val="6"/>
          <c:tx>
            <c:strRef>
              <c:f>'[30]Contact Crime'!$A$177</c:f>
              <c:strCache>
                <c:ptCount val="1"/>
                <c:pt idx="0">
                  <c:v>Common Robbery</c:v>
                </c:pt>
              </c:strCache>
            </c:strRef>
          </c:tx>
          <c:spPr>
            <a:ln w="25400">
              <a:solidFill>
                <a:srgbClr val="008080"/>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Crime'!$B$177:$N$177</c:f>
              <c:numCache>
                <c:formatCode>General</c:formatCode>
                <c:ptCount val="13"/>
                <c:pt idx="0">
                  <c:v>100</c:v>
                </c:pt>
                <c:pt idx="1">
                  <c:v>137.14323363080365</c:v>
                </c:pt>
                <c:pt idx="2">
                  <c:v>148.36301853422606</c:v>
                </c:pt>
                <c:pt idx="3">
                  <c:v>158.54014668552037</c:v>
                </c:pt>
                <c:pt idx="4">
                  <c:v>183.85413131696907</c:v>
                </c:pt>
                <c:pt idx="5">
                  <c:v>206.17763770597759</c:v>
                </c:pt>
                <c:pt idx="6">
                  <c:v>245.36526242085023</c:v>
                </c:pt>
                <c:pt idx="7">
                  <c:v>239.13025278191299</c:v>
                </c:pt>
                <c:pt idx="8">
                  <c:v>265.42041125464038</c:v>
                </c:pt>
                <c:pt idx="9">
                  <c:v>244.75510917078935</c:v>
                </c:pt>
                <c:pt idx="10">
                  <c:v>231.69049879053247</c:v>
                </c:pt>
                <c:pt idx="11">
                  <c:v>189.39213080620962</c:v>
                </c:pt>
                <c:pt idx="12">
                  <c:v>138.09804960269682</c:v>
                </c:pt>
              </c:numCache>
            </c:numRef>
          </c:val>
          <c:smooth val="0"/>
          <c:extLst>
            <c:ext xmlns:c16="http://schemas.microsoft.com/office/drawing/2014/chart" uri="{C3380CC4-5D6E-409C-BE32-E72D297353CC}">
              <c16:uniqueId val="{00000006-9454-4AB6-B06B-390A41689821}"/>
            </c:ext>
          </c:extLst>
        </c:ser>
        <c:dLbls>
          <c:showLegendKey val="0"/>
          <c:showVal val="0"/>
          <c:showCatName val="0"/>
          <c:showSerName val="0"/>
          <c:showPercent val="0"/>
          <c:showBubbleSize val="0"/>
        </c:dLbls>
        <c:smooth val="0"/>
        <c:axId val="105657856"/>
        <c:axId val="105659392"/>
      </c:lineChart>
      <c:catAx>
        <c:axId val="105657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5659392"/>
        <c:crosses val="autoZero"/>
        <c:auto val="1"/>
        <c:lblAlgn val="ctr"/>
        <c:lblOffset val="100"/>
        <c:tickLblSkip val="1"/>
        <c:tickMarkSkip val="1"/>
        <c:noMultiLvlLbl val="0"/>
      </c:catAx>
      <c:valAx>
        <c:axId val="105659392"/>
        <c:scaling>
          <c:orientation val="minMax"/>
          <c:min val="50"/>
        </c:scaling>
        <c:delete val="0"/>
        <c:axPos val="l"/>
        <c:majorGridlines>
          <c:spPr>
            <a:ln w="12700">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5657856"/>
        <c:crosses val="autoZero"/>
        <c:crossBetween val="midCat"/>
      </c:valAx>
      <c:spPr>
        <a:solidFill>
          <a:srgbClr val="C0C0C0"/>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55" r="0.75000000000000555" t="1" header="0.5" footer="0.5"/>
    <c:pageSetup paperSize="9" orientation="landscape" horizontalDpi="-4"/>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Contact crime</a:t>
            </a:r>
          </a:p>
        </c:rich>
      </c:tx>
      <c:layout>
        <c:manualLayout>
          <c:xMode val="edge"/>
          <c:yMode val="edge"/>
          <c:x val="0.46300233612447778"/>
          <c:y val="3.8610038610038609E-2"/>
        </c:manualLayout>
      </c:layout>
      <c:overlay val="0"/>
      <c:spPr>
        <a:noFill/>
        <a:ln w="25400">
          <a:noFill/>
        </a:ln>
      </c:spPr>
    </c:title>
    <c:autoTitleDeleted val="0"/>
    <c:plotArea>
      <c:layout/>
      <c:lineChart>
        <c:grouping val="standard"/>
        <c:varyColors val="0"/>
        <c:ser>
          <c:idx val="0"/>
          <c:order val="0"/>
          <c:tx>
            <c:strRef>
              <c:f>'[30]Contact Crime'!$A$171</c:f>
              <c:strCache>
                <c:ptCount val="1"/>
                <c:pt idx="0">
                  <c:v>Murder</c:v>
                </c:pt>
              </c:strCache>
            </c:strRef>
          </c:tx>
          <c:spPr>
            <a:ln w="25400">
              <a:solidFill>
                <a:srgbClr val="000080"/>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Crime'!$B$171:$N$171</c:f>
              <c:numCache>
                <c:formatCode>General</c:formatCode>
                <c:ptCount val="13"/>
                <c:pt idx="0">
                  <c:v>100</c:v>
                </c:pt>
                <c:pt idx="1">
                  <c:v>101.48809863178425</c:v>
                </c:pt>
                <c:pt idx="2">
                  <c:v>93.792224016122006</c:v>
                </c:pt>
                <c:pt idx="3">
                  <c:v>88.88863667337769</c:v>
                </c:pt>
                <c:pt idx="4">
                  <c:v>89.425679533944773</c:v>
                </c:pt>
                <c:pt idx="5">
                  <c:v>78.461546575609759</c:v>
                </c:pt>
                <c:pt idx="6">
                  <c:v>74.433399137940413</c:v>
                </c:pt>
                <c:pt idx="7">
                  <c:v>71.372958646877066</c:v>
                </c:pt>
                <c:pt idx="8">
                  <c:v>70.865078875843395</c:v>
                </c:pt>
                <c:pt idx="9">
                  <c:v>63.87080275468464</c:v>
                </c:pt>
                <c:pt idx="10">
                  <c:v>60.227275178124387</c:v>
                </c:pt>
                <c:pt idx="11">
                  <c:v>59.031696514538801</c:v>
                </c:pt>
                <c:pt idx="12">
                  <c:v>58.1661271719314</c:v>
                </c:pt>
              </c:numCache>
            </c:numRef>
          </c:val>
          <c:smooth val="0"/>
          <c:extLst>
            <c:ext xmlns:c16="http://schemas.microsoft.com/office/drawing/2014/chart" uri="{C3380CC4-5D6E-409C-BE32-E72D297353CC}">
              <c16:uniqueId val="{00000000-F4CD-42D7-ADEC-710D37830B7D}"/>
            </c:ext>
          </c:extLst>
        </c:ser>
        <c:ser>
          <c:idx val="1"/>
          <c:order val="1"/>
          <c:tx>
            <c:strRef>
              <c:f>'[30]Contact Crime'!$A$172</c:f>
              <c:strCache>
                <c:ptCount val="1"/>
                <c:pt idx="0">
                  <c:v>Attempted Murder</c:v>
                </c:pt>
              </c:strCache>
            </c:strRef>
          </c:tx>
          <c:spPr>
            <a:ln w="25400">
              <a:solidFill>
                <a:srgbClr val="FF00FF"/>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Crime'!$B$172:$N$172</c:f>
              <c:numCache>
                <c:formatCode>General</c:formatCode>
                <c:ptCount val="13"/>
                <c:pt idx="0">
                  <c:v>100</c:v>
                </c:pt>
                <c:pt idx="1">
                  <c:v>98.300396799455157</c:v>
                </c:pt>
                <c:pt idx="2">
                  <c:v>101.92850161180844</c:v>
                </c:pt>
                <c:pt idx="3">
                  <c:v>98.965988480689745</c:v>
                </c:pt>
                <c:pt idx="4">
                  <c:v>101.85020728590619</c:v>
                </c:pt>
                <c:pt idx="5">
                  <c:v>94.744379636660454</c:v>
                </c:pt>
                <c:pt idx="6">
                  <c:v>93.206037906338395</c:v>
                </c:pt>
                <c:pt idx="7">
                  <c:v>101.06993390949953</c:v>
                </c:pt>
                <c:pt idx="8">
                  <c:v>114.20976962200314</c:v>
                </c:pt>
                <c:pt idx="9">
                  <c:v>93.861496756907187</c:v>
                </c:pt>
                <c:pt idx="10">
                  <c:v>76.143042602402446</c:v>
                </c:pt>
                <c:pt idx="11">
                  <c:v>63.549041259419525</c:v>
                </c:pt>
                <c:pt idx="12">
                  <c:v>64.647797291263586</c:v>
                </c:pt>
              </c:numCache>
            </c:numRef>
          </c:val>
          <c:smooth val="0"/>
          <c:extLst>
            <c:ext xmlns:c16="http://schemas.microsoft.com/office/drawing/2014/chart" uri="{C3380CC4-5D6E-409C-BE32-E72D297353CC}">
              <c16:uniqueId val="{00000001-F4CD-42D7-ADEC-710D37830B7D}"/>
            </c:ext>
          </c:extLst>
        </c:ser>
        <c:ser>
          <c:idx val="2"/>
          <c:order val="2"/>
          <c:tx>
            <c:strRef>
              <c:f>'[30]Contact Crime'!$A$173</c:f>
              <c:strCache>
                <c:ptCount val="1"/>
                <c:pt idx="0">
                  <c:v>Common Assault</c:v>
                </c:pt>
              </c:strCache>
            </c:strRef>
          </c:tx>
          <c:spPr>
            <a:ln w="25400">
              <a:solidFill>
                <a:srgbClr val="FFFF00"/>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Crime'!$B$173:$N$173</c:f>
              <c:numCache>
                <c:formatCode>General</c:formatCode>
                <c:ptCount val="13"/>
                <c:pt idx="0">
                  <c:v>100</c:v>
                </c:pt>
                <c:pt idx="1">
                  <c:v>100.86356963047767</c:v>
                </c:pt>
                <c:pt idx="2">
                  <c:v>96.940056766335076</c:v>
                </c:pt>
                <c:pt idx="3">
                  <c:v>94.760859194917018</c:v>
                </c:pt>
                <c:pt idx="4">
                  <c:v>93.990913545732539</c:v>
                </c:pt>
                <c:pt idx="5">
                  <c:v>104.42984058536841</c:v>
                </c:pt>
                <c:pt idx="6">
                  <c:v>110.38945943236611</c:v>
                </c:pt>
                <c:pt idx="7">
                  <c:v>113.22723186957828</c:v>
                </c:pt>
                <c:pt idx="8">
                  <c:v>120.44897440470879</c:v>
                </c:pt>
                <c:pt idx="9">
                  <c:v>117.36751111526502</c:v>
                </c:pt>
                <c:pt idx="10">
                  <c:v>111.42333506452</c:v>
                </c:pt>
                <c:pt idx="11">
                  <c:v>94.04129479445487</c:v>
                </c:pt>
                <c:pt idx="12">
                  <c:v>93.236135840703653</c:v>
                </c:pt>
              </c:numCache>
            </c:numRef>
          </c:val>
          <c:smooth val="0"/>
          <c:extLst>
            <c:ext xmlns:c16="http://schemas.microsoft.com/office/drawing/2014/chart" uri="{C3380CC4-5D6E-409C-BE32-E72D297353CC}">
              <c16:uniqueId val="{00000002-F4CD-42D7-ADEC-710D37830B7D}"/>
            </c:ext>
          </c:extLst>
        </c:ser>
        <c:ser>
          <c:idx val="3"/>
          <c:order val="3"/>
          <c:tx>
            <c:strRef>
              <c:f>'[30]Contact Crime'!$A$174</c:f>
              <c:strCache>
                <c:ptCount val="1"/>
                <c:pt idx="0">
                  <c:v>Assault GBH</c:v>
                </c:pt>
              </c:strCache>
            </c:strRef>
          </c:tx>
          <c:spPr>
            <a:ln w="25400">
              <a:solidFill>
                <a:srgbClr val="00FFFF"/>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Crime'!$B$174:$N$174</c:f>
              <c:numCache>
                <c:formatCode>General</c:formatCode>
                <c:ptCount val="13"/>
                <c:pt idx="0">
                  <c:v>100</c:v>
                </c:pt>
                <c:pt idx="1">
                  <c:v>101.42023909693563</c:v>
                </c:pt>
                <c:pt idx="2">
                  <c:v>102.63130030166299</c:v>
                </c:pt>
                <c:pt idx="3">
                  <c:v>102.62619076688368</c:v>
                </c:pt>
                <c:pt idx="4">
                  <c:v>101.89735397608868</c:v>
                </c:pt>
                <c:pt idx="5">
                  <c:v>109.40682585435466</c:v>
                </c:pt>
                <c:pt idx="6">
                  <c:v>113.37944140371015</c:v>
                </c:pt>
                <c:pt idx="7">
                  <c:v>105.98361038677584</c:v>
                </c:pt>
                <c:pt idx="8">
                  <c:v>105.42085488670978</c:v>
                </c:pt>
                <c:pt idx="9">
                  <c:v>100.88299258504389</c:v>
                </c:pt>
                <c:pt idx="10">
                  <c:v>96.312351683814683</c:v>
                </c:pt>
                <c:pt idx="11">
                  <c:v>87.082343013200656</c:v>
                </c:pt>
                <c:pt idx="12">
                  <c:v>85.862884754165208</c:v>
                </c:pt>
              </c:numCache>
            </c:numRef>
          </c:val>
          <c:smooth val="0"/>
          <c:extLst>
            <c:ext xmlns:c16="http://schemas.microsoft.com/office/drawing/2014/chart" uri="{C3380CC4-5D6E-409C-BE32-E72D297353CC}">
              <c16:uniqueId val="{00000003-F4CD-42D7-ADEC-710D37830B7D}"/>
            </c:ext>
          </c:extLst>
        </c:ser>
        <c:ser>
          <c:idx val="4"/>
          <c:order val="4"/>
          <c:tx>
            <c:strRef>
              <c:f>'[30]Contact Crime'!$A$175</c:f>
              <c:strCache>
                <c:ptCount val="1"/>
                <c:pt idx="0">
                  <c:v>Rape</c:v>
                </c:pt>
              </c:strCache>
            </c:strRef>
          </c:tx>
          <c:spPr>
            <a:ln w="25400">
              <a:solidFill>
                <a:srgbClr val="800080"/>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Crime'!$B$175:$N$175</c:f>
              <c:numCache>
                <c:formatCode>General</c:formatCode>
                <c:ptCount val="13"/>
                <c:pt idx="0">
                  <c:v>100</c:v>
                </c:pt>
                <c:pt idx="1">
                  <c:v>109.13463626136526</c:v>
                </c:pt>
                <c:pt idx="2">
                  <c:v>109.89608362935093</c:v>
                </c:pt>
                <c:pt idx="3">
                  <c:v>109.43966794611318</c:v>
                </c:pt>
                <c:pt idx="4">
                  <c:v>102.58409629960279</c:v>
                </c:pt>
                <c:pt idx="5">
                  <c:v>106.521905451002</c:v>
                </c:pt>
                <c:pt idx="6">
                  <c:v>104.94462529245878</c:v>
                </c:pt>
                <c:pt idx="7">
                  <c:v>105.03834975306225</c:v>
                </c:pt>
                <c:pt idx="8">
                  <c:v>100.01118371738772</c:v>
                </c:pt>
                <c:pt idx="9">
                  <c:v>98.577805820101432</c:v>
                </c:pt>
                <c:pt idx="10">
                  <c:v>102.57900829031755</c:v>
                </c:pt>
                <c:pt idx="11">
                  <c:v>101.5384773524614</c:v>
                </c:pt>
                <c:pt idx="12">
                  <c:v>93.039644269568171</c:v>
                </c:pt>
              </c:numCache>
            </c:numRef>
          </c:val>
          <c:smooth val="0"/>
          <c:extLst>
            <c:ext xmlns:c16="http://schemas.microsoft.com/office/drawing/2014/chart" uri="{C3380CC4-5D6E-409C-BE32-E72D297353CC}">
              <c16:uniqueId val="{00000004-F4CD-42D7-ADEC-710D37830B7D}"/>
            </c:ext>
          </c:extLst>
        </c:ser>
        <c:ser>
          <c:idx val="5"/>
          <c:order val="5"/>
          <c:tx>
            <c:strRef>
              <c:f>'[30]Contact Crime'!$A$176</c:f>
              <c:strCache>
                <c:ptCount val="1"/>
                <c:pt idx="0">
                  <c:v>Aggravated Robbery</c:v>
                </c:pt>
              </c:strCache>
            </c:strRef>
          </c:tx>
          <c:spPr>
            <a:ln w="25400">
              <a:solidFill>
                <a:srgbClr val="800000"/>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Crime'!$B$176:$N$176</c:f>
              <c:numCache>
                <c:formatCode>General</c:formatCode>
                <c:ptCount val="13"/>
                <c:pt idx="0">
                  <c:v>100</c:v>
                </c:pt>
                <c:pt idx="1">
                  <c:v>89.235003265699802</c:v>
                </c:pt>
                <c:pt idx="2">
                  <c:v>74.61435352574199</c:v>
                </c:pt>
                <c:pt idx="3">
                  <c:v>81.214908237866752</c:v>
                </c:pt>
                <c:pt idx="4">
                  <c:v>100.95842708080112</c:v>
                </c:pt>
                <c:pt idx="5">
                  <c:v>105.04005802956391</c:v>
                </c:pt>
                <c:pt idx="6">
                  <c:v>119.13510643002132</c:v>
                </c:pt>
                <c:pt idx="7">
                  <c:v>119.20448020355859</c:v>
                </c:pt>
                <c:pt idx="8">
                  <c:v>127.78285341991094</c:v>
                </c:pt>
                <c:pt idx="9">
                  <c:v>131.8789091649472</c:v>
                </c:pt>
                <c:pt idx="10">
                  <c:v>124.57921566314796</c:v>
                </c:pt>
                <c:pt idx="11">
                  <c:v>116.84450315503922</c:v>
                </c:pt>
                <c:pt idx="12">
                  <c:v>130.94021278525798</c:v>
                </c:pt>
              </c:numCache>
            </c:numRef>
          </c:val>
          <c:smooth val="0"/>
          <c:extLst>
            <c:ext xmlns:c16="http://schemas.microsoft.com/office/drawing/2014/chart" uri="{C3380CC4-5D6E-409C-BE32-E72D297353CC}">
              <c16:uniqueId val="{00000005-F4CD-42D7-ADEC-710D37830B7D}"/>
            </c:ext>
          </c:extLst>
        </c:ser>
        <c:ser>
          <c:idx val="6"/>
          <c:order val="6"/>
          <c:tx>
            <c:strRef>
              <c:f>'[30]Contact Crime'!$A$177</c:f>
              <c:strCache>
                <c:ptCount val="1"/>
                <c:pt idx="0">
                  <c:v>Common Robbery</c:v>
                </c:pt>
              </c:strCache>
            </c:strRef>
          </c:tx>
          <c:spPr>
            <a:ln w="25400">
              <a:solidFill>
                <a:srgbClr val="008080"/>
              </a:solidFill>
              <a:prstDash val="solid"/>
            </a:ln>
          </c:spPr>
          <c:marker>
            <c:symbol val="none"/>
          </c:marker>
          <c:cat>
            <c:strRef>
              <c:f>'[30]Contact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'[30]Contact Crime'!$B$177:$N$177</c:f>
              <c:numCache>
                <c:formatCode>General</c:formatCode>
                <c:ptCount val="13"/>
                <c:pt idx="0">
                  <c:v>100</c:v>
                </c:pt>
                <c:pt idx="1">
                  <c:v>137.14323363080365</c:v>
                </c:pt>
                <c:pt idx="2">
                  <c:v>148.36301853422606</c:v>
                </c:pt>
                <c:pt idx="3">
                  <c:v>158.54014668552037</c:v>
                </c:pt>
                <c:pt idx="4">
                  <c:v>183.85413131696907</c:v>
                </c:pt>
                <c:pt idx="5">
                  <c:v>206.17763770597759</c:v>
                </c:pt>
                <c:pt idx="6">
                  <c:v>245.36526242085023</c:v>
                </c:pt>
                <c:pt idx="7">
                  <c:v>239.13025278191299</c:v>
                </c:pt>
                <c:pt idx="8">
                  <c:v>265.42041125464038</c:v>
                </c:pt>
                <c:pt idx="9">
                  <c:v>244.75510917078935</c:v>
                </c:pt>
                <c:pt idx="10">
                  <c:v>231.69049879053247</c:v>
                </c:pt>
                <c:pt idx="11">
                  <c:v>189.39213080620962</c:v>
                </c:pt>
                <c:pt idx="12">
                  <c:v>138.09804960269682</c:v>
                </c:pt>
              </c:numCache>
            </c:numRef>
          </c:val>
          <c:smooth val="0"/>
          <c:extLst>
            <c:ext xmlns:c16="http://schemas.microsoft.com/office/drawing/2014/chart" uri="{C3380CC4-5D6E-409C-BE32-E72D297353CC}">
              <c16:uniqueId val="{00000006-F4CD-42D7-ADEC-710D37830B7D}"/>
            </c:ext>
          </c:extLst>
        </c:ser>
        <c:dLbls>
          <c:showLegendKey val="0"/>
          <c:showVal val="0"/>
          <c:showCatName val="0"/>
          <c:showSerName val="0"/>
          <c:showPercent val="0"/>
          <c:showBubbleSize val="0"/>
        </c:dLbls>
        <c:smooth val="0"/>
        <c:axId val="133952256"/>
        <c:axId val="133953792"/>
      </c:lineChart>
      <c:catAx>
        <c:axId val="133952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3953792"/>
        <c:crosses val="autoZero"/>
        <c:auto val="1"/>
        <c:lblAlgn val="ctr"/>
        <c:lblOffset val="100"/>
        <c:tickLblSkip val="1"/>
        <c:tickMarkSkip val="1"/>
        <c:noMultiLvlLbl val="0"/>
      </c:catAx>
      <c:valAx>
        <c:axId val="133953792"/>
        <c:scaling>
          <c:orientation val="minMax"/>
          <c:min val="50"/>
        </c:scaling>
        <c:delete val="0"/>
        <c:axPos val="l"/>
        <c:majorGridlines>
          <c:spPr>
            <a:ln w="12700">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3952256"/>
        <c:crosses val="autoZero"/>
        <c:crossBetween val="midCat"/>
      </c:valAx>
      <c:spPr>
        <a:solidFill>
          <a:srgbClr val="C0C0C0"/>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paperSize="9" orientation="landscape" horizontalDpi="-4"/>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Sentence categories - average per year</a:t>
            </a:r>
          </a:p>
        </c:rich>
      </c:tx>
      <c:overlay val="0"/>
    </c:title>
    <c:autoTitleDeleted val="0"/>
    <c:plotArea>
      <c:layout>
        <c:manualLayout>
          <c:layoutTarget val="inner"/>
          <c:xMode val="edge"/>
          <c:yMode val="edge"/>
          <c:x val="0.10373708499707678"/>
          <c:y val="0.14490278267455375"/>
          <c:w val="0.81338121398778374"/>
          <c:h val="0.60503093849020173"/>
        </c:manualLayout>
      </c:layout>
      <c:barChart>
        <c:barDir val="col"/>
        <c:grouping val="clustered"/>
        <c:varyColors val="0"/>
        <c:ser>
          <c:idx val="1"/>
          <c:order val="0"/>
          <c:tx>
            <c:strRef>
              <c:f>Detainees!$D$9</c:f>
              <c:strCache>
                <c:ptCount val="1"/>
                <c:pt idx="0">
                  <c:v>Sentenced offenders</c:v>
                </c:pt>
              </c:strCache>
            </c:strRef>
          </c:tx>
          <c:spPr>
            <a:solidFill>
              <a:srgbClr val="FCD5B5"/>
            </a:solidFill>
            <a:ln w="12700">
              <a:noFill/>
              <a:prstDash val="solid"/>
            </a:ln>
          </c:spPr>
          <c:invertIfNegative val="0"/>
          <c:cat>
            <c:strRef>
              <c:f>Detainees!$E$8:$Y$8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Detainees!$E$9:$Y$9</c:f>
              <c:numCache>
                <c:formatCode>#\ ###\ ###</c:formatCode>
                <c:ptCount val="21"/>
                <c:pt idx="0">
                  <c:v>91853</c:v>
                </c:pt>
                <c:pt idx="1">
                  <c:v>86708</c:v>
                </c:pt>
                <c:pt idx="2">
                  <c:v>88885</c:v>
                </c:pt>
                <c:pt idx="3">
                  <c:v>97504</c:v>
                </c:pt>
                <c:pt idx="4">
                  <c:v>95835</c:v>
                </c:pt>
                <c:pt idx="5">
                  <c:v>99692</c:v>
                </c:pt>
                <c:pt idx="6">
                  <c:v>109072</c:v>
                </c:pt>
                <c:pt idx="7">
                  <c:v>115897</c:v>
                </c:pt>
                <c:pt idx="8">
                  <c:v>125322</c:v>
                </c:pt>
                <c:pt idx="9">
                  <c:v>130940</c:v>
                </c:pt>
                <c:pt idx="10">
                  <c:v>134487</c:v>
                </c:pt>
                <c:pt idx="11">
                  <c:v>122410</c:v>
                </c:pt>
                <c:pt idx="12">
                  <c:v>113711</c:v>
                </c:pt>
                <c:pt idx="13">
                  <c:v>111230</c:v>
                </c:pt>
                <c:pt idx="14">
                  <c:v>109877</c:v>
                </c:pt>
                <c:pt idx="15">
                  <c:v>114972</c:v>
                </c:pt>
                <c:pt idx="16">
                  <c:v>113571</c:v>
                </c:pt>
                <c:pt idx="17">
                  <c:v>112535</c:v>
                </c:pt>
                <c:pt idx="18">
                  <c:v>104335</c:v>
                </c:pt>
                <c:pt idx="19">
                  <c:v>111008</c:v>
                </c:pt>
                <c:pt idx="20">
                  <c:v>116265</c:v>
                </c:pt>
              </c:numCache>
            </c:numRef>
          </c:val>
          <c:extLst>
            <c:ext xmlns:c16="http://schemas.microsoft.com/office/drawing/2014/chart" uri="{C3380CC4-5D6E-409C-BE32-E72D297353CC}">
              <c16:uniqueId val="{00000000-F8A7-4144-A813-D6231FF5CDAB}"/>
            </c:ext>
          </c:extLst>
        </c:ser>
        <c:ser>
          <c:idx val="0"/>
          <c:order val="1"/>
          <c:tx>
            <c:strRef>
              <c:f>Detainees!$D$10</c:f>
              <c:strCache>
                <c:ptCount val="1"/>
                <c:pt idx="0">
                  <c:v>Remand detainess</c:v>
                </c:pt>
              </c:strCache>
            </c:strRef>
          </c:tx>
          <c:spPr>
            <a:solidFill>
              <a:srgbClr val="F8A662"/>
            </a:solidFill>
            <a:ln w="28575">
              <a:noFill/>
              <a:prstDash val="solid"/>
            </a:ln>
          </c:spPr>
          <c:invertIfNegative val="0"/>
          <c:cat>
            <c:strRef>
              <c:f>Detainees!$E$8:$Y$8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Detainees!$E$10:$Y$10</c:f>
              <c:numCache>
                <c:formatCode>#\ ###\ ###</c:formatCode>
                <c:ptCount val="21"/>
                <c:pt idx="0">
                  <c:v>22021</c:v>
                </c:pt>
                <c:pt idx="1">
                  <c:v>23412</c:v>
                </c:pt>
                <c:pt idx="2">
                  <c:v>29514</c:v>
                </c:pt>
                <c:pt idx="3">
                  <c:v>36698</c:v>
                </c:pt>
                <c:pt idx="4">
                  <c:v>45607</c:v>
                </c:pt>
                <c:pt idx="5">
                  <c:v>54884</c:v>
                </c:pt>
                <c:pt idx="6">
                  <c:v>57262</c:v>
                </c:pt>
                <c:pt idx="7">
                  <c:v>53662</c:v>
                </c:pt>
                <c:pt idx="8">
                  <c:v>53996</c:v>
                </c:pt>
                <c:pt idx="9">
                  <c:v>53901</c:v>
                </c:pt>
                <c:pt idx="10">
                  <c:v>51020</c:v>
                </c:pt>
                <c:pt idx="11">
                  <c:v>46971</c:v>
                </c:pt>
                <c:pt idx="12">
                  <c:v>44884</c:v>
                </c:pt>
                <c:pt idx="13">
                  <c:v>47595</c:v>
                </c:pt>
                <c:pt idx="14">
                  <c:v>49150</c:v>
                </c:pt>
                <c:pt idx="15">
                  <c:v>47602</c:v>
                </c:pt>
                <c:pt idx="16">
                  <c:v>47350</c:v>
                </c:pt>
                <c:pt idx="17">
                  <c:v>49696</c:v>
                </c:pt>
                <c:pt idx="18">
                  <c:v>46090</c:v>
                </c:pt>
                <c:pt idx="19">
                  <c:v>44702</c:v>
                </c:pt>
                <c:pt idx="20">
                  <c:v>43298</c:v>
                </c:pt>
              </c:numCache>
            </c:numRef>
          </c:val>
          <c:extLst>
            <c:ext xmlns:c16="http://schemas.microsoft.com/office/drawing/2014/chart" uri="{C3380CC4-5D6E-409C-BE32-E72D297353CC}">
              <c16:uniqueId val="{00000001-F8A7-4144-A813-D6231FF5CDAB}"/>
            </c:ext>
          </c:extLst>
        </c:ser>
        <c:dLbls>
          <c:showLegendKey val="0"/>
          <c:showVal val="0"/>
          <c:showCatName val="0"/>
          <c:showSerName val="0"/>
          <c:showPercent val="0"/>
          <c:showBubbleSize val="0"/>
        </c:dLbls>
        <c:gapWidth val="150"/>
        <c:axId val="105683584"/>
        <c:axId val="133886336"/>
      </c:barChart>
      <c:lineChart>
        <c:grouping val="standard"/>
        <c:varyColors val="0"/>
        <c:ser>
          <c:idx val="4"/>
          <c:order val="4"/>
          <c:tx>
            <c:strRef>
              <c:f>Detainees!$D$29</c:f>
              <c:strCache>
                <c:ptCount val="1"/>
                <c:pt idx="0">
                  <c:v>More than  20 Years </c:v>
                </c:pt>
              </c:strCache>
            </c:strRef>
          </c:tx>
          <c:spPr>
            <a:ln>
              <a:solidFill>
                <a:srgbClr val="FF6600"/>
              </a:solidFill>
            </a:ln>
          </c:spPr>
          <c:marker>
            <c:symbol val="none"/>
          </c:marker>
          <c:cat>
            <c:strRef>
              <c:f>Detainees!$E$8:$Y$8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Detainees!$E$29:$Y$29</c:f>
              <c:numCache>
                <c:formatCode>###\ ###\ ###</c:formatCode>
                <c:ptCount val="21"/>
                <c:pt idx="1">
                  <c:v>1983</c:v>
                </c:pt>
                <c:pt idx="2">
                  <c:v>2402</c:v>
                </c:pt>
                <c:pt idx="3">
                  <c:v>2862</c:v>
                </c:pt>
                <c:pt idx="4">
                  <c:v>3568</c:v>
                </c:pt>
                <c:pt idx="5">
                  <c:v>4410</c:v>
                </c:pt>
                <c:pt idx="6">
                  <c:v>5395</c:v>
                </c:pt>
                <c:pt idx="7">
                  <c:v>6437</c:v>
                </c:pt>
                <c:pt idx="8">
                  <c:v>7452</c:v>
                </c:pt>
                <c:pt idx="9">
                  <c:v>8312</c:v>
                </c:pt>
                <c:pt idx="10">
                  <c:v>8934</c:v>
                </c:pt>
                <c:pt idx="11">
                  <c:v>9332</c:v>
                </c:pt>
                <c:pt idx="12">
                  <c:v>9583</c:v>
                </c:pt>
                <c:pt idx="13">
                  <c:v>9743</c:v>
                </c:pt>
                <c:pt idx="14">
                  <c:v>10155</c:v>
                </c:pt>
                <c:pt idx="15">
                  <c:v>10583</c:v>
                </c:pt>
                <c:pt idx="16">
                  <c:v>10761</c:v>
                </c:pt>
                <c:pt idx="17">
                  <c:v>10304</c:v>
                </c:pt>
                <c:pt idx="18">
                  <c:v>10134</c:v>
                </c:pt>
                <c:pt idx="19">
                  <c:v>9790</c:v>
                </c:pt>
                <c:pt idx="20">
                  <c:v>10517</c:v>
                </c:pt>
              </c:numCache>
            </c:numRef>
          </c:val>
          <c:smooth val="0"/>
          <c:extLst>
            <c:ext xmlns:c16="http://schemas.microsoft.com/office/drawing/2014/chart" uri="{C3380CC4-5D6E-409C-BE32-E72D297353CC}">
              <c16:uniqueId val="{00000002-F8A7-4144-A813-D6231FF5CDAB}"/>
            </c:ext>
          </c:extLst>
        </c:ser>
        <c:dLbls>
          <c:showLegendKey val="0"/>
          <c:showVal val="0"/>
          <c:showCatName val="0"/>
          <c:showSerName val="0"/>
          <c:showPercent val="0"/>
          <c:showBubbleSize val="0"/>
        </c:dLbls>
        <c:marker val="1"/>
        <c:smooth val="0"/>
        <c:axId val="105683584"/>
        <c:axId val="133886336"/>
      </c:lineChart>
      <c:lineChart>
        <c:grouping val="standard"/>
        <c:varyColors val="0"/>
        <c:ser>
          <c:idx val="2"/>
          <c:order val="2"/>
          <c:tx>
            <c:strRef>
              <c:f>Detainees!$D$27</c:f>
              <c:strCache>
                <c:ptCount val="1"/>
                <c:pt idx="0">
                  <c:v>Between  10 and 15 Years </c:v>
                </c:pt>
              </c:strCache>
            </c:strRef>
          </c:tx>
          <c:spPr>
            <a:ln>
              <a:solidFill>
                <a:srgbClr val="BE4B48"/>
              </a:solidFill>
            </a:ln>
          </c:spPr>
          <c:marker>
            <c:symbol val="none"/>
          </c:marker>
          <c:cat>
            <c:strRef>
              <c:f>Detainees!$E$8:$Y$8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Detainees!$E$27:$Y$27</c:f>
              <c:numCache>
                <c:formatCode>###\ ###\ ###</c:formatCode>
                <c:ptCount val="21"/>
                <c:pt idx="1">
                  <c:v>6099</c:v>
                </c:pt>
                <c:pt idx="2">
                  <c:v>6487</c:v>
                </c:pt>
                <c:pt idx="3">
                  <c:v>7086</c:v>
                </c:pt>
                <c:pt idx="4">
                  <c:v>7848</c:v>
                </c:pt>
                <c:pt idx="5">
                  <c:v>9174</c:v>
                </c:pt>
                <c:pt idx="6">
                  <c:v>11734</c:v>
                </c:pt>
                <c:pt idx="7">
                  <c:v>14516</c:v>
                </c:pt>
                <c:pt idx="8">
                  <c:v>17519</c:v>
                </c:pt>
                <c:pt idx="9">
                  <c:v>20131</c:v>
                </c:pt>
                <c:pt idx="10">
                  <c:v>22161</c:v>
                </c:pt>
                <c:pt idx="11">
                  <c:v>23539</c:v>
                </c:pt>
                <c:pt idx="12">
                  <c:v>23956</c:v>
                </c:pt>
                <c:pt idx="13">
                  <c:v>23292</c:v>
                </c:pt>
                <c:pt idx="14">
                  <c:v>22672</c:v>
                </c:pt>
                <c:pt idx="15">
                  <c:v>22033</c:v>
                </c:pt>
                <c:pt idx="16">
                  <c:v>20625</c:v>
                </c:pt>
                <c:pt idx="17">
                  <c:v>20156</c:v>
                </c:pt>
                <c:pt idx="18">
                  <c:v>20631</c:v>
                </c:pt>
                <c:pt idx="19">
                  <c:v>21035</c:v>
                </c:pt>
                <c:pt idx="20">
                  <c:v>22595</c:v>
                </c:pt>
              </c:numCache>
            </c:numRef>
          </c:val>
          <c:smooth val="0"/>
          <c:extLst>
            <c:ext xmlns:c16="http://schemas.microsoft.com/office/drawing/2014/chart" uri="{C3380CC4-5D6E-409C-BE32-E72D297353CC}">
              <c16:uniqueId val="{00000003-F8A7-4144-A813-D6231FF5CDAB}"/>
            </c:ext>
          </c:extLst>
        </c:ser>
        <c:ser>
          <c:idx val="3"/>
          <c:order val="3"/>
          <c:tx>
            <c:strRef>
              <c:f>Detainees!$D$28</c:f>
              <c:strCache>
                <c:ptCount val="1"/>
                <c:pt idx="0">
                  <c:v>Between  15 and 20 Years </c:v>
                </c:pt>
              </c:strCache>
            </c:strRef>
          </c:tx>
          <c:spPr>
            <a:ln>
              <a:solidFill>
                <a:srgbClr val="FFC000"/>
              </a:solidFill>
            </a:ln>
          </c:spPr>
          <c:marker>
            <c:symbol val="none"/>
          </c:marker>
          <c:cat>
            <c:strRef>
              <c:f>Detainees!$E$8:$Y$8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Detainees!$E$28:$Y$28</c:f>
              <c:numCache>
                <c:formatCode>###\ ###\ ###</c:formatCode>
                <c:ptCount val="21"/>
                <c:pt idx="1">
                  <c:v>2732</c:v>
                </c:pt>
                <c:pt idx="2">
                  <c:v>2964</c:v>
                </c:pt>
                <c:pt idx="3">
                  <c:v>3297</c:v>
                </c:pt>
                <c:pt idx="4">
                  <c:v>3623</c:v>
                </c:pt>
                <c:pt idx="5">
                  <c:v>4176</c:v>
                </c:pt>
                <c:pt idx="6">
                  <c:v>5137</c:v>
                </c:pt>
                <c:pt idx="7">
                  <c:v>6316</c:v>
                </c:pt>
                <c:pt idx="8">
                  <c:v>7669</c:v>
                </c:pt>
                <c:pt idx="9">
                  <c:v>8948</c:v>
                </c:pt>
                <c:pt idx="10">
                  <c:v>10120</c:v>
                </c:pt>
                <c:pt idx="11">
                  <c:v>10920</c:v>
                </c:pt>
                <c:pt idx="12">
                  <c:v>11375</c:v>
                </c:pt>
                <c:pt idx="13">
                  <c:v>11740</c:v>
                </c:pt>
                <c:pt idx="14">
                  <c:v>12251</c:v>
                </c:pt>
                <c:pt idx="15">
                  <c:v>12597</c:v>
                </c:pt>
                <c:pt idx="16">
                  <c:v>12435</c:v>
                </c:pt>
                <c:pt idx="17">
                  <c:v>11663</c:v>
                </c:pt>
                <c:pt idx="18">
                  <c:v>11973</c:v>
                </c:pt>
                <c:pt idx="19">
                  <c:v>12441</c:v>
                </c:pt>
                <c:pt idx="20">
                  <c:v>13365</c:v>
                </c:pt>
              </c:numCache>
            </c:numRef>
          </c:val>
          <c:smooth val="0"/>
          <c:extLst>
            <c:ext xmlns:c16="http://schemas.microsoft.com/office/drawing/2014/chart" uri="{C3380CC4-5D6E-409C-BE32-E72D297353CC}">
              <c16:uniqueId val="{00000004-F8A7-4144-A813-D6231FF5CDAB}"/>
            </c:ext>
          </c:extLst>
        </c:ser>
        <c:ser>
          <c:idx val="5"/>
          <c:order val="5"/>
          <c:tx>
            <c:strRef>
              <c:f>Detainees!$D$30</c:f>
              <c:strCache>
                <c:ptCount val="1"/>
                <c:pt idx="0">
                  <c:v>Life Sentence</c:v>
                </c:pt>
              </c:strCache>
            </c:strRef>
          </c:tx>
          <c:spPr>
            <a:ln>
              <a:solidFill>
                <a:srgbClr val="00B050"/>
              </a:solidFill>
            </a:ln>
          </c:spPr>
          <c:marker>
            <c:symbol val="none"/>
          </c:marker>
          <c:cat>
            <c:strRef>
              <c:f>Detainees!$E$8:$Y$8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Detainees!$E$30:$Y$30</c:f>
              <c:numCache>
                <c:formatCode>###\ ###\ ###</c:formatCode>
                <c:ptCount val="21"/>
                <c:pt idx="1">
                  <c:v>433</c:v>
                </c:pt>
                <c:pt idx="2">
                  <c:v>518</c:v>
                </c:pt>
                <c:pt idx="3">
                  <c:v>638</c:v>
                </c:pt>
                <c:pt idx="4">
                  <c:v>793</c:v>
                </c:pt>
                <c:pt idx="5">
                  <c:v>928</c:v>
                </c:pt>
                <c:pt idx="6">
                  <c:v>1436</c:v>
                </c:pt>
                <c:pt idx="7">
                  <c:v>2313</c:v>
                </c:pt>
                <c:pt idx="8">
                  <c:v>3296</c:v>
                </c:pt>
                <c:pt idx="9">
                  <c:v>4249</c:v>
                </c:pt>
                <c:pt idx="10">
                  <c:v>5284</c:v>
                </c:pt>
                <c:pt idx="11">
                  <c:v>6214</c:v>
                </c:pt>
                <c:pt idx="12">
                  <c:v>6998</c:v>
                </c:pt>
                <c:pt idx="13">
                  <c:v>7574</c:v>
                </c:pt>
                <c:pt idx="14">
                  <c:v>8354</c:v>
                </c:pt>
                <c:pt idx="15">
                  <c:v>9141</c:v>
                </c:pt>
                <c:pt idx="16">
                  <c:v>9947</c:v>
                </c:pt>
                <c:pt idx="17">
                  <c:v>10981</c:v>
                </c:pt>
                <c:pt idx="18">
                  <c:v>11660</c:v>
                </c:pt>
                <c:pt idx="19">
                  <c:v>12658</c:v>
                </c:pt>
                <c:pt idx="20">
                  <c:v>13597</c:v>
                </c:pt>
              </c:numCache>
            </c:numRef>
          </c:val>
          <c:smooth val="0"/>
          <c:extLst>
            <c:ext xmlns:c16="http://schemas.microsoft.com/office/drawing/2014/chart" uri="{C3380CC4-5D6E-409C-BE32-E72D297353CC}">
              <c16:uniqueId val="{00000005-F8A7-4144-A813-D6231FF5CDAB}"/>
            </c:ext>
          </c:extLst>
        </c:ser>
        <c:dLbls>
          <c:showLegendKey val="0"/>
          <c:showVal val="0"/>
          <c:showCatName val="0"/>
          <c:showSerName val="0"/>
          <c:showPercent val="0"/>
          <c:showBubbleSize val="0"/>
        </c:dLbls>
        <c:marker val="1"/>
        <c:smooth val="0"/>
        <c:axId val="50073600"/>
        <c:axId val="133888256"/>
      </c:lineChart>
      <c:catAx>
        <c:axId val="105683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33886336"/>
        <c:crosses val="autoZero"/>
        <c:auto val="0"/>
        <c:lblAlgn val="ctr"/>
        <c:lblOffset val="100"/>
        <c:tickLblSkip val="1"/>
        <c:tickMarkSkip val="1"/>
        <c:noMultiLvlLbl val="0"/>
      </c:catAx>
      <c:valAx>
        <c:axId val="133886336"/>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detainees</a:t>
                </a:r>
              </a:p>
            </c:rich>
          </c:tx>
          <c:layout>
            <c:manualLayout>
              <c:xMode val="edge"/>
              <c:yMode val="edge"/>
              <c:x val="1.8779215098112801E-2"/>
              <c:y val="0.381411490230391"/>
            </c:manualLayout>
          </c:layout>
          <c:overlay val="0"/>
          <c:spPr>
            <a:noFill/>
            <a:ln w="25400">
              <a:noFill/>
            </a:ln>
          </c:spPr>
        </c:title>
        <c:numFmt formatCode="#\ ###\ ###"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5683584"/>
        <c:crosses val="autoZero"/>
        <c:crossBetween val="between"/>
        <c:majorUnit val="20500"/>
      </c:valAx>
      <c:valAx>
        <c:axId val="133888256"/>
        <c:scaling>
          <c:orientation val="minMax"/>
        </c:scaling>
        <c:delete val="0"/>
        <c:axPos val="r"/>
        <c:numFmt formatCode="General" sourceLinked="1"/>
        <c:majorTickMark val="out"/>
        <c:minorTickMark val="none"/>
        <c:tickLblPos val="nextTo"/>
        <c:crossAx val="50073600"/>
        <c:crosses val="max"/>
        <c:crossBetween val="between"/>
      </c:valAx>
      <c:catAx>
        <c:axId val="50073600"/>
        <c:scaling>
          <c:orientation val="minMax"/>
        </c:scaling>
        <c:delete val="1"/>
        <c:axPos val="b"/>
        <c:numFmt formatCode="General" sourceLinked="1"/>
        <c:majorTickMark val="out"/>
        <c:minorTickMark val="none"/>
        <c:tickLblPos val="nextTo"/>
        <c:crossAx val="133888256"/>
        <c:crosses val="autoZero"/>
        <c:auto val="0"/>
        <c:lblAlgn val="ctr"/>
        <c:lblOffset val="100"/>
        <c:noMultiLvlLbl val="0"/>
      </c:catAx>
      <c:spPr>
        <a:solidFill>
          <a:srgbClr val="FFFFFF"/>
        </a:solidFill>
        <a:ln w="25400">
          <a:noFill/>
        </a:ln>
      </c:spPr>
    </c:plotArea>
    <c:legend>
      <c:legendPos val="b"/>
      <c:layout>
        <c:manualLayout>
          <c:xMode val="edge"/>
          <c:yMode val="edge"/>
          <c:x val="0.11449411003719322"/>
          <c:y val="0.90762800172366542"/>
          <c:w val="0.79577441360728951"/>
          <c:h val="4.8817809690887087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6" r="0.750000000000006"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17952036054925E-2"/>
          <c:y val="7.856771789536672E-2"/>
          <c:w val="0.81338121398778374"/>
          <c:h val="0.51956109652960047"/>
        </c:manualLayout>
      </c:layout>
      <c:barChart>
        <c:barDir val="col"/>
        <c:grouping val="clustered"/>
        <c:varyColors val="0"/>
        <c:ser>
          <c:idx val="1"/>
          <c:order val="0"/>
          <c:tx>
            <c:strRef>
              <c:f>Detainees!$D$9</c:f>
              <c:strCache>
                <c:ptCount val="1"/>
                <c:pt idx="0">
                  <c:v>Sentenced offenders</c:v>
                </c:pt>
              </c:strCache>
            </c:strRef>
          </c:tx>
          <c:spPr>
            <a:solidFill>
              <a:srgbClr val="FF6600"/>
            </a:solidFill>
            <a:ln w="12700">
              <a:solidFill>
                <a:srgbClr val="000000"/>
              </a:solidFill>
              <a:prstDash val="solid"/>
            </a:ln>
          </c:spPr>
          <c:invertIfNegative val="0"/>
          <c:cat>
            <c:strRef>
              <c:f>Detainees!$E$8:$Y$8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Detainees!$E$9:$Y$9</c:f>
              <c:numCache>
                <c:formatCode>#\ ###\ ###</c:formatCode>
                <c:ptCount val="21"/>
                <c:pt idx="0">
                  <c:v>91853</c:v>
                </c:pt>
                <c:pt idx="1">
                  <c:v>86708</c:v>
                </c:pt>
                <c:pt idx="2">
                  <c:v>88885</c:v>
                </c:pt>
                <c:pt idx="3">
                  <c:v>97504</c:v>
                </c:pt>
                <c:pt idx="4">
                  <c:v>95835</c:v>
                </c:pt>
                <c:pt idx="5">
                  <c:v>99692</c:v>
                </c:pt>
                <c:pt idx="6">
                  <c:v>109072</c:v>
                </c:pt>
                <c:pt idx="7">
                  <c:v>115897</c:v>
                </c:pt>
                <c:pt idx="8">
                  <c:v>125322</c:v>
                </c:pt>
                <c:pt idx="9">
                  <c:v>130940</c:v>
                </c:pt>
                <c:pt idx="10">
                  <c:v>134487</c:v>
                </c:pt>
                <c:pt idx="11">
                  <c:v>122410</c:v>
                </c:pt>
                <c:pt idx="12">
                  <c:v>113711</c:v>
                </c:pt>
                <c:pt idx="13">
                  <c:v>111230</c:v>
                </c:pt>
                <c:pt idx="14">
                  <c:v>109877</c:v>
                </c:pt>
                <c:pt idx="15">
                  <c:v>114972</c:v>
                </c:pt>
                <c:pt idx="16">
                  <c:v>113571</c:v>
                </c:pt>
                <c:pt idx="17">
                  <c:v>112535</c:v>
                </c:pt>
                <c:pt idx="18">
                  <c:v>104335</c:v>
                </c:pt>
                <c:pt idx="19">
                  <c:v>111008</c:v>
                </c:pt>
                <c:pt idx="20">
                  <c:v>116265</c:v>
                </c:pt>
              </c:numCache>
            </c:numRef>
          </c:val>
          <c:extLst>
            <c:ext xmlns:c16="http://schemas.microsoft.com/office/drawing/2014/chart" uri="{C3380CC4-5D6E-409C-BE32-E72D297353CC}">
              <c16:uniqueId val="{00000000-8A47-4E01-B0DC-38DD71240652}"/>
            </c:ext>
          </c:extLst>
        </c:ser>
        <c:ser>
          <c:idx val="0"/>
          <c:order val="1"/>
          <c:tx>
            <c:strRef>
              <c:f>Detainees!$D$10</c:f>
              <c:strCache>
                <c:ptCount val="1"/>
                <c:pt idx="0">
                  <c:v>Remand detainess</c:v>
                </c:pt>
              </c:strCache>
            </c:strRef>
          </c:tx>
          <c:spPr>
            <a:solidFill>
              <a:srgbClr val="FFCC99"/>
            </a:solidFill>
            <a:ln w="28575">
              <a:solidFill>
                <a:srgbClr val="FFC000"/>
              </a:solidFill>
              <a:prstDash val="solid"/>
            </a:ln>
          </c:spPr>
          <c:invertIfNegative val="0"/>
          <c:cat>
            <c:strRef>
              <c:f>Detainees!$E$8:$Y$8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Detainees!$E$10:$Y$10</c:f>
              <c:numCache>
                <c:formatCode>#\ ###\ ###</c:formatCode>
                <c:ptCount val="21"/>
                <c:pt idx="0">
                  <c:v>22021</c:v>
                </c:pt>
                <c:pt idx="1">
                  <c:v>23412</c:v>
                </c:pt>
                <c:pt idx="2">
                  <c:v>29514</c:v>
                </c:pt>
                <c:pt idx="3">
                  <c:v>36698</c:v>
                </c:pt>
                <c:pt idx="4">
                  <c:v>45607</c:v>
                </c:pt>
                <c:pt idx="5">
                  <c:v>54884</c:v>
                </c:pt>
                <c:pt idx="6">
                  <c:v>57262</c:v>
                </c:pt>
                <c:pt idx="7">
                  <c:v>53662</c:v>
                </c:pt>
                <c:pt idx="8">
                  <c:v>53996</c:v>
                </c:pt>
                <c:pt idx="9">
                  <c:v>53901</c:v>
                </c:pt>
                <c:pt idx="10">
                  <c:v>51020</c:v>
                </c:pt>
                <c:pt idx="11">
                  <c:v>46971</c:v>
                </c:pt>
                <c:pt idx="12">
                  <c:v>44884</c:v>
                </c:pt>
                <c:pt idx="13">
                  <c:v>47595</c:v>
                </c:pt>
                <c:pt idx="14">
                  <c:v>49150</c:v>
                </c:pt>
                <c:pt idx="15">
                  <c:v>47602</c:v>
                </c:pt>
                <c:pt idx="16">
                  <c:v>47350</c:v>
                </c:pt>
                <c:pt idx="17">
                  <c:v>49696</c:v>
                </c:pt>
                <c:pt idx="18">
                  <c:v>46090</c:v>
                </c:pt>
                <c:pt idx="19">
                  <c:v>44702</c:v>
                </c:pt>
                <c:pt idx="20">
                  <c:v>43298</c:v>
                </c:pt>
              </c:numCache>
            </c:numRef>
          </c:val>
          <c:extLst>
            <c:ext xmlns:c16="http://schemas.microsoft.com/office/drawing/2014/chart" uri="{C3380CC4-5D6E-409C-BE32-E72D297353CC}">
              <c16:uniqueId val="{00000001-8A47-4E01-B0DC-38DD71240652}"/>
            </c:ext>
          </c:extLst>
        </c:ser>
        <c:dLbls>
          <c:showLegendKey val="0"/>
          <c:showVal val="0"/>
          <c:showCatName val="0"/>
          <c:showSerName val="0"/>
          <c:showPercent val="0"/>
          <c:showBubbleSize val="0"/>
        </c:dLbls>
        <c:gapWidth val="150"/>
        <c:axId val="50111616"/>
        <c:axId val="50113152"/>
      </c:barChart>
      <c:lineChart>
        <c:grouping val="standard"/>
        <c:varyColors val="0"/>
        <c:ser>
          <c:idx val="4"/>
          <c:order val="4"/>
          <c:tx>
            <c:strRef>
              <c:f>Detainees!$D$29</c:f>
              <c:strCache>
                <c:ptCount val="1"/>
                <c:pt idx="0">
                  <c:v>More than  20 Years </c:v>
                </c:pt>
              </c:strCache>
            </c:strRef>
          </c:tx>
          <c:marker>
            <c:symbol val="none"/>
          </c:marker>
          <c:cat>
            <c:strRef>
              <c:f>Detainees!$E$8:$Y$8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Detainees!$E$29:$Y$29</c:f>
              <c:numCache>
                <c:formatCode>###\ ###\ ###</c:formatCode>
                <c:ptCount val="21"/>
                <c:pt idx="1">
                  <c:v>1983</c:v>
                </c:pt>
                <c:pt idx="2">
                  <c:v>2402</c:v>
                </c:pt>
                <c:pt idx="3">
                  <c:v>2862</c:v>
                </c:pt>
                <c:pt idx="4">
                  <c:v>3568</c:v>
                </c:pt>
                <c:pt idx="5">
                  <c:v>4410</c:v>
                </c:pt>
                <c:pt idx="6">
                  <c:v>5395</c:v>
                </c:pt>
                <c:pt idx="7">
                  <c:v>6437</c:v>
                </c:pt>
                <c:pt idx="8">
                  <c:v>7452</c:v>
                </c:pt>
                <c:pt idx="9">
                  <c:v>8312</c:v>
                </c:pt>
                <c:pt idx="10">
                  <c:v>8934</c:v>
                </c:pt>
                <c:pt idx="11">
                  <c:v>9332</c:v>
                </c:pt>
                <c:pt idx="12">
                  <c:v>9583</c:v>
                </c:pt>
                <c:pt idx="13">
                  <c:v>9743</c:v>
                </c:pt>
                <c:pt idx="14">
                  <c:v>10155</c:v>
                </c:pt>
                <c:pt idx="15">
                  <c:v>10583</c:v>
                </c:pt>
                <c:pt idx="16">
                  <c:v>10761</c:v>
                </c:pt>
                <c:pt idx="17">
                  <c:v>10304</c:v>
                </c:pt>
                <c:pt idx="18">
                  <c:v>10134</c:v>
                </c:pt>
                <c:pt idx="19">
                  <c:v>9790</c:v>
                </c:pt>
                <c:pt idx="20">
                  <c:v>10517</c:v>
                </c:pt>
              </c:numCache>
            </c:numRef>
          </c:val>
          <c:smooth val="0"/>
          <c:extLst>
            <c:ext xmlns:c16="http://schemas.microsoft.com/office/drawing/2014/chart" uri="{C3380CC4-5D6E-409C-BE32-E72D297353CC}">
              <c16:uniqueId val="{00000002-8A47-4E01-B0DC-38DD71240652}"/>
            </c:ext>
          </c:extLst>
        </c:ser>
        <c:dLbls>
          <c:showLegendKey val="0"/>
          <c:showVal val="0"/>
          <c:showCatName val="0"/>
          <c:showSerName val="0"/>
          <c:showPercent val="0"/>
          <c:showBubbleSize val="0"/>
        </c:dLbls>
        <c:marker val="1"/>
        <c:smooth val="0"/>
        <c:axId val="50111616"/>
        <c:axId val="50113152"/>
      </c:lineChart>
      <c:lineChart>
        <c:grouping val="standard"/>
        <c:varyColors val="0"/>
        <c:ser>
          <c:idx val="2"/>
          <c:order val="2"/>
          <c:tx>
            <c:strRef>
              <c:f>Detainees!$D$27</c:f>
              <c:strCache>
                <c:ptCount val="1"/>
                <c:pt idx="0">
                  <c:v>Between  10 and 15 Years </c:v>
                </c:pt>
              </c:strCache>
            </c:strRef>
          </c:tx>
          <c:marker>
            <c:symbol val="none"/>
          </c:marker>
          <c:cat>
            <c:strRef>
              <c:f>Detainees!$E$8:$Y$8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Detainees!$E$27:$Y$27</c:f>
              <c:numCache>
                <c:formatCode>###\ ###\ ###</c:formatCode>
                <c:ptCount val="21"/>
                <c:pt idx="1">
                  <c:v>6099</c:v>
                </c:pt>
                <c:pt idx="2">
                  <c:v>6487</c:v>
                </c:pt>
                <c:pt idx="3">
                  <c:v>7086</c:v>
                </c:pt>
                <c:pt idx="4">
                  <c:v>7848</c:v>
                </c:pt>
                <c:pt idx="5">
                  <c:v>9174</c:v>
                </c:pt>
                <c:pt idx="6">
                  <c:v>11734</c:v>
                </c:pt>
                <c:pt idx="7">
                  <c:v>14516</c:v>
                </c:pt>
                <c:pt idx="8">
                  <c:v>17519</c:v>
                </c:pt>
                <c:pt idx="9">
                  <c:v>20131</c:v>
                </c:pt>
                <c:pt idx="10">
                  <c:v>22161</c:v>
                </c:pt>
                <c:pt idx="11">
                  <c:v>23539</c:v>
                </c:pt>
                <c:pt idx="12">
                  <c:v>23956</c:v>
                </c:pt>
                <c:pt idx="13">
                  <c:v>23292</c:v>
                </c:pt>
                <c:pt idx="14">
                  <c:v>22672</c:v>
                </c:pt>
                <c:pt idx="15">
                  <c:v>22033</c:v>
                </c:pt>
                <c:pt idx="16">
                  <c:v>20625</c:v>
                </c:pt>
                <c:pt idx="17">
                  <c:v>20156</c:v>
                </c:pt>
                <c:pt idx="18">
                  <c:v>20631</c:v>
                </c:pt>
                <c:pt idx="19">
                  <c:v>21035</c:v>
                </c:pt>
                <c:pt idx="20">
                  <c:v>22595</c:v>
                </c:pt>
              </c:numCache>
            </c:numRef>
          </c:val>
          <c:smooth val="0"/>
          <c:extLst>
            <c:ext xmlns:c16="http://schemas.microsoft.com/office/drawing/2014/chart" uri="{C3380CC4-5D6E-409C-BE32-E72D297353CC}">
              <c16:uniqueId val="{00000003-8A47-4E01-B0DC-38DD71240652}"/>
            </c:ext>
          </c:extLst>
        </c:ser>
        <c:ser>
          <c:idx val="3"/>
          <c:order val="3"/>
          <c:tx>
            <c:strRef>
              <c:f>Detainees!$D$28</c:f>
              <c:strCache>
                <c:ptCount val="1"/>
                <c:pt idx="0">
                  <c:v>Between  15 and 20 Years </c:v>
                </c:pt>
              </c:strCache>
            </c:strRef>
          </c:tx>
          <c:marker>
            <c:symbol val="none"/>
          </c:marker>
          <c:cat>
            <c:strRef>
              <c:f>Detainees!$E$8:$Y$8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Detainees!$E$28:$Y$28</c:f>
              <c:numCache>
                <c:formatCode>###\ ###\ ###</c:formatCode>
                <c:ptCount val="21"/>
                <c:pt idx="1">
                  <c:v>2732</c:v>
                </c:pt>
                <c:pt idx="2">
                  <c:v>2964</c:v>
                </c:pt>
                <c:pt idx="3">
                  <c:v>3297</c:v>
                </c:pt>
                <c:pt idx="4">
                  <c:v>3623</c:v>
                </c:pt>
                <c:pt idx="5">
                  <c:v>4176</c:v>
                </c:pt>
                <c:pt idx="6">
                  <c:v>5137</c:v>
                </c:pt>
                <c:pt idx="7">
                  <c:v>6316</c:v>
                </c:pt>
                <c:pt idx="8">
                  <c:v>7669</c:v>
                </c:pt>
                <c:pt idx="9">
                  <c:v>8948</c:v>
                </c:pt>
                <c:pt idx="10">
                  <c:v>10120</c:v>
                </c:pt>
                <c:pt idx="11">
                  <c:v>10920</c:v>
                </c:pt>
                <c:pt idx="12">
                  <c:v>11375</c:v>
                </c:pt>
                <c:pt idx="13">
                  <c:v>11740</c:v>
                </c:pt>
                <c:pt idx="14">
                  <c:v>12251</c:v>
                </c:pt>
                <c:pt idx="15">
                  <c:v>12597</c:v>
                </c:pt>
                <c:pt idx="16">
                  <c:v>12435</c:v>
                </c:pt>
                <c:pt idx="17">
                  <c:v>11663</c:v>
                </c:pt>
                <c:pt idx="18">
                  <c:v>11973</c:v>
                </c:pt>
                <c:pt idx="19">
                  <c:v>12441</c:v>
                </c:pt>
                <c:pt idx="20">
                  <c:v>13365</c:v>
                </c:pt>
              </c:numCache>
            </c:numRef>
          </c:val>
          <c:smooth val="0"/>
          <c:extLst>
            <c:ext xmlns:c16="http://schemas.microsoft.com/office/drawing/2014/chart" uri="{C3380CC4-5D6E-409C-BE32-E72D297353CC}">
              <c16:uniqueId val="{00000004-8A47-4E01-B0DC-38DD71240652}"/>
            </c:ext>
          </c:extLst>
        </c:ser>
        <c:ser>
          <c:idx val="5"/>
          <c:order val="5"/>
          <c:tx>
            <c:strRef>
              <c:f>Detainees!$D$30</c:f>
              <c:strCache>
                <c:ptCount val="1"/>
                <c:pt idx="0">
                  <c:v>Life Sentence</c:v>
                </c:pt>
              </c:strCache>
            </c:strRef>
          </c:tx>
          <c:marker>
            <c:symbol val="none"/>
          </c:marker>
          <c:cat>
            <c:strRef>
              <c:f>Detainees!$E$8:$Y$8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Detainees!$E$30:$Y$30</c:f>
              <c:numCache>
                <c:formatCode>###\ ###\ ###</c:formatCode>
                <c:ptCount val="21"/>
                <c:pt idx="1">
                  <c:v>433</c:v>
                </c:pt>
                <c:pt idx="2">
                  <c:v>518</c:v>
                </c:pt>
                <c:pt idx="3">
                  <c:v>638</c:v>
                </c:pt>
                <c:pt idx="4">
                  <c:v>793</c:v>
                </c:pt>
                <c:pt idx="5">
                  <c:v>928</c:v>
                </c:pt>
                <c:pt idx="6">
                  <c:v>1436</c:v>
                </c:pt>
                <c:pt idx="7">
                  <c:v>2313</c:v>
                </c:pt>
                <c:pt idx="8">
                  <c:v>3296</c:v>
                </c:pt>
                <c:pt idx="9">
                  <c:v>4249</c:v>
                </c:pt>
                <c:pt idx="10">
                  <c:v>5284</c:v>
                </c:pt>
                <c:pt idx="11">
                  <c:v>6214</c:v>
                </c:pt>
                <c:pt idx="12">
                  <c:v>6998</c:v>
                </c:pt>
                <c:pt idx="13">
                  <c:v>7574</c:v>
                </c:pt>
                <c:pt idx="14">
                  <c:v>8354</c:v>
                </c:pt>
                <c:pt idx="15">
                  <c:v>9141</c:v>
                </c:pt>
                <c:pt idx="16">
                  <c:v>9947</c:v>
                </c:pt>
                <c:pt idx="17">
                  <c:v>10981</c:v>
                </c:pt>
                <c:pt idx="18">
                  <c:v>11660</c:v>
                </c:pt>
                <c:pt idx="19">
                  <c:v>12658</c:v>
                </c:pt>
                <c:pt idx="20">
                  <c:v>13597</c:v>
                </c:pt>
              </c:numCache>
            </c:numRef>
          </c:val>
          <c:smooth val="0"/>
          <c:extLst>
            <c:ext xmlns:c16="http://schemas.microsoft.com/office/drawing/2014/chart" uri="{C3380CC4-5D6E-409C-BE32-E72D297353CC}">
              <c16:uniqueId val="{00000005-8A47-4E01-B0DC-38DD71240652}"/>
            </c:ext>
          </c:extLst>
        </c:ser>
        <c:dLbls>
          <c:showLegendKey val="0"/>
          <c:showVal val="0"/>
          <c:showCatName val="0"/>
          <c:showSerName val="0"/>
          <c:showPercent val="0"/>
          <c:showBubbleSize val="0"/>
        </c:dLbls>
        <c:marker val="1"/>
        <c:smooth val="0"/>
        <c:axId val="50120960"/>
        <c:axId val="50119424"/>
      </c:lineChart>
      <c:catAx>
        <c:axId val="50111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50113152"/>
        <c:crosses val="autoZero"/>
        <c:auto val="0"/>
        <c:lblAlgn val="ctr"/>
        <c:lblOffset val="100"/>
        <c:tickLblSkip val="1"/>
        <c:tickMarkSkip val="1"/>
        <c:noMultiLvlLbl val="0"/>
      </c:catAx>
      <c:valAx>
        <c:axId val="50113152"/>
        <c:scaling>
          <c:orientation val="minMax"/>
        </c:scaling>
        <c:delete val="0"/>
        <c:axPos val="l"/>
        <c:majorGridlines>
          <c:spPr>
            <a:ln w="3175">
              <a:solidFill>
                <a:srgbClr val="969696"/>
              </a:solidFill>
              <a:prstDash val="sysDash"/>
            </a:ln>
          </c:spPr>
        </c:majorGridlines>
        <c:title>
          <c:tx>
            <c:rich>
              <a:bodyPr/>
              <a:lstStyle/>
              <a:p>
                <a:pPr>
                  <a:defRPr/>
                </a:pPr>
                <a:r>
                  <a:rPr lang="en-ZA"/>
                  <a:t>detainees</a:t>
                </a:r>
              </a:p>
            </c:rich>
          </c:tx>
          <c:layout>
            <c:manualLayout>
              <c:xMode val="edge"/>
              <c:yMode val="edge"/>
              <c:x val="3.0771893755541669E-3"/>
              <c:y val="0.19622619287973617"/>
            </c:manualLayout>
          </c:layout>
          <c:overlay val="0"/>
          <c:spPr>
            <a:noFill/>
            <a:ln w="25400">
              <a:noFill/>
            </a:ln>
          </c:spPr>
        </c:title>
        <c:numFmt formatCode="#\ ###\ ###" sourceLinked="1"/>
        <c:majorTickMark val="out"/>
        <c:minorTickMark val="none"/>
        <c:tickLblPos val="nextTo"/>
        <c:spPr>
          <a:ln w="3175">
            <a:solidFill>
              <a:srgbClr val="000000"/>
            </a:solidFill>
            <a:prstDash val="solid"/>
          </a:ln>
        </c:spPr>
        <c:txPr>
          <a:bodyPr rot="0" vert="horz"/>
          <a:lstStyle/>
          <a:p>
            <a:pPr>
              <a:defRPr/>
            </a:pPr>
            <a:endParaRPr lang="en-US"/>
          </a:p>
        </c:txPr>
        <c:crossAx val="50111616"/>
        <c:crosses val="autoZero"/>
        <c:crossBetween val="between"/>
        <c:majorUnit val="20500"/>
      </c:valAx>
      <c:valAx>
        <c:axId val="50119424"/>
        <c:scaling>
          <c:orientation val="minMax"/>
        </c:scaling>
        <c:delete val="0"/>
        <c:axPos val="r"/>
        <c:numFmt formatCode="General" sourceLinked="1"/>
        <c:majorTickMark val="out"/>
        <c:minorTickMark val="none"/>
        <c:tickLblPos val="nextTo"/>
        <c:crossAx val="50120960"/>
        <c:crosses val="max"/>
        <c:crossBetween val="between"/>
      </c:valAx>
      <c:catAx>
        <c:axId val="50120960"/>
        <c:scaling>
          <c:orientation val="minMax"/>
        </c:scaling>
        <c:delete val="1"/>
        <c:axPos val="b"/>
        <c:numFmt formatCode="General" sourceLinked="1"/>
        <c:majorTickMark val="out"/>
        <c:minorTickMark val="none"/>
        <c:tickLblPos val="nextTo"/>
        <c:crossAx val="50119424"/>
        <c:crosses val="autoZero"/>
        <c:auto val="0"/>
        <c:lblAlgn val="ctr"/>
        <c:lblOffset val="100"/>
        <c:noMultiLvlLbl val="0"/>
      </c:catAx>
      <c:spPr>
        <a:solidFill>
          <a:srgbClr val="FFFFFF"/>
        </a:solidFill>
        <a:ln w="25400">
          <a:noFill/>
        </a:ln>
      </c:spPr>
    </c:plotArea>
    <c:legend>
      <c:legendPos val="b"/>
      <c:layout>
        <c:manualLayout>
          <c:xMode val="edge"/>
          <c:yMode val="edge"/>
          <c:x val="0"/>
          <c:y val="0.7948584058571625"/>
          <c:w val="1"/>
          <c:h val="0.1556553828207371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oddHeader>&amp;A</c:oddHeader>
      <c:oddFooter>Page &amp;P</c:oddFooter>
    </c:headerFooter>
    <c:pageMargins b="1" l="0.750000000000006" r="0.750000000000006"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Number of offenders that benefitted from rehabilitation</a:t>
            </a:r>
          </a:p>
        </c:rich>
      </c:tx>
      <c:overlay val="0"/>
    </c:title>
    <c:autoTitleDeleted val="0"/>
    <c:plotArea>
      <c:layout>
        <c:manualLayout>
          <c:layoutTarget val="inner"/>
          <c:xMode val="edge"/>
          <c:yMode val="edge"/>
          <c:x val="7.4150184778815215E-2"/>
          <c:y val="0.15400911111770529"/>
          <c:w val="0.86075258125172305"/>
          <c:h val="0.53860874295656203"/>
        </c:manualLayout>
      </c:layout>
      <c:lineChart>
        <c:grouping val="standard"/>
        <c:varyColors val="0"/>
        <c:ser>
          <c:idx val="1"/>
          <c:order val="0"/>
          <c:tx>
            <c:strRef>
              <c:f>Rehabilitation!$D$9</c:f>
              <c:strCache>
                <c:ptCount val="1"/>
                <c:pt idx="0">
                  <c:v>Correctional Programmes</c:v>
                </c:pt>
              </c:strCache>
            </c:strRef>
          </c:tx>
          <c:spPr>
            <a:ln w="15875">
              <a:solidFill>
                <a:srgbClr val="FF6600"/>
              </a:solidFill>
            </a:ln>
          </c:spPr>
          <c:marker>
            <c:symbol val="none"/>
          </c:marker>
          <c:cat>
            <c:strRef>
              <c:f>Rehabilitation!$E$8:$X$8</c:f>
              <c:strCache>
                <c:ptCount val="20"/>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strCache>
            </c:strRef>
          </c:cat>
          <c:val>
            <c:numRef>
              <c:f>Rehabilitation!$E$9:$X$9</c:f>
              <c:numCache>
                <c:formatCode>General</c:formatCode>
                <c:ptCount val="20"/>
                <c:pt idx="12" formatCode="#\ ##0">
                  <c:v>24657</c:v>
                </c:pt>
                <c:pt idx="13" formatCode="#\ ##0">
                  <c:v>60543</c:v>
                </c:pt>
                <c:pt idx="14" formatCode="#\ ##0">
                  <c:v>44481</c:v>
                </c:pt>
                <c:pt idx="15" formatCode="#\ ##0">
                  <c:v>116097</c:v>
                </c:pt>
                <c:pt idx="16" formatCode="#\ ##0">
                  <c:v>116716</c:v>
                </c:pt>
                <c:pt idx="17" formatCode="#\ ##0">
                  <c:v>77087</c:v>
                </c:pt>
                <c:pt idx="18" formatCode="#\ ##0">
                  <c:v>61049</c:v>
                </c:pt>
                <c:pt idx="19" formatCode="#\ ##0">
                  <c:v>68624</c:v>
                </c:pt>
              </c:numCache>
            </c:numRef>
          </c:val>
          <c:smooth val="0"/>
          <c:extLst>
            <c:ext xmlns:c16="http://schemas.microsoft.com/office/drawing/2014/chart" uri="{C3380CC4-5D6E-409C-BE32-E72D297353CC}">
              <c16:uniqueId val="{00000000-8C65-445C-9F50-28C3F6FE5CA0}"/>
            </c:ext>
          </c:extLst>
        </c:ser>
        <c:ser>
          <c:idx val="2"/>
          <c:order val="1"/>
          <c:tx>
            <c:strRef>
              <c:f>Rehabilitation!$D$10</c:f>
              <c:strCache>
                <c:ptCount val="1"/>
                <c:pt idx="0">
                  <c:v>Development Programmes</c:v>
                </c:pt>
              </c:strCache>
            </c:strRef>
          </c:tx>
          <c:spPr>
            <a:ln w="15875">
              <a:solidFill>
                <a:schemeClr val="accent2"/>
              </a:solidFill>
            </a:ln>
          </c:spPr>
          <c:marker>
            <c:symbol val="none"/>
          </c:marker>
          <c:cat>
            <c:strRef>
              <c:f>Rehabilitation!$E$8:$X$8</c:f>
              <c:strCache>
                <c:ptCount val="20"/>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strCache>
            </c:strRef>
          </c:cat>
          <c:val>
            <c:numRef>
              <c:f>Rehabilitation!$E$10:$X$10</c:f>
              <c:numCache>
                <c:formatCode>#\ ##0</c:formatCode>
                <c:ptCount val="20"/>
                <c:pt idx="2">
                  <c:v>13013</c:v>
                </c:pt>
                <c:pt idx="3">
                  <c:v>9076</c:v>
                </c:pt>
                <c:pt idx="4">
                  <c:v>19603</c:v>
                </c:pt>
                <c:pt idx="5">
                  <c:v>22998</c:v>
                </c:pt>
                <c:pt idx="6">
                  <c:v>29114</c:v>
                </c:pt>
                <c:pt idx="7">
                  <c:v>41392</c:v>
                </c:pt>
                <c:pt idx="8">
                  <c:v>40938</c:v>
                </c:pt>
                <c:pt idx="9">
                  <c:v>41546</c:v>
                </c:pt>
                <c:pt idx="10">
                  <c:v>35162</c:v>
                </c:pt>
                <c:pt idx="11">
                  <c:v>44663</c:v>
                </c:pt>
                <c:pt idx="12">
                  <c:v>43593</c:v>
                </c:pt>
                <c:pt idx="13">
                  <c:v>25238</c:v>
                </c:pt>
                <c:pt idx="14">
                  <c:v>101620</c:v>
                </c:pt>
                <c:pt idx="15">
                  <c:v>34875</c:v>
                </c:pt>
                <c:pt idx="16">
                  <c:v>33807</c:v>
                </c:pt>
                <c:pt idx="17">
                  <c:v>30657</c:v>
                </c:pt>
                <c:pt idx="18">
                  <c:v>29965</c:v>
                </c:pt>
                <c:pt idx="19">
                  <c:v>24140</c:v>
                </c:pt>
              </c:numCache>
            </c:numRef>
          </c:val>
          <c:smooth val="0"/>
          <c:extLst>
            <c:ext xmlns:c16="http://schemas.microsoft.com/office/drawing/2014/chart" uri="{C3380CC4-5D6E-409C-BE32-E72D297353CC}">
              <c16:uniqueId val="{00000001-8C65-445C-9F50-28C3F6FE5CA0}"/>
            </c:ext>
          </c:extLst>
        </c:ser>
        <c:ser>
          <c:idx val="3"/>
          <c:order val="2"/>
          <c:tx>
            <c:strRef>
              <c:f>Rehabilitation!$D$15</c:f>
              <c:strCache>
                <c:ptCount val="1"/>
                <c:pt idx="0">
                  <c:v>Psychological Services</c:v>
                </c:pt>
              </c:strCache>
            </c:strRef>
          </c:tx>
          <c:spPr>
            <a:ln w="15875">
              <a:solidFill>
                <a:schemeClr val="accent3"/>
              </a:solidFill>
            </a:ln>
          </c:spPr>
          <c:marker>
            <c:symbol val="none"/>
          </c:marker>
          <c:val>
            <c:numRef>
              <c:f>Rehabilitation!$E$15:$X$15</c:f>
              <c:numCache>
                <c:formatCode>###\ ###\ ###</c:formatCode>
                <c:ptCount val="20"/>
                <c:pt idx="12">
                  <c:v>157444</c:v>
                </c:pt>
                <c:pt idx="13">
                  <c:v>9073</c:v>
                </c:pt>
                <c:pt idx="17">
                  <c:v>20865</c:v>
                </c:pt>
                <c:pt idx="18">
                  <c:v>21120</c:v>
                </c:pt>
                <c:pt idx="19">
                  <c:v>23565</c:v>
                </c:pt>
              </c:numCache>
            </c:numRef>
          </c:val>
          <c:smooth val="0"/>
          <c:extLst>
            <c:ext xmlns:c16="http://schemas.microsoft.com/office/drawing/2014/chart" uri="{C3380CC4-5D6E-409C-BE32-E72D297353CC}">
              <c16:uniqueId val="{00000002-8C65-445C-9F50-28C3F6FE5CA0}"/>
            </c:ext>
          </c:extLst>
        </c:ser>
        <c:ser>
          <c:idx val="4"/>
          <c:order val="3"/>
          <c:tx>
            <c:strRef>
              <c:f>Rehabilitation!$D$16</c:f>
              <c:strCache>
                <c:ptCount val="1"/>
                <c:pt idx="0">
                  <c:v>Social work</c:v>
                </c:pt>
              </c:strCache>
            </c:strRef>
          </c:tx>
          <c:spPr>
            <a:ln w="15875">
              <a:solidFill>
                <a:srgbClr val="00B050"/>
              </a:solidFill>
            </a:ln>
          </c:spPr>
          <c:marker>
            <c:symbol val="none"/>
          </c:marker>
          <c:val>
            <c:numRef>
              <c:f>Rehabilitation!$E$16:$X$16</c:f>
              <c:numCache>
                <c:formatCode>###\ ###\ ###</c:formatCode>
                <c:ptCount val="20"/>
                <c:pt idx="0">
                  <c:v>10010</c:v>
                </c:pt>
                <c:pt idx="1">
                  <c:v>153672</c:v>
                </c:pt>
                <c:pt idx="2">
                  <c:v>106324</c:v>
                </c:pt>
                <c:pt idx="3">
                  <c:v>125164</c:v>
                </c:pt>
                <c:pt idx="4">
                  <c:v>48680</c:v>
                </c:pt>
                <c:pt idx="5">
                  <c:v>23783</c:v>
                </c:pt>
                <c:pt idx="6">
                  <c:v>31122</c:v>
                </c:pt>
                <c:pt idx="7">
                  <c:v>8851</c:v>
                </c:pt>
                <c:pt idx="8">
                  <c:v>103380</c:v>
                </c:pt>
                <c:pt idx="9">
                  <c:v>77858</c:v>
                </c:pt>
                <c:pt idx="10">
                  <c:v>118057</c:v>
                </c:pt>
                <c:pt idx="11">
                  <c:v>86571</c:v>
                </c:pt>
                <c:pt idx="12">
                  <c:v>13034</c:v>
                </c:pt>
                <c:pt idx="13">
                  <c:v>116115</c:v>
                </c:pt>
                <c:pt idx="14">
                  <c:v>28187</c:v>
                </c:pt>
                <c:pt idx="15">
                  <c:v>134358</c:v>
                </c:pt>
                <c:pt idx="16">
                  <c:v>40469</c:v>
                </c:pt>
                <c:pt idx="17">
                  <c:v>104073</c:v>
                </c:pt>
                <c:pt idx="18">
                  <c:v>152406</c:v>
                </c:pt>
                <c:pt idx="19">
                  <c:v>152707</c:v>
                </c:pt>
              </c:numCache>
            </c:numRef>
          </c:val>
          <c:smooth val="0"/>
          <c:extLst>
            <c:ext xmlns:c16="http://schemas.microsoft.com/office/drawing/2014/chart" uri="{C3380CC4-5D6E-409C-BE32-E72D297353CC}">
              <c16:uniqueId val="{00000003-8C65-445C-9F50-28C3F6FE5CA0}"/>
            </c:ext>
          </c:extLst>
        </c:ser>
        <c:ser>
          <c:idx val="5"/>
          <c:order val="4"/>
          <c:tx>
            <c:strRef>
              <c:f>Rehabilitation!$D$17</c:f>
              <c:strCache>
                <c:ptCount val="1"/>
                <c:pt idx="0">
                  <c:v>Spiritual care</c:v>
                </c:pt>
              </c:strCache>
            </c:strRef>
          </c:tx>
          <c:spPr>
            <a:ln w="15875">
              <a:solidFill>
                <a:srgbClr val="3D96AE"/>
              </a:solidFill>
            </a:ln>
          </c:spPr>
          <c:marker>
            <c:symbol val="none"/>
          </c:marker>
          <c:val>
            <c:numRef>
              <c:f>Rehabilitation!$E$17:$X$17</c:f>
              <c:numCache>
                <c:formatCode>###\ ###\ ###</c:formatCode>
                <c:ptCount val="20"/>
                <c:pt idx="0">
                  <c:v>64059</c:v>
                </c:pt>
                <c:pt idx="1">
                  <c:v>76275</c:v>
                </c:pt>
                <c:pt idx="2">
                  <c:v>113033</c:v>
                </c:pt>
                <c:pt idx="3">
                  <c:v>121738</c:v>
                </c:pt>
                <c:pt idx="4">
                  <c:v>0</c:v>
                </c:pt>
                <c:pt idx="5">
                  <c:v>152786</c:v>
                </c:pt>
                <c:pt idx="6">
                  <c:v>124374</c:v>
                </c:pt>
                <c:pt idx="7">
                  <c:v>168009</c:v>
                </c:pt>
                <c:pt idx="8">
                  <c:v>156457</c:v>
                </c:pt>
                <c:pt idx="9">
                  <c:v>161618</c:v>
                </c:pt>
                <c:pt idx="10">
                  <c:v>165615</c:v>
                </c:pt>
                <c:pt idx="11">
                  <c:v>164582</c:v>
                </c:pt>
                <c:pt idx="12">
                  <c:v>165965</c:v>
                </c:pt>
                <c:pt idx="13">
                  <c:v>168784</c:v>
                </c:pt>
                <c:pt idx="14">
                  <c:v>178776</c:v>
                </c:pt>
                <c:pt idx="15">
                  <c:v>198859</c:v>
                </c:pt>
                <c:pt idx="16">
                  <c:v>83198</c:v>
                </c:pt>
                <c:pt idx="17">
                  <c:v>106478</c:v>
                </c:pt>
                <c:pt idx="18">
                  <c:v>120668</c:v>
                </c:pt>
                <c:pt idx="19">
                  <c:v>133826</c:v>
                </c:pt>
              </c:numCache>
            </c:numRef>
          </c:val>
          <c:smooth val="0"/>
          <c:extLst>
            <c:ext xmlns:c16="http://schemas.microsoft.com/office/drawing/2014/chart" uri="{C3380CC4-5D6E-409C-BE32-E72D297353CC}">
              <c16:uniqueId val="{00000004-8C65-445C-9F50-28C3F6FE5CA0}"/>
            </c:ext>
          </c:extLst>
        </c:ser>
        <c:dLbls>
          <c:showLegendKey val="0"/>
          <c:showVal val="0"/>
          <c:showCatName val="0"/>
          <c:showSerName val="0"/>
          <c:showPercent val="0"/>
          <c:showBubbleSize val="0"/>
        </c:dLbls>
        <c:smooth val="0"/>
        <c:axId val="50197632"/>
        <c:axId val="50199168"/>
      </c:lineChart>
      <c:catAx>
        <c:axId val="50197632"/>
        <c:scaling>
          <c:orientation val="minMax"/>
        </c:scaling>
        <c:delete val="0"/>
        <c:axPos val="b"/>
        <c:numFmt formatCode="General" sourceLinked="0"/>
        <c:majorTickMark val="out"/>
        <c:minorTickMark val="none"/>
        <c:tickLblPos val="nextTo"/>
        <c:spPr>
          <a:ln w="3175">
            <a:solidFill>
              <a:schemeClr val="tx1"/>
            </a:solidFill>
          </a:ln>
        </c:spPr>
        <c:txPr>
          <a:bodyPr rot="-5400000" vert="horz"/>
          <a:lstStyle/>
          <a:p>
            <a:pPr>
              <a:defRPr/>
            </a:pPr>
            <a:endParaRPr lang="en-US"/>
          </a:p>
        </c:txPr>
        <c:crossAx val="50199168"/>
        <c:crosses val="autoZero"/>
        <c:auto val="1"/>
        <c:lblAlgn val="ctr"/>
        <c:lblOffset val="100"/>
        <c:noMultiLvlLbl val="0"/>
      </c:catAx>
      <c:valAx>
        <c:axId val="50199168"/>
        <c:scaling>
          <c:orientation val="minMax"/>
        </c:scaling>
        <c:delete val="0"/>
        <c:axPos val="l"/>
        <c:majorGridlines>
          <c:spPr>
            <a:ln w="3175">
              <a:prstDash val="sysDash"/>
            </a:ln>
          </c:spPr>
        </c:majorGridlines>
        <c:title>
          <c:tx>
            <c:rich>
              <a:bodyPr/>
              <a:lstStyle/>
              <a:p>
                <a:pPr>
                  <a:defRPr b="0"/>
                </a:pPr>
                <a:r>
                  <a:rPr lang="en-ZA"/>
                  <a:t>Number</a:t>
                </a:r>
              </a:p>
            </c:rich>
          </c:tx>
          <c:layout>
            <c:manualLayout>
              <c:xMode val="edge"/>
              <c:yMode val="edge"/>
              <c:x val="1.9951904918988947E-2"/>
              <c:y val="0.41461907348370591"/>
            </c:manualLayout>
          </c:layout>
          <c:overlay val="0"/>
        </c:title>
        <c:numFmt formatCode="#\,##0" sourceLinked="0"/>
        <c:majorTickMark val="out"/>
        <c:minorTickMark val="none"/>
        <c:tickLblPos val="nextTo"/>
        <c:spPr>
          <a:ln w="3175">
            <a:solidFill>
              <a:schemeClr val="tx1"/>
            </a:solidFill>
          </a:ln>
        </c:spPr>
        <c:crossAx val="50197632"/>
        <c:crosses val="autoZero"/>
        <c:crossBetween val="between"/>
      </c:valAx>
    </c:plotArea>
    <c:legend>
      <c:legendPos val="b"/>
      <c:layout>
        <c:manualLayout>
          <c:xMode val="edge"/>
          <c:yMode val="edge"/>
          <c:x val="0.23407866366430971"/>
          <c:y val="0.85756169872932053"/>
          <c:w val="0.51166619557170734"/>
          <c:h val="0.11103370542417076"/>
        </c:manualLayout>
      </c:layout>
      <c:overlay val="0"/>
      <c:txPr>
        <a:bodyPr/>
        <a:lstStyle/>
        <a:p>
          <a:pPr>
            <a:defRPr sz="800"/>
          </a:pPr>
          <a:endParaRPr lang="en-US"/>
        </a:p>
      </c:txPr>
    </c:legend>
    <c:plotVisOnly val="1"/>
    <c:dispBlanksAs val="gap"/>
    <c:showDLblsOverMax val="0"/>
  </c:chart>
  <c:spPr>
    <a:ln>
      <a:solidFill>
        <a:sysClr val="windowText" lastClr="000000"/>
      </a:solidFill>
    </a:ln>
  </c:spPr>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Parolees</a:t>
            </a:r>
          </a:p>
        </c:rich>
      </c:tx>
      <c:overlay val="0"/>
    </c:title>
    <c:autoTitleDeleted val="0"/>
    <c:plotArea>
      <c:layout>
        <c:manualLayout>
          <c:layoutTarget val="inner"/>
          <c:xMode val="edge"/>
          <c:yMode val="edge"/>
          <c:x val="6.0034710285096528E-2"/>
          <c:y val="0.11693843510776161"/>
          <c:w val="0.81815401173295266"/>
          <c:h val="0.79011160190342056"/>
        </c:manualLayout>
      </c:layout>
      <c:barChart>
        <c:barDir val="col"/>
        <c:grouping val="clustered"/>
        <c:varyColors val="0"/>
        <c:ser>
          <c:idx val="0"/>
          <c:order val="0"/>
          <c:tx>
            <c:strRef>
              <c:f>Parolees!$D$9</c:f>
              <c:strCache>
                <c:ptCount val="1"/>
                <c:pt idx="0">
                  <c:v>Parolee Caseload</c:v>
                </c:pt>
              </c:strCache>
            </c:strRef>
          </c:tx>
          <c:invertIfNegative val="0"/>
          <c:cat>
            <c:strRef>
              <c:f>Parolees!$F$8:$Y$8</c:f>
              <c:strCache>
                <c:ptCount val="20"/>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strCache>
            </c:strRef>
          </c:cat>
          <c:val>
            <c:numRef>
              <c:f>Parolees!$F$9:$Y$9</c:f>
              <c:numCache>
                <c:formatCode>###\ ###\ ###</c:formatCode>
                <c:ptCount val="20"/>
                <c:pt idx="0">
                  <c:v>17433</c:v>
                </c:pt>
                <c:pt idx="1">
                  <c:v>21159</c:v>
                </c:pt>
                <c:pt idx="2">
                  <c:v>22724</c:v>
                </c:pt>
                <c:pt idx="3">
                  <c:v>22280</c:v>
                </c:pt>
                <c:pt idx="4">
                  <c:v>21659</c:v>
                </c:pt>
                <c:pt idx="5">
                  <c:v>24954</c:v>
                </c:pt>
                <c:pt idx="6">
                  <c:v>28030</c:v>
                </c:pt>
                <c:pt idx="7">
                  <c:v>28941</c:v>
                </c:pt>
                <c:pt idx="8">
                  <c:v>31491</c:v>
                </c:pt>
                <c:pt idx="9">
                  <c:v>31562</c:v>
                </c:pt>
                <c:pt idx="10">
                  <c:v>24387</c:v>
                </c:pt>
                <c:pt idx="11">
                  <c:v>25899</c:v>
                </c:pt>
                <c:pt idx="12">
                  <c:v>30914</c:v>
                </c:pt>
                <c:pt idx="13">
                  <c:v>34299</c:v>
                </c:pt>
                <c:pt idx="14">
                  <c:v>36862</c:v>
                </c:pt>
                <c:pt idx="15">
                  <c:v>42059</c:v>
                </c:pt>
                <c:pt idx="16">
                  <c:v>47095</c:v>
                </c:pt>
                <c:pt idx="17">
                  <c:v>46259</c:v>
                </c:pt>
                <c:pt idx="18">
                  <c:v>49282</c:v>
                </c:pt>
                <c:pt idx="19">
                  <c:v>50855</c:v>
                </c:pt>
              </c:numCache>
            </c:numRef>
          </c:val>
          <c:extLst>
            <c:ext xmlns:c16="http://schemas.microsoft.com/office/drawing/2014/chart" uri="{C3380CC4-5D6E-409C-BE32-E72D297353CC}">
              <c16:uniqueId val="{00000000-4C46-4034-92C4-962BB51FDF2B}"/>
            </c:ext>
          </c:extLst>
        </c:ser>
        <c:ser>
          <c:idx val="1"/>
          <c:order val="1"/>
          <c:tx>
            <c:strRef>
              <c:f>Parolees!$D$10</c:f>
              <c:strCache>
                <c:ptCount val="1"/>
                <c:pt idx="0">
                  <c:v>Parolee without Violations</c:v>
                </c:pt>
              </c:strCache>
            </c:strRef>
          </c:tx>
          <c:invertIfNegative val="0"/>
          <c:cat>
            <c:strRef>
              <c:f>Parolees!$F$8:$Y$8</c:f>
              <c:strCache>
                <c:ptCount val="20"/>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strCache>
            </c:strRef>
          </c:cat>
          <c:val>
            <c:numRef>
              <c:f>Parolees!$F$10:$Y$10</c:f>
              <c:numCache>
                <c:formatCode>###\ ###\ ###</c:formatCode>
                <c:ptCount val="20"/>
                <c:pt idx="0">
                  <c:v>5563.4944444444445</c:v>
                </c:pt>
                <c:pt idx="1">
                  <c:v>8364.9544770031989</c:v>
                </c:pt>
                <c:pt idx="2">
                  <c:v>10483.174880671688</c:v>
                </c:pt>
                <c:pt idx="3">
                  <c:v>10822.799212482736</c:v>
                </c:pt>
                <c:pt idx="4">
                  <c:v>10149.243128224562</c:v>
                </c:pt>
                <c:pt idx="5">
                  <c:v>11879.074162506331</c:v>
                </c:pt>
                <c:pt idx="6">
                  <c:v>15092.232568258456</c:v>
                </c:pt>
                <c:pt idx="7">
                  <c:v>15724.796177550894</c:v>
                </c:pt>
                <c:pt idx="8">
                  <c:v>19354.038755824877</c:v>
                </c:pt>
                <c:pt idx="9">
                  <c:v>21471.488074729146</c:v>
                </c:pt>
                <c:pt idx="10">
                  <c:v>17046.486689916452</c:v>
                </c:pt>
                <c:pt idx="11">
                  <c:v>17411.108003719331</c:v>
                </c:pt>
                <c:pt idx="12">
                  <c:v>21238.989963391057</c:v>
                </c:pt>
                <c:pt idx="13">
                  <c:v>23309.261182664286</c:v>
                </c:pt>
                <c:pt idx="14">
                  <c:v>25721.7098783314</c:v>
                </c:pt>
                <c:pt idx="15">
                  <c:v>28106.833916934149</c:v>
                </c:pt>
                <c:pt idx="16">
                  <c:v>35819</c:v>
                </c:pt>
                <c:pt idx="17">
                  <c:v>39269</c:v>
                </c:pt>
                <c:pt idx="18">
                  <c:v>46380</c:v>
                </c:pt>
                <c:pt idx="19">
                  <c:v>49928</c:v>
                </c:pt>
              </c:numCache>
            </c:numRef>
          </c:val>
          <c:extLst>
            <c:ext xmlns:c16="http://schemas.microsoft.com/office/drawing/2014/chart" uri="{C3380CC4-5D6E-409C-BE32-E72D297353CC}">
              <c16:uniqueId val="{00000001-4C46-4034-92C4-962BB51FDF2B}"/>
            </c:ext>
          </c:extLst>
        </c:ser>
        <c:dLbls>
          <c:showLegendKey val="0"/>
          <c:showVal val="0"/>
          <c:showCatName val="0"/>
          <c:showSerName val="0"/>
          <c:showPercent val="0"/>
          <c:showBubbleSize val="0"/>
        </c:dLbls>
        <c:gapWidth val="150"/>
        <c:axId val="51257344"/>
        <c:axId val="51258880"/>
      </c:barChart>
      <c:catAx>
        <c:axId val="51257344"/>
        <c:scaling>
          <c:orientation val="minMax"/>
        </c:scaling>
        <c:delete val="0"/>
        <c:axPos val="b"/>
        <c:numFmt formatCode="General" sourceLinked="0"/>
        <c:majorTickMark val="out"/>
        <c:minorTickMark val="none"/>
        <c:tickLblPos val="nextTo"/>
        <c:crossAx val="51258880"/>
        <c:crosses val="autoZero"/>
        <c:auto val="1"/>
        <c:lblAlgn val="ctr"/>
        <c:lblOffset val="100"/>
        <c:noMultiLvlLbl val="0"/>
      </c:catAx>
      <c:valAx>
        <c:axId val="51258880"/>
        <c:scaling>
          <c:orientation val="minMax"/>
        </c:scaling>
        <c:delete val="0"/>
        <c:axPos val="l"/>
        <c:majorGridlines/>
        <c:numFmt formatCode="###\ ###\ ###" sourceLinked="1"/>
        <c:majorTickMark val="out"/>
        <c:minorTickMark val="none"/>
        <c:tickLblPos val="nextTo"/>
        <c:crossAx val="51257344"/>
        <c:crosses val="autoZero"/>
        <c:crossBetween val="between"/>
      </c:valAx>
    </c:plotArea>
    <c:legend>
      <c:legendPos val="r"/>
      <c:layout>
        <c:manualLayout>
          <c:xMode val="edge"/>
          <c:yMode val="edge"/>
          <c:x val="0.87836360013125658"/>
          <c:y val="0.47892649511723484"/>
          <c:w val="0.11812947368953947"/>
          <c:h val="0.12441789028902656"/>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ROAD ACCIDENTS AND FATALITIES</a:t>
            </a:r>
          </a:p>
        </c:rich>
      </c:tx>
      <c:layout>
        <c:manualLayout>
          <c:xMode val="edge"/>
          <c:yMode val="edge"/>
          <c:x val="3.4716343754210802E-2"/>
          <c:y val="2.9801324503311452E-2"/>
        </c:manualLayout>
      </c:layout>
      <c:overlay val="0"/>
      <c:spPr>
        <a:noFill/>
        <a:ln w="25400">
          <a:noFill/>
        </a:ln>
      </c:spPr>
    </c:title>
    <c:autoTitleDeleted val="0"/>
    <c:plotArea>
      <c:layout>
        <c:manualLayout>
          <c:layoutTarget val="inner"/>
          <c:xMode val="edge"/>
          <c:yMode val="edge"/>
          <c:x val="5.0804403048264182E-2"/>
          <c:y val="0.14238410596026491"/>
          <c:w val="0.92718035563082135"/>
          <c:h val="0.55960264900662249"/>
        </c:manualLayout>
      </c:layout>
      <c:lineChart>
        <c:grouping val="standard"/>
        <c:varyColors val="0"/>
        <c:ser>
          <c:idx val="0"/>
          <c:order val="0"/>
          <c:tx>
            <c:strRef>
              <c:f>'Road Accidents'!$D$10</c:f>
              <c:strCache>
                <c:ptCount val="1"/>
                <c:pt idx="0">
                  <c:v>Fatal road accidents (per 10 000 motorised vehicles)</c:v>
                </c:pt>
              </c:strCache>
            </c:strRef>
          </c:tx>
          <c:spPr>
            <a:ln w="25400">
              <a:solidFill>
                <a:srgbClr val="993300"/>
              </a:solidFill>
              <a:prstDash val="solid"/>
            </a:ln>
          </c:spPr>
          <c:marker>
            <c:symbol val="none"/>
          </c:marker>
          <c:cat>
            <c:numRef>
              <c:f>'Road Accidents'!$F$8:$Z$8</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'Road Accidents'!$F$10:$Z$10</c:f>
              <c:numCache>
                <c:formatCode>0.00</c:formatCode>
                <c:ptCount val="21"/>
                <c:pt idx="0">
                  <c:v>15.670650390715078</c:v>
                </c:pt>
                <c:pt idx="1">
                  <c:v>13.640405807845433</c:v>
                </c:pt>
                <c:pt idx="2">
                  <c:v>13.435928074043851</c:v>
                </c:pt>
                <c:pt idx="3">
                  <c:v>12.442247939554619</c:v>
                </c:pt>
                <c:pt idx="4">
                  <c:v>12.399280125695126</c:v>
                </c:pt>
                <c:pt idx="5">
                  <c:v>11.070540676322352</c:v>
                </c:pt>
                <c:pt idx="6">
                  <c:v>14.389547715033988</c:v>
                </c:pt>
                <c:pt idx="7">
                  <c:v>16.078908375453878</c:v>
                </c:pt>
                <c:pt idx="8">
                  <c:v>16.105346052508132</c:v>
                </c:pt>
                <c:pt idx="9">
                  <c:v>16.200419054301495</c:v>
                </c:pt>
                <c:pt idx="10">
                  <c:v>17.001266837751331</c:v>
                </c:pt>
                <c:pt idx="11">
                  <c:v>16.853117356539293</c:v>
                </c:pt>
                <c:pt idx="12">
                  <c:v>15.216541803651122</c:v>
                </c:pt>
                <c:pt idx="13">
                  <c:v>13.497301289245231</c:v>
                </c:pt>
                <c:pt idx="14">
                  <c:v>13.35993342798209</c:v>
                </c:pt>
                <c:pt idx="15">
                  <c:v>12.786953508031727</c:v>
                </c:pt>
                <c:pt idx="16">
                  <c:v>12.498350463743012</c:v>
                </c:pt>
                <c:pt idx="17">
                  <c:v>11.71</c:v>
                </c:pt>
                <c:pt idx="18">
                  <c:v>10.45</c:v>
                </c:pt>
                <c:pt idx="19" formatCode="0.0">
                  <c:v>10.26</c:v>
                </c:pt>
                <c:pt idx="20" formatCode="0.0">
                  <c:v>12</c:v>
                </c:pt>
              </c:numCache>
            </c:numRef>
          </c:val>
          <c:smooth val="0"/>
          <c:extLst>
            <c:ext xmlns:c16="http://schemas.microsoft.com/office/drawing/2014/chart" uri="{C3380CC4-5D6E-409C-BE32-E72D297353CC}">
              <c16:uniqueId val="{00000000-67B5-4942-AA6C-617C1CE9FCAB}"/>
            </c:ext>
          </c:extLst>
        </c:ser>
        <c:ser>
          <c:idx val="1"/>
          <c:order val="1"/>
          <c:tx>
            <c:strRef>
              <c:f>'Road Accidents'!$D$11</c:f>
              <c:strCache>
                <c:ptCount val="1"/>
                <c:pt idx="0">
                  <c:v>Fatalities (per 10 000 motorised vehicles)</c:v>
                </c:pt>
              </c:strCache>
            </c:strRef>
          </c:tx>
          <c:spPr>
            <a:ln w="25400"/>
          </c:spPr>
          <c:marker>
            <c:symbol val="none"/>
          </c:marker>
          <c:cat>
            <c:numRef>
              <c:f>'Road Accidents'!$F$8:$Z$8</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'Road Accidents'!$F$11:$Z$11</c:f>
              <c:numCache>
                <c:formatCode>0.00</c:formatCode>
                <c:ptCount val="21"/>
                <c:pt idx="0">
                  <c:v>19.282326383584142</c:v>
                </c:pt>
                <c:pt idx="1">
                  <c:v>17.112193171421886</c:v>
                </c:pt>
                <c:pt idx="2">
                  <c:v>16.714708467979325</c:v>
                </c:pt>
                <c:pt idx="3">
                  <c:v>15.540813266650316</c:v>
                </c:pt>
                <c:pt idx="4">
                  <c:v>17.771400812134271</c:v>
                </c:pt>
                <c:pt idx="5">
                  <c:v>14.07892985546969</c:v>
                </c:pt>
                <c:pt idx="6">
                  <c:v>18.311820447907127</c:v>
                </c:pt>
                <c:pt idx="7">
                  <c:v>19.666189665470291</c:v>
                </c:pt>
                <c:pt idx="8">
                  <c:v>19.509829668850344</c:v>
                </c:pt>
                <c:pt idx="9">
                  <c:v>19.507857967925364</c:v>
                </c:pt>
                <c:pt idx="10">
                  <c:v>20.475962882567707</c:v>
                </c:pt>
                <c:pt idx="11">
                  <c:v>20.862387140232475</c:v>
                </c:pt>
                <c:pt idx="12">
                  <c:v>18.902132835348798</c:v>
                </c:pt>
                <c:pt idx="13">
                  <c:v>17.19859732997023</c:v>
                </c:pt>
                <c:pt idx="14">
                  <c:v>16.942024816842352</c:v>
                </c:pt>
                <c:pt idx="15">
                  <c:v>16.480149455262445</c:v>
                </c:pt>
                <c:pt idx="16">
                  <c:v>17.142931556778191</c:v>
                </c:pt>
                <c:pt idx="17">
                  <c:v>14.43</c:v>
                </c:pt>
                <c:pt idx="18">
                  <c:v>12.17</c:v>
                </c:pt>
                <c:pt idx="19" formatCode="0.0">
                  <c:v>12.57</c:v>
                </c:pt>
                <c:pt idx="20" formatCode="0.0">
                  <c:v>11.1</c:v>
                </c:pt>
              </c:numCache>
            </c:numRef>
          </c:val>
          <c:smooth val="0"/>
          <c:extLst>
            <c:ext xmlns:c16="http://schemas.microsoft.com/office/drawing/2014/chart" uri="{C3380CC4-5D6E-409C-BE32-E72D297353CC}">
              <c16:uniqueId val="{00000001-67B5-4942-AA6C-617C1CE9FCAB}"/>
            </c:ext>
          </c:extLst>
        </c:ser>
        <c:dLbls>
          <c:showLegendKey val="0"/>
          <c:showVal val="0"/>
          <c:showCatName val="0"/>
          <c:showSerName val="0"/>
          <c:showPercent val="0"/>
          <c:showBubbleSize val="0"/>
        </c:dLbls>
        <c:smooth val="0"/>
        <c:axId val="51298304"/>
        <c:axId val="51300224"/>
      </c:lineChart>
      <c:catAx>
        <c:axId val="51298304"/>
        <c:scaling>
          <c:orientation val="minMax"/>
        </c:scaling>
        <c:delete val="0"/>
        <c:axPos val="b"/>
        <c:title>
          <c:tx>
            <c:rich>
              <a:bodyPr/>
              <a:lstStyle/>
              <a:p>
                <a:pPr>
                  <a:defRPr sz="850" b="0" i="0" u="none" strike="noStrike" baseline="0">
                    <a:solidFill>
                      <a:srgbClr val="000000"/>
                    </a:solidFill>
                    <a:latin typeface="Arial"/>
                    <a:ea typeface="Arial"/>
                    <a:cs typeface="Arial"/>
                  </a:defRPr>
                </a:pPr>
                <a:r>
                  <a:rPr lang="en-ZA"/>
                  <a:t>Years</a:t>
                </a:r>
              </a:p>
            </c:rich>
          </c:tx>
          <c:layout>
            <c:manualLayout>
              <c:xMode val="edge"/>
              <c:yMode val="edge"/>
              <c:x val="0.49957667439076198"/>
              <c:y val="0.791390728476821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51300224"/>
        <c:crosses val="autoZero"/>
        <c:auto val="1"/>
        <c:lblAlgn val="ctr"/>
        <c:lblOffset val="100"/>
        <c:tickLblSkip val="1"/>
        <c:tickMarkSkip val="1"/>
        <c:noMultiLvlLbl val="0"/>
      </c:catAx>
      <c:valAx>
        <c:axId val="51300224"/>
        <c:scaling>
          <c:orientation val="minMax"/>
          <c:min val="5"/>
        </c:scaling>
        <c:delete val="0"/>
        <c:axPos val="l"/>
        <c:majorGridlines>
          <c:spPr>
            <a:ln w="3175">
              <a:solidFill>
                <a:srgbClr val="C0C0C0"/>
              </a:solidFill>
              <a:prstDash val="sysDash"/>
            </a:ln>
          </c:spPr>
        </c:majorGridlines>
        <c:title>
          <c:tx>
            <c:rich>
              <a:bodyPr/>
              <a:lstStyle/>
              <a:p>
                <a:pPr>
                  <a:defRPr sz="850" b="0" i="0" u="none" strike="noStrike" baseline="0">
                    <a:solidFill>
                      <a:srgbClr val="000000"/>
                    </a:solidFill>
                    <a:latin typeface="Arial"/>
                    <a:ea typeface="Arial"/>
                    <a:cs typeface="Arial"/>
                  </a:defRPr>
                </a:pPr>
                <a:r>
                  <a:rPr lang="en-ZA"/>
                  <a:t>rate</a:t>
                </a:r>
              </a:p>
            </c:rich>
          </c:tx>
          <c:layout>
            <c:manualLayout>
              <c:xMode val="edge"/>
              <c:yMode val="edge"/>
              <c:x val="1.4394664875133556E-2"/>
              <c:y val="0.3841059602649062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51298304"/>
        <c:crosses val="autoZero"/>
        <c:crossBetween val="midCat"/>
        <c:majorUnit val="2.5"/>
        <c:minorUnit val="0.5"/>
      </c:valAx>
      <c:spPr>
        <a:solidFill>
          <a:srgbClr val="FFFFFF"/>
        </a:solidFill>
        <a:ln w="12700">
          <a:solidFill>
            <a:srgbClr val="808080"/>
          </a:solidFill>
          <a:prstDash val="solid"/>
        </a:ln>
      </c:spPr>
    </c:plotArea>
    <c:legend>
      <c:legendPos val="r"/>
      <c:layout>
        <c:manualLayout>
          <c:xMode val="edge"/>
          <c:yMode val="edge"/>
          <c:x val="0.26670426334085617"/>
          <c:y val="0.84931847703798025"/>
          <c:w val="0.61931537361043865"/>
          <c:h val="9.3151058771908227E-2"/>
        </c:manualLayout>
      </c:layout>
      <c:overlay val="0"/>
      <c:spPr>
        <a:solidFill>
          <a:srgbClr val="FFFFFF"/>
        </a:solidFill>
        <a:ln w="25400">
          <a:noFill/>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33" r="0.75000000000000533" t="1" header="0.5" footer="0.5"/>
    <c:pageSetup paperSize="9"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SOUTH AFRICA'S INTERNATIONAL AGREEMENTS</a:t>
            </a:r>
          </a:p>
        </c:rich>
      </c:tx>
      <c:overlay val="0"/>
      <c:spPr>
        <a:noFill/>
        <a:ln w="25400">
          <a:noFill/>
        </a:ln>
      </c:spPr>
    </c:title>
    <c:autoTitleDeleted val="0"/>
    <c:plotArea>
      <c:layout>
        <c:manualLayout>
          <c:layoutTarget val="inner"/>
          <c:xMode val="edge"/>
          <c:yMode val="edge"/>
          <c:x val="6.0939215253919821E-2"/>
          <c:y val="0.15129682997118155"/>
          <c:w val="0.80930952397887934"/>
          <c:h val="0.75138494935971623"/>
        </c:manualLayout>
      </c:layout>
      <c:barChart>
        <c:barDir val="col"/>
        <c:grouping val="clustered"/>
        <c:varyColors val="0"/>
        <c:ser>
          <c:idx val="2"/>
          <c:order val="1"/>
          <c:tx>
            <c:strRef>
              <c:f>'Development cooperation'!$D$11</c:f>
              <c:strCache>
                <c:ptCount val="1"/>
                <c:pt idx="0">
                  <c:v>Amount (R'million)</c:v>
                </c:pt>
              </c:strCache>
            </c:strRef>
          </c:tx>
          <c:invertIfNegative val="0"/>
          <c:dLbls>
            <c:dLbl>
              <c:idx val="11"/>
              <c:layout>
                <c:manualLayout>
                  <c:x val="0.16706121725533604"/>
                  <c:y val="-0.18731977136810155"/>
                </c:manualLayout>
              </c:layout>
              <c:tx>
                <c:rich>
                  <a:bodyPr/>
                  <a:lstStyle/>
                  <a:p>
                    <a:r>
                      <a:rPr lang="en-US"/>
                      <a:t>Amount (R'million)</a:t>
                    </a:r>
                  </a:p>
                </c:rich>
              </c:tx>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A96-48B0-867C-55C355E8D6E3}"/>
                </c:ext>
              </c:extLst>
            </c:dLbl>
            <c:spPr>
              <a:noFill/>
              <a:ln>
                <a:noFill/>
              </a:ln>
              <a:effectLst/>
            </c:spPr>
            <c:txPr>
              <a:bodyPr rot="-5400000" vert="horz"/>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'Development cooperation'!$E$9:$Q$9</c:f>
              <c:strCache>
                <c:ptCount val="13"/>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strCache>
            </c:strRef>
          </c:cat>
          <c:val>
            <c:numRef>
              <c:f>'Development cooperation'!$E$11:$Q$11</c:f>
              <c:numCache>
                <c:formatCode>#\ ###\ ###</c:formatCode>
                <c:ptCount val="13"/>
                <c:pt idx="0">
                  <c:v>57</c:v>
                </c:pt>
                <c:pt idx="1">
                  <c:v>62.08</c:v>
                </c:pt>
                <c:pt idx="2">
                  <c:v>19.100000000000001</c:v>
                </c:pt>
                <c:pt idx="3">
                  <c:v>94.899999999999991</c:v>
                </c:pt>
                <c:pt idx="4">
                  <c:v>387.40000000000003</c:v>
                </c:pt>
                <c:pt idx="5">
                  <c:v>1174.1089999999999</c:v>
                </c:pt>
                <c:pt idx="6">
                  <c:v>777</c:v>
                </c:pt>
                <c:pt idx="7">
                  <c:v>331</c:v>
                </c:pt>
                <c:pt idx="8">
                  <c:v>0</c:v>
                </c:pt>
                <c:pt idx="9">
                  <c:v>270.63600000000002</c:v>
                </c:pt>
                <c:pt idx="10">
                  <c:v>778.36599999999999</c:v>
                </c:pt>
                <c:pt idx="11">
                  <c:v>51.004999999999995</c:v>
                </c:pt>
                <c:pt idx="12">
                  <c:v>189</c:v>
                </c:pt>
              </c:numCache>
            </c:numRef>
          </c:val>
          <c:extLst>
            <c:ext xmlns:c16="http://schemas.microsoft.com/office/drawing/2014/chart" uri="{C3380CC4-5D6E-409C-BE32-E72D297353CC}">
              <c16:uniqueId val="{00000001-EA96-48B0-867C-55C355E8D6E3}"/>
            </c:ext>
          </c:extLst>
        </c:ser>
        <c:dLbls>
          <c:showLegendKey val="0"/>
          <c:showVal val="0"/>
          <c:showCatName val="0"/>
          <c:showSerName val="0"/>
          <c:showPercent val="0"/>
          <c:showBubbleSize val="0"/>
        </c:dLbls>
        <c:gapWidth val="150"/>
        <c:axId val="48174976"/>
        <c:axId val="48173440"/>
      </c:barChart>
      <c:lineChart>
        <c:grouping val="standard"/>
        <c:varyColors val="0"/>
        <c:ser>
          <c:idx val="1"/>
          <c:order val="0"/>
          <c:tx>
            <c:strRef>
              <c:f>'Development cooperation'!$D$10</c:f>
              <c:strCache>
                <c:ptCount val="1"/>
                <c:pt idx="0">
                  <c:v>Number of initiatives</c:v>
                </c:pt>
              </c:strCache>
            </c:strRef>
          </c:tx>
          <c:spPr>
            <a:ln w="12700">
              <a:solidFill>
                <a:srgbClr val="000000"/>
              </a:solidFill>
              <a:prstDash val="solid"/>
            </a:ln>
          </c:spPr>
          <c:marker>
            <c:symbol val="none"/>
          </c:marker>
          <c:cat>
            <c:strRef>
              <c:f>'Development cooperation'!$E$9:$Q$9</c:f>
              <c:strCache>
                <c:ptCount val="13"/>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strCache>
            </c:strRef>
          </c:cat>
          <c:val>
            <c:numRef>
              <c:f>'Development cooperation'!$E$10:$Q$10</c:f>
              <c:numCache>
                <c:formatCode>General</c:formatCode>
                <c:ptCount val="13"/>
                <c:pt idx="0">
                  <c:v>4</c:v>
                </c:pt>
                <c:pt idx="1">
                  <c:v>6</c:v>
                </c:pt>
                <c:pt idx="2">
                  <c:v>6</c:v>
                </c:pt>
                <c:pt idx="3">
                  <c:v>4</c:v>
                </c:pt>
                <c:pt idx="4">
                  <c:v>10</c:v>
                </c:pt>
                <c:pt idx="5">
                  <c:v>12</c:v>
                </c:pt>
                <c:pt idx="6">
                  <c:v>9</c:v>
                </c:pt>
                <c:pt idx="7">
                  <c:v>4</c:v>
                </c:pt>
                <c:pt idx="8">
                  <c:v>1</c:v>
                </c:pt>
                <c:pt idx="9">
                  <c:v>7</c:v>
                </c:pt>
                <c:pt idx="10">
                  <c:v>15</c:v>
                </c:pt>
                <c:pt idx="11">
                  <c:v>3</c:v>
                </c:pt>
                <c:pt idx="12">
                  <c:v>7</c:v>
                </c:pt>
              </c:numCache>
            </c:numRef>
          </c:val>
          <c:smooth val="0"/>
          <c:extLst>
            <c:ext xmlns:c16="http://schemas.microsoft.com/office/drawing/2014/chart" uri="{C3380CC4-5D6E-409C-BE32-E72D297353CC}">
              <c16:uniqueId val="{00000002-EA96-48B0-867C-55C355E8D6E3}"/>
            </c:ext>
          </c:extLst>
        </c:ser>
        <c:dLbls>
          <c:showLegendKey val="0"/>
          <c:showVal val="0"/>
          <c:showCatName val="0"/>
          <c:showSerName val="0"/>
          <c:showPercent val="0"/>
          <c:showBubbleSize val="0"/>
        </c:dLbls>
        <c:marker val="1"/>
        <c:smooth val="0"/>
        <c:axId val="48100096"/>
        <c:axId val="48101632"/>
      </c:lineChart>
      <c:catAx>
        <c:axId val="481000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101632"/>
        <c:crosses val="autoZero"/>
        <c:auto val="1"/>
        <c:lblAlgn val="ctr"/>
        <c:lblOffset val="100"/>
        <c:tickLblSkip val="1"/>
        <c:tickMarkSkip val="1"/>
        <c:noMultiLvlLbl val="0"/>
      </c:catAx>
      <c:valAx>
        <c:axId val="48101632"/>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Number of initiatives</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100096"/>
        <c:crosses val="autoZero"/>
        <c:crossBetween val="between"/>
      </c:valAx>
      <c:valAx>
        <c:axId val="48173440"/>
        <c:scaling>
          <c:orientation val="minMax"/>
        </c:scaling>
        <c:delete val="0"/>
        <c:axPos val="r"/>
        <c:numFmt formatCode="#\ ###\ ###" sourceLinked="1"/>
        <c:majorTickMark val="out"/>
        <c:minorTickMark val="none"/>
        <c:tickLblPos val="nextTo"/>
        <c:crossAx val="48174976"/>
        <c:crosses val="max"/>
        <c:crossBetween val="between"/>
      </c:valAx>
      <c:catAx>
        <c:axId val="48174976"/>
        <c:scaling>
          <c:orientation val="minMax"/>
        </c:scaling>
        <c:delete val="1"/>
        <c:axPos val="b"/>
        <c:numFmt formatCode="General" sourceLinked="1"/>
        <c:majorTickMark val="out"/>
        <c:minorTickMark val="none"/>
        <c:tickLblPos val="nextTo"/>
        <c:crossAx val="48173440"/>
        <c:crosses val="autoZero"/>
        <c:auto val="1"/>
        <c:lblAlgn val="ctr"/>
        <c:lblOffset val="100"/>
        <c:noMultiLvlLbl val="0"/>
      </c:cat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Tourism in South Africa</a:t>
            </a:r>
          </a:p>
        </c:rich>
      </c:tx>
      <c:layout>
        <c:manualLayout>
          <c:xMode val="edge"/>
          <c:yMode val="edge"/>
          <c:x val="0.44045169597977707"/>
          <c:y val="3.4883783856914811E-2"/>
        </c:manualLayout>
      </c:layout>
      <c:overlay val="0"/>
      <c:spPr>
        <a:noFill/>
        <a:ln w="25400">
          <a:noFill/>
        </a:ln>
      </c:spPr>
    </c:title>
    <c:autoTitleDeleted val="0"/>
    <c:plotArea>
      <c:layout>
        <c:manualLayout>
          <c:layoutTarget val="inner"/>
          <c:xMode val="edge"/>
          <c:yMode val="edge"/>
          <c:x val="0.10328440944881952"/>
          <c:y val="0.16375968992248074"/>
          <c:w val="0.80608902887139122"/>
          <c:h val="0.64244186046512053"/>
        </c:manualLayout>
      </c:layout>
      <c:barChart>
        <c:barDir val="col"/>
        <c:grouping val="clustered"/>
        <c:varyColors val="0"/>
        <c:ser>
          <c:idx val="0"/>
          <c:order val="0"/>
          <c:tx>
            <c:strRef>
              <c:f>Tourism!$D$10</c:f>
              <c:strCache>
                <c:ptCount val="1"/>
                <c:pt idx="0">
                  <c:v>Arrivals</c:v>
                </c:pt>
              </c:strCache>
            </c:strRef>
          </c:tx>
          <c:spPr>
            <a:solidFill>
              <a:srgbClr val="FCD5B5"/>
            </a:solidFill>
            <a:ln w="12700">
              <a:noFill/>
              <a:prstDash val="solid"/>
            </a:ln>
          </c:spPr>
          <c:invertIfNegative val="0"/>
          <c:cat>
            <c:numRef>
              <c:f>Tourism!$F$8:$S$8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Tourism!$F$10:$S$10</c:f>
              <c:numCache>
                <c:formatCode>#,##0</c:formatCode>
                <c:ptCount val="14"/>
                <c:pt idx="0">
                  <c:v>6549916</c:v>
                </c:pt>
                <c:pt idx="1">
                  <c:v>6640095</c:v>
                </c:pt>
                <c:pt idx="2">
                  <c:v>6815196</c:v>
                </c:pt>
                <c:pt idx="3">
                  <c:v>7518317</c:v>
                </c:pt>
                <c:pt idx="4">
                  <c:v>8508805</c:v>
                </c:pt>
                <c:pt idx="5">
                  <c:v>9207697</c:v>
                </c:pt>
                <c:pt idx="6">
                  <c:v>9728860</c:v>
                </c:pt>
                <c:pt idx="7">
                  <c:v>10098306</c:v>
                </c:pt>
                <c:pt idx="8">
                  <c:v>11574540</c:v>
                </c:pt>
                <c:pt idx="9">
                  <c:v>12495743</c:v>
                </c:pt>
                <c:pt idx="10">
                  <c:v>13795530</c:v>
                </c:pt>
                <c:pt idx="11">
                  <c:v>15154991</c:v>
                </c:pt>
                <c:pt idx="12">
                  <c:v>15092016</c:v>
                </c:pt>
                <c:pt idx="13">
                  <c:v>15051826</c:v>
                </c:pt>
              </c:numCache>
            </c:numRef>
          </c:val>
          <c:extLst>
            <c:ext xmlns:c16="http://schemas.microsoft.com/office/drawing/2014/chart" uri="{C3380CC4-5D6E-409C-BE32-E72D297353CC}">
              <c16:uniqueId val="{00000000-A559-4808-8877-9A372D5C478B}"/>
            </c:ext>
          </c:extLst>
        </c:ser>
        <c:ser>
          <c:idx val="1"/>
          <c:order val="1"/>
          <c:tx>
            <c:strRef>
              <c:f>Tourism!$D$17</c:f>
              <c:strCache>
                <c:ptCount val="1"/>
                <c:pt idx="0">
                  <c:v>Travel and tourism direct industry employment</c:v>
                </c:pt>
              </c:strCache>
            </c:strRef>
          </c:tx>
          <c:spPr>
            <a:solidFill>
              <a:srgbClr val="F8A662"/>
            </a:solidFill>
            <a:ln w="12700">
              <a:noFill/>
              <a:prstDash val="solid"/>
            </a:ln>
          </c:spPr>
          <c:invertIfNegative val="0"/>
          <c:cat>
            <c:numRef>
              <c:f>Tourism!$F$8:$S$8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Tourism!$F$17:$S$17</c:f>
              <c:numCache>
                <c:formatCode>_ * #\ ##0_ ;_ * \-#\ ##0_ ;_ * "-"??_ ;_ @_ </c:formatCode>
                <c:ptCount val="14"/>
                <c:pt idx="3">
                  <c:v>507384</c:v>
                </c:pt>
                <c:pt idx="4">
                  <c:v>553712</c:v>
                </c:pt>
                <c:pt idx="5">
                  <c:v>569688</c:v>
                </c:pt>
                <c:pt idx="6">
                  <c:v>609021</c:v>
                </c:pt>
                <c:pt idx="7">
                  <c:v>547934</c:v>
                </c:pt>
                <c:pt idx="8">
                  <c:v>603022</c:v>
                </c:pt>
                <c:pt idx="9">
                  <c:v>622929</c:v>
                </c:pt>
                <c:pt idx="10">
                  <c:v>646390</c:v>
                </c:pt>
                <c:pt idx="11">
                  <c:v>655587</c:v>
                </c:pt>
                <c:pt idx="12">
                  <c:v>680817</c:v>
                </c:pt>
              </c:numCache>
            </c:numRef>
          </c:val>
          <c:extLst>
            <c:ext xmlns:c16="http://schemas.microsoft.com/office/drawing/2014/chart" uri="{C3380CC4-5D6E-409C-BE32-E72D297353CC}">
              <c16:uniqueId val="{00000001-A559-4808-8877-9A372D5C478B}"/>
            </c:ext>
          </c:extLst>
        </c:ser>
        <c:ser>
          <c:idx val="2"/>
          <c:order val="2"/>
          <c:tx>
            <c:v>Travel and tourism economy employment</c:v>
          </c:tx>
          <c:spPr>
            <a:solidFill>
              <a:srgbClr val="E46C0A"/>
            </a:solidFill>
            <a:ln w="12700">
              <a:noFill/>
              <a:prstDash val="solid"/>
            </a:ln>
          </c:spPr>
          <c:invertIfNegative val="0"/>
          <c:cat>
            <c:numRef>
              <c:f>Tourism!$F$8:$S$8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Tourism!$F$18:$S$18</c:f>
              <c:numCache>
                <c:formatCode>_ * #\ ##0_ ;_ * \-#\ ##0_ ;_ * "-"??_ ;_ @_ </c:formatCode>
                <c:ptCount val="14"/>
                <c:pt idx="3" formatCode="#,##0">
                  <c:v>1246070</c:v>
                </c:pt>
                <c:pt idx="4" formatCode="#,##0">
                  <c:v>1396200</c:v>
                </c:pt>
                <c:pt idx="5" formatCode="#,##0">
                  <c:v>1422640</c:v>
                </c:pt>
                <c:pt idx="6">
                  <c:v>1439980</c:v>
                </c:pt>
                <c:pt idx="7">
                  <c:v>1370520</c:v>
                </c:pt>
                <c:pt idx="8">
                  <c:v>1306870</c:v>
                </c:pt>
                <c:pt idx="9">
                  <c:v>1335730</c:v>
                </c:pt>
                <c:pt idx="10">
                  <c:v>1435840</c:v>
                </c:pt>
                <c:pt idx="11">
                  <c:v>1449380</c:v>
                </c:pt>
                <c:pt idx="12">
                  <c:v>1508870</c:v>
                </c:pt>
                <c:pt idx="13">
                  <c:v>1554200</c:v>
                </c:pt>
              </c:numCache>
            </c:numRef>
          </c:val>
          <c:extLst>
            <c:ext xmlns:c16="http://schemas.microsoft.com/office/drawing/2014/chart" uri="{C3380CC4-5D6E-409C-BE32-E72D297353CC}">
              <c16:uniqueId val="{00000002-A559-4808-8877-9A372D5C478B}"/>
            </c:ext>
          </c:extLst>
        </c:ser>
        <c:dLbls>
          <c:showLegendKey val="0"/>
          <c:showVal val="0"/>
          <c:showCatName val="0"/>
          <c:showSerName val="0"/>
          <c:showPercent val="0"/>
          <c:showBubbleSize val="0"/>
        </c:dLbls>
        <c:gapWidth val="150"/>
        <c:axId val="49270784"/>
        <c:axId val="49272320"/>
      </c:barChart>
      <c:lineChart>
        <c:grouping val="standard"/>
        <c:varyColors val="0"/>
        <c:ser>
          <c:idx val="3"/>
          <c:order val="3"/>
          <c:tx>
            <c:strRef>
              <c:f>Tourism!$D$20</c:f>
              <c:strCache>
                <c:ptCount val="1"/>
                <c:pt idx="0">
                  <c:v>Economic contribution</c:v>
                </c:pt>
              </c:strCache>
            </c:strRef>
          </c:tx>
          <c:spPr>
            <a:ln w="25400">
              <a:solidFill>
                <a:srgbClr val="FF6600"/>
              </a:solidFill>
              <a:prstDash val="solid"/>
            </a:ln>
          </c:spPr>
          <c:marker>
            <c:symbol val="none"/>
          </c:marker>
          <c:cat>
            <c:numRef>
              <c:f>[45]Tourism!$E$60:$J$60</c:f>
              <c:numCache>
                <c:formatCode>General</c:formatCode>
                <c:ptCount val="6"/>
                <c:pt idx="0">
                  <c:v>2002</c:v>
                </c:pt>
                <c:pt idx="1">
                  <c:v>2003</c:v>
                </c:pt>
                <c:pt idx="2">
                  <c:v>2004</c:v>
                </c:pt>
                <c:pt idx="3">
                  <c:v>2005</c:v>
                </c:pt>
                <c:pt idx="4">
                  <c:v>2006</c:v>
                </c:pt>
                <c:pt idx="5">
                  <c:v>2007</c:v>
                </c:pt>
              </c:numCache>
            </c:numRef>
          </c:cat>
          <c:val>
            <c:numRef>
              <c:f>Tourism!$F$21:$R$21</c:f>
              <c:numCache>
                <c:formatCode>0.0</c:formatCode>
                <c:ptCount val="13"/>
                <c:pt idx="3" formatCode="#\ ###\ ###.0">
                  <c:v>44.9</c:v>
                </c:pt>
                <c:pt idx="4" formatCode="#\ ###\ ###.0">
                  <c:v>54.4</c:v>
                </c:pt>
                <c:pt idx="5" formatCode="#\ ###\ ###.0">
                  <c:v>59.8</c:v>
                </c:pt>
                <c:pt idx="6" formatCode="#\ ###\ ###.0">
                  <c:v>67.2</c:v>
                </c:pt>
                <c:pt idx="7" formatCode="#\ ###\ ###.0">
                  <c:v>68.8</c:v>
                </c:pt>
                <c:pt idx="8" formatCode="#\ ###\ ###.0">
                  <c:v>88.4</c:v>
                </c:pt>
                <c:pt idx="9" formatCode="#\ ###\ ###.0">
                  <c:v>84</c:v>
                </c:pt>
                <c:pt idx="10" formatCode="#\ ###\ ###.0">
                  <c:v>93.8</c:v>
                </c:pt>
                <c:pt idx="11" formatCode="#\ ##0.0">
                  <c:v>101.7</c:v>
                </c:pt>
                <c:pt idx="12" formatCode="#\ ##0.0">
                  <c:v>111.6</c:v>
                </c:pt>
              </c:numCache>
            </c:numRef>
          </c:val>
          <c:smooth val="0"/>
          <c:extLst>
            <c:ext xmlns:c16="http://schemas.microsoft.com/office/drawing/2014/chart" uri="{C3380CC4-5D6E-409C-BE32-E72D297353CC}">
              <c16:uniqueId val="{00000003-A559-4808-8877-9A372D5C478B}"/>
            </c:ext>
          </c:extLst>
        </c:ser>
        <c:dLbls>
          <c:showLegendKey val="0"/>
          <c:showVal val="0"/>
          <c:showCatName val="0"/>
          <c:showSerName val="0"/>
          <c:showPercent val="0"/>
          <c:showBubbleSize val="0"/>
        </c:dLbls>
        <c:marker val="1"/>
        <c:smooth val="0"/>
        <c:axId val="49274240"/>
        <c:axId val="49546368"/>
      </c:lineChart>
      <c:catAx>
        <c:axId val="4927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272320"/>
        <c:crosses val="autoZero"/>
        <c:auto val="1"/>
        <c:lblAlgn val="ctr"/>
        <c:lblOffset val="100"/>
        <c:tickLblSkip val="1"/>
        <c:tickMarkSkip val="1"/>
        <c:noMultiLvlLbl val="0"/>
      </c:catAx>
      <c:valAx>
        <c:axId val="49272320"/>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1.4007584138383903E-2"/>
              <c:y val="0.4331395270178858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270784"/>
        <c:crosses val="autoZero"/>
        <c:crossBetween val="between"/>
        <c:minorUnit val="450000"/>
      </c:valAx>
      <c:catAx>
        <c:axId val="49274240"/>
        <c:scaling>
          <c:orientation val="minMax"/>
        </c:scaling>
        <c:delete val="1"/>
        <c:axPos val="b"/>
        <c:numFmt formatCode="General" sourceLinked="1"/>
        <c:majorTickMark val="out"/>
        <c:minorTickMark val="none"/>
        <c:tickLblPos val="none"/>
        <c:crossAx val="49546368"/>
        <c:crosses val="autoZero"/>
        <c:auto val="1"/>
        <c:lblAlgn val="ctr"/>
        <c:lblOffset val="100"/>
        <c:noMultiLvlLbl val="0"/>
      </c:catAx>
      <c:valAx>
        <c:axId val="4954636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en-ZA"/>
                  <a:t>R billion</a:t>
                </a:r>
              </a:p>
            </c:rich>
          </c:tx>
          <c:layout>
            <c:manualLayout>
              <c:xMode val="edge"/>
              <c:yMode val="edge"/>
              <c:x val="0.96303901765523969"/>
              <c:y val="0.42139562266989089"/>
            </c:manualLayout>
          </c:layout>
          <c:overlay val="0"/>
          <c:spPr>
            <a:noFill/>
            <a:ln w="25400">
              <a:noFill/>
            </a:ln>
          </c:spPr>
        </c:title>
        <c:numFmt formatCode="#\ ###\ ##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274240"/>
        <c:crosses val="max"/>
        <c:crossBetween val="between"/>
      </c:valAx>
      <c:spPr>
        <a:solidFill>
          <a:srgbClr val="FFFFFF"/>
        </a:solidFill>
        <a:ln w="12700">
          <a:solidFill>
            <a:srgbClr val="808080"/>
          </a:solidFill>
          <a:prstDash val="solid"/>
        </a:ln>
      </c:spPr>
    </c:plotArea>
    <c:legend>
      <c:legendPos val="r"/>
      <c:layout>
        <c:manualLayout>
          <c:xMode val="edge"/>
          <c:yMode val="edge"/>
          <c:x val="0.14812043122708834"/>
          <c:y val="0.92071698189787865"/>
          <c:w val="0.73082757029526069"/>
          <c:h val="6.1381132126525413E-2"/>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orientation="landscape" horizontalDpi="1200" verticalDpi="120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Missions!$D$13</c:f>
              <c:strCache>
                <c:ptCount val="1"/>
                <c:pt idx="0">
                  <c:v>All Missions</c:v>
                </c:pt>
              </c:strCache>
            </c:strRef>
          </c:tx>
          <c:spPr>
            <a:solidFill>
              <a:srgbClr val="BD8E31"/>
            </a:solidFill>
          </c:spPr>
          <c:invertIfNegative val="0"/>
          <c:cat>
            <c:strRef>
              <c:f>Missions!$E$7:$N$7</c:f>
              <c:strCache>
                <c:ptCount val="10"/>
                <c:pt idx="0">
                  <c:v>2001/02</c:v>
                </c:pt>
                <c:pt idx="1">
                  <c:v>2002/03</c:v>
                </c:pt>
                <c:pt idx="2">
                  <c:v>2003/04</c:v>
                </c:pt>
                <c:pt idx="3">
                  <c:v>2004/05</c:v>
                </c:pt>
                <c:pt idx="4">
                  <c:v>2005/06</c:v>
                </c:pt>
                <c:pt idx="5">
                  <c:v>2006/07</c:v>
                </c:pt>
                <c:pt idx="6">
                  <c:v>2007/08</c:v>
                </c:pt>
                <c:pt idx="7">
                  <c:v>2008/09</c:v>
                </c:pt>
                <c:pt idx="8">
                  <c:v>2009/10</c:v>
                </c:pt>
                <c:pt idx="9">
                  <c:v>2010/11</c:v>
                </c:pt>
              </c:strCache>
            </c:strRef>
          </c:cat>
          <c:val>
            <c:numRef>
              <c:f>Missions!$E$13:$N$13</c:f>
              <c:numCache>
                <c:formatCode>General</c:formatCode>
                <c:ptCount val="10"/>
                <c:pt idx="0">
                  <c:v>91</c:v>
                </c:pt>
                <c:pt idx="1">
                  <c:v>96</c:v>
                </c:pt>
                <c:pt idx="2">
                  <c:v>101</c:v>
                </c:pt>
                <c:pt idx="3">
                  <c:v>107</c:v>
                </c:pt>
                <c:pt idx="4">
                  <c:v>109</c:v>
                </c:pt>
                <c:pt idx="5">
                  <c:v>114</c:v>
                </c:pt>
                <c:pt idx="6">
                  <c:v>119</c:v>
                </c:pt>
                <c:pt idx="7">
                  <c:v>124</c:v>
                </c:pt>
                <c:pt idx="8">
                  <c:v>124</c:v>
                </c:pt>
                <c:pt idx="9">
                  <c:v>125</c:v>
                </c:pt>
              </c:numCache>
            </c:numRef>
          </c:val>
          <c:extLst>
            <c:ext xmlns:c16="http://schemas.microsoft.com/office/drawing/2014/chart" uri="{C3380CC4-5D6E-409C-BE32-E72D297353CC}">
              <c16:uniqueId val="{00000000-99D4-492A-809B-BEF61B1843F5}"/>
            </c:ext>
          </c:extLst>
        </c:ser>
        <c:dLbls>
          <c:showLegendKey val="0"/>
          <c:showVal val="0"/>
          <c:showCatName val="0"/>
          <c:showSerName val="0"/>
          <c:showPercent val="0"/>
          <c:showBubbleSize val="0"/>
        </c:dLbls>
        <c:gapWidth val="150"/>
        <c:axId val="49571712"/>
        <c:axId val="49573248"/>
      </c:barChart>
      <c:catAx>
        <c:axId val="49571712"/>
        <c:scaling>
          <c:orientation val="minMax"/>
        </c:scaling>
        <c:delete val="0"/>
        <c:axPos val="b"/>
        <c:numFmt formatCode="General" sourceLinked="0"/>
        <c:majorTickMark val="out"/>
        <c:minorTickMark val="none"/>
        <c:tickLblPos val="nextTo"/>
        <c:crossAx val="49573248"/>
        <c:crosses val="autoZero"/>
        <c:auto val="1"/>
        <c:lblAlgn val="ctr"/>
        <c:lblOffset val="100"/>
        <c:noMultiLvlLbl val="0"/>
      </c:catAx>
      <c:valAx>
        <c:axId val="49573248"/>
        <c:scaling>
          <c:orientation val="minMax"/>
        </c:scaling>
        <c:delete val="0"/>
        <c:axPos val="l"/>
        <c:majorGridlines>
          <c:spPr>
            <a:ln>
              <a:solidFill>
                <a:sysClr val="window" lastClr="FFFFFF">
                  <a:lumMod val="65000"/>
                  <a:alpha val="60000"/>
                </a:sysClr>
              </a:solidFill>
              <a:prstDash val="dash"/>
            </a:ln>
          </c:spPr>
        </c:majorGridlines>
        <c:title>
          <c:tx>
            <c:rich>
              <a:bodyPr rot="-5400000" vert="horz"/>
              <a:lstStyle/>
              <a:p>
                <a:pPr>
                  <a:defRPr b="0"/>
                </a:pPr>
                <a:r>
                  <a:rPr lang="en-US" b="0"/>
                  <a:t>Number</a:t>
                </a:r>
              </a:p>
            </c:rich>
          </c:tx>
          <c:overlay val="0"/>
        </c:title>
        <c:numFmt formatCode="General" sourceLinked="1"/>
        <c:majorTickMark val="out"/>
        <c:minorTickMark val="none"/>
        <c:tickLblPos val="nextTo"/>
        <c:crossAx val="49571712"/>
        <c:crosses val="autoZero"/>
        <c:crossBetween val="between"/>
      </c:valAx>
      <c:spPr>
        <a:ln>
          <a:noFill/>
        </a:ln>
      </c:spPr>
    </c:plotArea>
    <c:plotVisOnly val="1"/>
    <c:dispBlanksAs val="gap"/>
    <c:showDLblsOverMax val="0"/>
  </c:chart>
  <c:spPr>
    <a:ln>
      <a:noFill/>
    </a:ln>
  </c:spPr>
  <c:txPr>
    <a:bodyPr/>
    <a:lstStyle/>
    <a:p>
      <a:pPr>
        <a:defRPr sz="800">
          <a:latin typeface="Arial Narrow"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40605092374356E-2"/>
          <c:y val="0.10601425624318385"/>
          <c:w val="0.88782143524360413"/>
          <c:h val="0.68131647903285542"/>
        </c:manualLayout>
      </c:layout>
      <c:lineChart>
        <c:grouping val="standard"/>
        <c:varyColors val="0"/>
        <c:ser>
          <c:idx val="0"/>
          <c:order val="0"/>
          <c:tx>
            <c:strRef>
              <c:f>'B deficit '!$D$9</c:f>
              <c:strCache>
                <c:ptCount val="1"/>
                <c:pt idx="0">
                  <c:v>Budget Deficit</c:v>
                </c:pt>
              </c:strCache>
            </c:strRef>
          </c:tx>
          <c:spPr>
            <a:ln w="15875">
              <a:solidFill>
                <a:srgbClr val="FF6600"/>
              </a:solidFill>
              <a:prstDash val="solid"/>
            </a:ln>
          </c:spPr>
          <c:marker>
            <c:symbol val="none"/>
          </c:marker>
          <c:cat>
            <c:strRef>
              <c:f>'B deficit '!$F$8:$AA$8</c:f>
              <c:strCache>
                <c:ptCount val="22"/>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strCache>
            </c:strRef>
          </c:cat>
          <c:val>
            <c:numRef>
              <c:f>'B deficit '!$F$9:$AA$9</c:f>
              <c:numCache>
                <c:formatCode>General</c:formatCode>
                <c:ptCount val="22"/>
                <c:pt idx="0">
                  <c:v>-5.4</c:v>
                </c:pt>
                <c:pt idx="1">
                  <c:v>-4.5</c:v>
                </c:pt>
                <c:pt idx="2">
                  <c:v>-5</c:v>
                </c:pt>
                <c:pt idx="3">
                  <c:v>-4.8</c:v>
                </c:pt>
                <c:pt idx="4">
                  <c:v>-3.6</c:v>
                </c:pt>
                <c:pt idx="5">
                  <c:v>-2.7</c:v>
                </c:pt>
                <c:pt idx="6">
                  <c:v>-2.1</c:v>
                </c:pt>
                <c:pt idx="7">
                  <c:v>-1.9</c:v>
                </c:pt>
                <c:pt idx="8">
                  <c:v>-1.4</c:v>
                </c:pt>
                <c:pt idx="9">
                  <c:v>-1</c:v>
                </c:pt>
                <c:pt idx="10">
                  <c:v>-2.2000000000000002</c:v>
                </c:pt>
                <c:pt idx="11">
                  <c:v>-1.4</c:v>
                </c:pt>
                <c:pt idx="12">
                  <c:v>-0.3</c:v>
                </c:pt>
                <c:pt idx="13">
                  <c:v>0.7</c:v>
                </c:pt>
                <c:pt idx="14">
                  <c:v>0.9</c:v>
                </c:pt>
                <c:pt idx="15">
                  <c:v>-0.7</c:v>
                </c:pt>
                <c:pt idx="16">
                  <c:v>-6.3</c:v>
                </c:pt>
                <c:pt idx="17">
                  <c:v>-4.7</c:v>
                </c:pt>
                <c:pt idx="18">
                  <c:v>-4.7</c:v>
                </c:pt>
                <c:pt idx="19">
                  <c:v>-5</c:v>
                </c:pt>
                <c:pt idx="20" formatCode="#\ ##0.0">
                  <c:v>-4.4000000000000004</c:v>
                </c:pt>
                <c:pt idx="21" formatCode="#\ ##0.0">
                  <c:v>-4.3</c:v>
                </c:pt>
              </c:numCache>
            </c:numRef>
          </c:val>
          <c:smooth val="0"/>
          <c:extLst>
            <c:ext xmlns:c16="http://schemas.microsoft.com/office/drawing/2014/chart" uri="{C3380CC4-5D6E-409C-BE32-E72D297353CC}">
              <c16:uniqueId val="{00000000-2E65-437D-A64B-39B0C821C491}"/>
            </c:ext>
          </c:extLst>
        </c:ser>
        <c:dLbls>
          <c:showLegendKey val="0"/>
          <c:showVal val="0"/>
          <c:showCatName val="0"/>
          <c:showSerName val="0"/>
          <c:showPercent val="0"/>
          <c:showBubbleSize val="0"/>
        </c:dLbls>
        <c:smooth val="0"/>
        <c:axId val="399511600"/>
        <c:axId val="399510816"/>
      </c:lineChart>
      <c:catAx>
        <c:axId val="3995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399510816"/>
        <c:crossesAt val="-10.5"/>
        <c:auto val="1"/>
        <c:lblAlgn val="ctr"/>
        <c:lblOffset val="100"/>
        <c:tickLblSkip val="1"/>
        <c:tickMarkSkip val="1"/>
        <c:noMultiLvlLbl val="0"/>
      </c:catAx>
      <c:valAx>
        <c:axId val="399510816"/>
        <c:scaling>
          <c:orientation val="minMax"/>
        </c:scaling>
        <c:delete val="0"/>
        <c:axPos val="l"/>
        <c:majorGridlines>
          <c:spPr>
            <a:ln w="3175">
              <a:solidFill>
                <a:srgbClr val="969696"/>
              </a:solidFill>
              <a:prstDash val="sysDash"/>
            </a:ln>
          </c:spPr>
        </c:majorGridlines>
        <c:title>
          <c:tx>
            <c:rich>
              <a:bodyPr/>
              <a:lstStyle/>
              <a:p>
                <a:pPr>
                  <a:defRPr/>
                </a:pPr>
                <a:r>
                  <a:rPr lang="en-US"/>
                  <a:t>% of GDP</a:t>
                </a:r>
              </a:p>
            </c:rich>
          </c:tx>
          <c:layout>
            <c:manualLayout>
              <c:xMode val="edge"/>
              <c:yMode val="edge"/>
              <c:x val="1.5429170671330981E-2"/>
              <c:y val="0.450311151739277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511600"/>
        <c:crosses val="autoZero"/>
        <c:crossBetween val="between"/>
        <c:majorUnit val="1.5"/>
        <c:minorUnit val="0.30000000000000032"/>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representation and missions</a:t>
            </a:r>
          </a:p>
        </c:rich>
      </c:tx>
      <c:overlay val="0"/>
    </c:title>
    <c:autoTitleDeleted val="0"/>
    <c:plotArea>
      <c:layout/>
      <c:barChart>
        <c:barDir val="col"/>
        <c:grouping val="clustered"/>
        <c:varyColors val="0"/>
        <c:ser>
          <c:idx val="6"/>
          <c:order val="0"/>
          <c:tx>
            <c:strRef>
              <c:f>Missions!$D$70</c:f>
              <c:strCache>
                <c:ptCount val="1"/>
                <c:pt idx="0">
                  <c:v>Total foreign representation</c:v>
                </c:pt>
              </c:strCache>
            </c:strRef>
          </c:tx>
          <c:spPr>
            <a:solidFill>
              <a:srgbClr val="FCD5B5"/>
            </a:solidFill>
          </c:spPr>
          <c:invertIfNegative val="0"/>
          <c:cat>
            <c:strRef>
              <c:f>Missions!$F$63:$T$63</c:f>
              <c:strCache>
                <c:ptCount val="15"/>
                <c:pt idx="0">
                  <c:v>1993/94</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strCache>
            </c:strRef>
          </c:cat>
          <c:val>
            <c:numRef>
              <c:f>Missions!$F$70:$T$70</c:f>
              <c:numCache>
                <c:formatCode>General</c:formatCode>
                <c:ptCount val="15"/>
                <c:pt idx="0" formatCode="0">
                  <c:v>68</c:v>
                </c:pt>
                <c:pt idx="4" formatCode="0">
                  <c:v>278</c:v>
                </c:pt>
                <c:pt idx="5" formatCode="0">
                  <c:v>279</c:v>
                </c:pt>
                <c:pt idx="6" formatCode="0">
                  <c:v>283</c:v>
                </c:pt>
                <c:pt idx="7" formatCode="0">
                  <c:v>285</c:v>
                </c:pt>
                <c:pt idx="8" formatCode="0">
                  <c:v>292</c:v>
                </c:pt>
                <c:pt idx="9" formatCode="0">
                  <c:v>296</c:v>
                </c:pt>
                <c:pt idx="10" formatCode="0">
                  <c:v>307</c:v>
                </c:pt>
                <c:pt idx="11" formatCode="0">
                  <c:v>311</c:v>
                </c:pt>
                <c:pt idx="13" formatCode="0">
                  <c:v>326</c:v>
                </c:pt>
                <c:pt idx="14" formatCode="0">
                  <c:v>326</c:v>
                </c:pt>
              </c:numCache>
            </c:numRef>
          </c:val>
          <c:extLst>
            <c:ext xmlns:c16="http://schemas.microsoft.com/office/drawing/2014/chart" uri="{C3380CC4-5D6E-409C-BE32-E72D297353CC}">
              <c16:uniqueId val="{00000000-DCD8-4D22-84C3-483E827BAB7A}"/>
            </c:ext>
          </c:extLst>
        </c:ser>
        <c:ser>
          <c:idx val="7"/>
          <c:order val="1"/>
          <c:tx>
            <c:strRef>
              <c:f>Missions!$D$71</c:f>
              <c:strCache>
                <c:ptCount val="1"/>
                <c:pt idx="0">
                  <c:v>All missions</c:v>
                </c:pt>
              </c:strCache>
            </c:strRef>
          </c:tx>
          <c:spPr>
            <a:solidFill>
              <a:srgbClr val="F8A662"/>
            </a:solidFill>
          </c:spPr>
          <c:invertIfNegative val="0"/>
          <c:cat>
            <c:strRef>
              <c:f>Missions!$F$63:$T$63</c:f>
              <c:strCache>
                <c:ptCount val="15"/>
                <c:pt idx="0">
                  <c:v>1993/94</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strCache>
            </c:strRef>
          </c:cat>
          <c:val>
            <c:numRef>
              <c:f>Missions!$F$71:$T$71</c:f>
              <c:numCache>
                <c:formatCode>General</c:formatCode>
                <c:ptCount val="15"/>
                <c:pt idx="1">
                  <c:v>91</c:v>
                </c:pt>
                <c:pt idx="2">
                  <c:v>96</c:v>
                </c:pt>
                <c:pt idx="3">
                  <c:v>101</c:v>
                </c:pt>
                <c:pt idx="4">
                  <c:v>107</c:v>
                </c:pt>
                <c:pt idx="5">
                  <c:v>109</c:v>
                </c:pt>
                <c:pt idx="6">
                  <c:v>114</c:v>
                </c:pt>
                <c:pt idx="7">
                  <c:v>119</c:v>
                </c:pt>
                <c:pt idx="8">
                  <c:v>124</c:v>
                </c:pt>
                <c:pt idx="9">
                  <c:v>124</c:v>
                </c:pt>
                <c:pt idx="10">
                  <c:v>125</c:v>
                </c:pt>
                <c:pt idx="11">
                  <c:v>125</c:v>
                </c:pt>
                <c:pt idx="12">
                  <c:v>125</c:v>
                </c:pt>
                <c:pt idx="13">
                  <c:v>125</c:v>
                </c:pt>
                <c:pt idx="14">
                  <c:v>125</c:v>
                </c:pt>
              </c:numCache>
            </c:numRef>
          </c:val>
          <c:extLst>
            <c:ext xmlns:c16="http://schemas.microsoft.com/office/drawing/2014/chart" uri="{C3380CC4-5D6E-409C-BE32-E72D297353CC}">
              <c16:uniqueId val="{00000001-DCD8-4D22-84C3-483E827BAB7A}"/>
            </c:ext>
          </c:extLst>
        </c:ser>
        <c:dLbls>
          <c:showLegendKey val="0"/>
          <c:showVal val="0"/>
          <c:showCatName val="0"/>
          <c:showSerName val="0"/>
          <c:showPercent val="0"/>
          <c:showBubbleSize val="0"/>
        </c:dLbls>
        <c:gapWidth val="150"/>
        <c:axId val="49885568"/>
        <c:axId val="49887104"/>
      </c:barChart>
      <c:catAx>
        <c:axId val="49885568"/>
        <c:scaling>
          <c:orientation val="minMax"/>
        </c:scaling>
        <c:delete val="0"/>
        <c:axPos val="b"/>
        <c:numFmt formatCode="General" sourceLinked="0"/>
        <c:majorTickMark val="none"/>
        <c:minorTickMark val="none"/>
        <c:tickLblPos val="nextTo"/>
        <c:crossAx val="49887104"/>
        <c:crosses val="autoZero"/>
        <c:auto val="1"/>
        <c:lblAlgn val="ctr"/>
        <c:lblOffset val="100"/>
        <c:noMultiLvlLbl val="0"/>
      </c:catAx>
      <c:valAx>
        <c:axId val="49887104"/>
        <c:scaling>
          <c:orientation val="minMax"/>
        </c:scaling>
        <c:delete val="0"/>
        <c:axPos val="l"/>
        <c:majorGridlines>
          <c:spPr>
            <a:ln>
              <a:solidFill>
                <a:sysClr val="window" lastClr="FFFFFF">
                  <a:lumMod val="65000"/>
                  <a:alpha val="60000"/>
                </a:sysClr>
              </a:solidFill>
              <a:prstDash val="dash"/>
            </a:ln>
          </c:spPr>
        </c:majorGridlines>
        <c:numFmt formatCode="0" sourceLinked="1"/>
        <c:majorTickMark val="none"/>
        <c:minorTickMark val="none"/>
        <c:tickLblPos val="nextTo"/>
        <c:crossAx val="49885568"/>
        <c:crosses val="autoZero"/>
        <c:crossBetween val="between"/>
      </c:valAx>
      <c:spPr>
        <a:ln>
          <a:noFill/>
        </a:ln>
      </c:spPr>
    </c:plotArea>
    <c:legend>
      <c:legendPos val="b"/>
      <c:layout>
        <c:manualLayout>
          <c:xMode val="edge"/>
          <c:yMode val="edge"/>
          <c:x val="0.39812167062617909"/>
          <c:y val="0.88852004860877676"/>
          <c:w val="0.24646670585415406"/>
          <c:h val="7.9582011403722855E-2"/>
        </c:manualLayout>
      </c:layout>
      <c:overlay val="0"/>
    </c:legend>
    <c:plotVisOnly val="1"/>
    <c:dispBlanksAs val="gap"/>
    <c:showDLblsOverMax val="0"/>
  </c:chart>
  <c:spPr>
    <a:ln>
      <a:solidFill>
        <a:srgbClr val="000000"/>
      </a:solidFill>
    </a:ln>
  </c:spPr>
  <c:txPr>
    <a:bodyPr/>
    <a:lstStyle/>
    <a:p>
      <a:pPr>
        <a:defRPr sz="800">
          <a:latin typeface="Arial Narrow"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SOUTH AFRICA'S INTERNATIONAL AGREEMENTS</a:t>
            </a:r>
          </a:p>
        </c:rich>
      </c:tx>
      <c:layout>
        <c:manualLayout>
          <c:xMode val="edge"/>
          <c:yMode val="edge"/>
          <c:x val="5.1643214201749006E-2"/>
          <c:y val="5.2459016393442623E-2"/>
        </c:manualLayout>
      </c:layout>
      <c:overlay val="0"/>
      <c:spPr>
        <a:noFill/>
        <a:ln w="25400">
          <a:noFill/>
        </a:ln>
      </c:spPr>
    </c:title>
    <c:autoTitleDeleted val="0"/>
    <c:plotArea>
      <c:layout>
        <c:manualLayout>
          <c:layoutTarget val="inner"/>
          <c:xMode val="edge"/>
          <c:yMode val="edge"/>
          <c:x val="0.10172159520734791"/>
          <c:y val="0.20327868852459041"/>
          <c:w val="0.87793561402034759"/>
          <c:h val="0.57704918032786889"/>
        </c:manualLayout>
      </c:layout>
      <c:barChart>
        <c:barDir val="col"/>
        <c:grouping val="clustered"/>
        <c:varyColors val="0"/>
        <c:ser>
          <c:idx val="1"/>
          <c:order val="0"/>
          <c:tx>
            <c:strRef>
              <c:f>'International Agreements'!$D$9</c:f>
              <c:strCache>
                <c:ptCount val="1"/>
                <c:pt idx="0">
                  <c:v>Multilateral</c:v>
                </c:pt>
              </c:strCache>
            </c:strRef>
          </c:tx>
          <c:spPr>
            <a:solidFill>
              <a:srgbClr val="FCD5B5"/>
            </a:solidFill>
            <a:ln w="12700">
              <a:noFill/>
              <a:prstDash val="solid"/>
            </a:ln>
          </c:spPr>
          <c:invertIfNegative val="0"/>
          <c:cat>
            <c:numRef>
              <c:f>'International Agreements'!$E$8:$T$8</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'International Agreements'!$E$9:$T$9</c:f>
              <c:numCache>
                <c:formatCode>General</c:formatCode>
                <c:ptCount val="16"/>
                <c:pt idx="0">
                  <c:v>12</c:v>
                </c:pt>
                <c:pt idx="1">
                  <c:v>13</c:v>
                </c:pt>
                <c:pt idx="2">
                  <c:v>8</c:v>
                </c:pt>
                <c:pt idx="3">
                  <c:v>10</c:v>
                </c:pt>
                <c:pt idx="4">
                  <c:v>2</c:v>
                </c:pt>
                <c:pt idx="5">
                  <c:v>4</c:v>
                </c:pt>
                <c:pt idx="6">
                  <c:v>9</c:v>
                </c:pt>
                <c:pt idx="7">
                  <c:v>7</c:v>
                </c:pt>
                <c:pt idx="8">
                  <c:v>11</c:v>
                </c:pt>
                <c:pt idx="9">
                  <c:v>4</c:v>
                </c:pt>
                <c:pt idx="10">
                  <c:v>6</c:v>
                </c:pt>
                <c:pt idx="11">
                  <c:v>9</c:v>
                </c:pt>
                <c:pt idx="12">
                  <c:v>5</c:v>
                </c:pt>
                <c:pt idx="13">
                  <c:v>8</c:v>
                </c:pt>
                <c:pt idx="14">
                  <c:v>6</c:v>
                </c:pt>
                <c:pt idx="15">
                  <c:v>5</c:v>
                </c:pt>
              </c:numCache>
            </c:numRef>
          </c:val>
          <c:extLst>
            <c:ext xmlns:c16="http://schemas.microsoft.com/office/drawing/2014/chart" uri="{C3380CC4-5D6E-409C-BE32-E72D297353CC}">
              <c16:uniqueId val="{00000000-6F73-48D7-AD4B-894827721D58}"/>
            </c:ext>
          </c:extLst>
        </c:ser>
        <c:ser>
          <c:idx val="2"/>
          <c:order val="1"/>
          <c:tx>
            <c:strRef>
              <c:f>'International Agreements'!$D$10</c:f>
              <c:strCache>
                <c:ptCount val="1"/>
                <c:pt idx="0">
                  <c:v>Bilateral</c:v>
                </c:pt>
              </c:strCache>
            </c:strRef>
          </c:tx>
          <c:spPr>
            <a:solidFill>
              <a:srgbClr val="F8A662"/>
            </a:solidFill>
          </c:spPr>
          <c:invertIfNegative val="0"/>
          <c:cat>
            <c:numRef>
              <c:f>'International Agreements'!$E$8:$T$8</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'International Agreements'!$E$10:$T$10</c:f>
              <c:numCache>
                <c:formatCode>General</c:formatCode>
                <c:ptCount val="16"/>
                <c:pt idx="0">
                  <c:v>125</c:v>
                </c:pt>
                <c:pt idx="1">
                  <c:v>108</c:v>
                </c:pt>
                <c:pt idx="2">
                  <c:v>97</c:v>
                </c:pt>
                <c:pt idx="3">
                  <c:v>92</c:v>
                </c:pt>
                <c:pt idx="4">
                  <c:v>109</c:v>
                </c:pt>
                <c:pt idx="5">
                  <c:v>120</c:v>
                </c:pt>
                <c:pt idx="6">
                  <c:v>102</c:v>
                </c:pt>
                <c:pt idx="7">
                  <c:v>85</c:v>
                </c:pt>
                <c:pt idx="8">
                  <c:v>69</c:v>
                </c:pt>
                <c:pt idx="9">
                  <c:v>67</c:v>
                </c:pt>
                <c:pt idx="10">
                  <c:v>80</c:v>
                </c:pt>
                <c:pt idx="11">
                  <c:v>84</c:v>
                </c:pt>
                <c:pt idx="12">
                  <c:v>61</c:v>
                </c:pt>
                <c:pt idx="13">
                  <c:v>81</c:v>
                </c:pt>
                <c:pt idx="14">
                  <c:v>45</c:v>
                </c:pt>
                <c:pt idx="15">
                  <c:v>61</c:v>
                </c:pt>
              </c:numCache>
            </c:numRef>
          </c:val>
          <c:extLst>
            <c:ext xmlns:c16="http://schemas.microsoft.com/office/drawing/2014/chart" uri="{C3380CC4-5D6E-409C-BE32-E72D297353CC}">
              <c16:uniqueId val="{00000001-6F73-48D7-AD4B-894827721D58}"/>
            </c:ext>
          </c:extLst>
        </c:ser>
        <c:dLbls>
          <c:showLegendKey val="0"/>
          <c:showVal val="0"/>
          <c:showCatName val="0"/>
          <c:showSerName val="0"/>
          <c:showPercent val="0"/>
          <c:showBubbleSize val="0"/>
        </c:dLbls>
        <c:gapWidth val="150"/>
        <c:axId val="50595328"/>
        <c:axId val="50596864"/>
      </c:barChart>
      <c:catAx>
        <c:axId val="50595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596864"/>
        <c:crosses val="autoZero"/>
        <c:auto val="1"/>
        <c:lblAlgn val="ctr"/>
        <c:lblOffset val="100"/>
        <c:tickLblSkip val="1"/>
        <c:tickMarkSkip val="1"/>
        <c:noMultiLvlLbl val="0"/>
      </c:catAx>
      <c:valAx>
        <c:axId val="5059686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no</a:t>
                </a:r>
              </a:p>
            </c:rich>
          </c:tx>
          <c:layout>
            <c:manualLayout>
              <c:xMode val="edge"/>
              <c:yMode val="edge"/>
              <c:x val="2.5039138830113505E-2"/>
              <c:y val="0.4655737704918033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595328"/>
        <c:crosses val="autoZero"/>
        <c:crossBetween val="between"/>
      </c:valAx>
      <c:spPr>
        <a:solidFill>
          <a:srgbClr val="FFFFFF"/>
        </a:solidFill>
        <a:ln w="3175">
          <a:solidFill>
            <a:srgbClr val="000000"/>
          </a:solidFill>
          <a:prstDash val="solid"/>
        </a:ln>
      </c:spPr>
    </c:plotArea>
    <c:legend>
      <c:legendPos val="r"/>
      <c:layout>
        <c:manualLayout>
          <c:xMode val="edge"/>
          <c:yMode val="edge"/>
          <c:x val="0.26940703321664988"/>
          <c:y val="0.91379566775455101"/>
          <c:w val="0.25552791503860728"/>
          <c:h val="8.6204256795486767E-2"/>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'[47]Revised Tax return'!$C$9</c:f>
              <c:strCache>
                <c:ptCount val="1"/>
                <c:pt idx="0">
                  <c:v>Revenue collection</c:v>
                </c:pt>
              </c:strCache>
            </c:strRef>
          </c:tx>
          <c:spPr>
            <a:solidFill>
              <a:srgbClr val="9999FF"/>
            </a:solidFill>
            <a:ln w="12700">
              <a:solidFill>
                <a:srgbClr val="000000"/>
              </a:solidFill>
              <a:prstDash val="solid"/>
            </a:ln>
          </c:spPr>
          <c:invertIfNegative val="0"/>
          <c:cat>
            <c:numRef>
              <c:f>'[47]Revised Tax return'!$D$8:$O$8</c:f>
              <c:numCache>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'[47]Revised Tax return'!$E$9:$O$9</c:f>
              <c:numCache>
                <c:formatCode>General</c:formatCode>
                <c:ptCount val="11"/>
                <c:pt idx="0">
                  <c:v>147.30000000000001</c:v>
                </c:pt>
                <c:pt idx="1">
                  <c:v>165.3</c:v>
                </c:pt>
                <c:pt idx="2">
                  <c:v>184.8</c:v>
                </c:pt>
                <c:pt idx="3">
                  <c:v>201.4</c:v>
                </c:pt>
                <c:pt idx="4">
                  <c:v>220.3</c:v>
                </c:pt>
                <c:pt idx="5">
                  <c:v>252.3</c:v>
                </c:pt>
                <c:pt idx="6">
                  <c:v>282.2</c:v>
                </c:pt>
                <c:pt idx="7">
                  <c:v>302.5</c:v>
                </c:pt>
                <c:pt idx="8">
                  <c:v>355</c:v>
                </c:pt>
                <c:pt idx="9">
                  <c:v>417.3</c:v>
                </c:pt>
                <c:pt idx="10">
                  <c:v>486.4</c:v>
                </c:pt>
              </c:numCache>
            </c:numRef>
          </c:val>
          <c:extLst>
            <c:ext xmlns:c16="http://schemas.microsoft.com/office/drawing/2014/chart" uri="{C3380CC4-5D6E-409C-BE32-E72D297353CC}">
              <c16:uniqueId val="{00000000-1872-460A-8269-D9D0FB942AAE}"/>
            </c:ext>
          </c:extLst>
        </c:ser>
        <c:ser>
          <c:idx val="1"/>
          <c:order val="1"/>
          <c:tx>
            <c:strRef>
              <c:f>'[47]Revised Tax return'!$C$10</c:f>
              <c:strCache>
                <c:ptCount val="1"/>
                <c:pt idx="0">
                  <c:v>Annual tax relief</c:v>
                </c:pt>
              </c:strCache>
            </c:strRef>
          </c:tx>
          <c:spPr>
            <a:solidFill>
              <a:srgbClr val="993366"/>
            </a:solidFill>
            <a:ln w="12700">
              <a:solidFill>
                <a:srgbClr val="000000"/>
              </a:solidFill>
              <a:prstDash val="solid"/>
            </a:ln>
          </c:spPr>
          <c:invertIfNegative val="0"/>
          <c:cat>
            <c:numRef>
              <c:f>'[47]Revised Tax return'!$D$8:$O$8</c:f>
              <c:numCache>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'[47]Revised Tax return'!$D$10:$O$10</c:f>
              <c:numCache>
                <c:formatCode>General</c:formatCode>
                <c:ptCount val="12"/>
                <c:pt idx="0">
                  <c:v>0</c:v>
                </c:pt>
                <c:pt idx="1">
                  <c:v>2.4</c:v>
                </c:pt>
                <c:pt idx="2">
                  <c:v>0.90800000000000003</c:v>
                </c:pt>
                <c:pt idx="4">
                  <c:v>3.57</c:v>
                </c:pt>
                <c:pt idx="5">
                  <c:v>8.48</c:v>
                </c:pt>
                <c:pt idx="6">
                  <c:v>9.06</c:v>
                </c:pt>
                <c:pt idx="7">
                  <c:v>15.17</c:v>
                </c:pt>
                <c:pt idx="8">
                  <c:v>15.06</c:v>
                </c:pt>
                <c:pt idx="9">
                  <c:v>2.2999999999999998</c:v>
                </c:pt>
                <c:pt idx="10">
                  <c:v>9.3800000000000008</c:v>
                </c:pt>
                <c:pt idx="11">
                  <c:v>19.3</c:v>
                </c:pt>
              </c:numCache>
            </c:numRef>
          </c:val>
          <c:extLst>
            <c:ext xmlns:c16="http://schemas.microsoft.com/office/drawing/2014/chart" uri="{C3380CC4-5D6E-409C-BE32-E72D297353CC}">
              <c16:uniqueId val="{00000001-1872-460A-8269-D9D0FB942AAE}"/>
            </c:ext>
          </c:extLst>
        </c:ser>
        <c:ser>
          <c:idx val="2"/>
          <c:order val="2"/>
          <c:tx>
            <c:strRef>
              <c:f>'[47]Revised Tax return'!$C$11</c:f>
              <c:strCache>
                <c:ptCount val="1"/>
                <c:pt idx="0">
                  <c:v>Tax register</c:v>
                </c:pt>
              </c:strCache>
            </c:strRef>
          </c:tx>
          <c:spPr>
            <a:solidFill>
              <a:srgbClr val="FFFFCC"/>
            </a:solidFill>
            <a:ln w="12700">
              <a:solidFill>
                <a:srgbClr val="000000"/>
              </a:solidFill>
              <a:prstDash val="solid"/>
            </a:ln>
          </c:spPr>
          <c:invertIfNegative val="0"/>
          <c:cat>
            <c:numRef>
              <c:f>'[47]Revised Tax return'!$D$8:$O$8</c:f>
              <c:numCache>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'[47]Revised Tax return'!$D$11:$O$11</c:f>
              <c:numCache>
                <c:formatCode>General</c:formatCode>
                <c:ptCount val="12"/>
                <c:pt idx="0">
                  <c:v>0</c:v>
                </c:pt>
                <c:pt idx="1">
                  <c:v>3166795</c:v>
                </c:pt>
                <c:pt idx="2">
                  <c:v>3568089</c:v>
                </c:pt>
                <c:pt idx="3">
                  <c:v>3671130</c:v>
                </c:pt>
                <c:pt idx="4">
                  <c:v>3941375</c:v>
                </c:pt>
                <c:pt idx="5">
                  <c:v>4094271</c:v>
                </c:pt>
                <c:pt idx="6">
                  <c:v>4623870</c:v>
                </c:pt>
                <c:pt idx="7">
                  <c:v>5102227</c:v>
                </c:pt>
                <c:pt idx="8">
                  <c:v>5608223</c:v>
                </c:pt>
                <c:pt idx="9">
                  <c:v>6085436</c:v>
                </c:pt>
                <c:pt idx="10">
                  <c:v>6624767</c:v>
                </c:pt>
                <c:pt idx="11">
                  <c:v>7277006</c:v>
                </c:pt>
              </c:numCache>
            </c:numRef>
          </c:val>
          <c:extLst>
            <c:ext xmlns:c16="http://schemas.microsoft.com/office/drawing/2014/chart" uri="{C3380CC4-5D6E-409C-BE32-E72D297353CC}">
              <c16:uniqueId val="{00000002-1872-460A-8269-D9D0FB942AAE}"/>
            </c:ext>
          </c:extLst>
        </c:ser>
        <c:dLbls>
          <c:showLegendKey val="0"/>
          <c:showVal val="0"/>
          <c:showCatName val="0"/>
          <c:showSerName val="0"/>
          <c:showPercent val="0"/>
          <c:showBubbleSize val="0"/>
        </c:dLbls>
        <c:gapWidth val="150"/>
        <c:overlap val="100"/>
        <c:axId val="409660552"/>
        <c:axId val="407973488"/>
      </c:barChart>
      <c:catAx>
        <c:axId val="409660552"/>
        <c:scaling>
          <c:orientation val="minMax"/>
        </c:scaling>
        <c:delete val="0"/>
        <c:axPos val="t"/>
        <c:title>
          <c:tx>
            <c:rich>
              <a:bodyPr/>
              <a:lstStyle/>
              <a:p>
                <a:pPr>
                  <a:defRPr sz="800" b="0" i="0" u="none" strike="noStrike" baseline="0">
                    <a:solidFill>
                      <a:srgbClr val="000000"/>
                    </a:solidFill>
                    <a:latin typeface="Arial"/>
                    <a:ea typeface="Arial"/>
                    <a:cs typeface="Arial"/>
                  </a:defRPr>
                </a:pPr>
                <a:r>
                  <a:rPr lang="en-ZA"/>
                  <a:t>Year</a:t>
                </a:r>
              </a:p>
            </c:rich>
          </c:tx>
          <c:layout>
            <c:manualLayout>
              <c:xMode val="edge"/>
              <c:yMode val="edge"/>
              <c:x val="0.53648143767436862"/>
              <c:y val="0.205224272339091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73488"/>
        <c:crosses val="max"/>
        <c:auto val="1"/>
        <c:lblAlgn val="ctr"/>
        <c:lblOffset val="100"/>
        <c:tickLblSkip val="1"/>
        <c:tickMarkSkip val="1"/>
        <c:noMultiLvlLbl val="0"/>
      </c:catAx>
      <c:valAx>
        <c:axId val="407973488"/>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3.7195994277539356E-2"/>
              <c:y val="0.59701610059935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966055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TAX REGISTER AND REVENUE COLLECTION</a:t>
            </a:r>
          </a:p>
        </c:rich>
      </c:tx>
      <c:overlay val="0"/>
      <c:spPr>
        <a:noFill/>
        <a:ln w="25400">
          <a:noFill/>
        </a:ln>
      </c:spPr>
    </c:title>
    <c:autoTitleDeleted val="0"/>
    <c:plotArea>
      <c:layout/>
      <c:barChart>
        <c:barDir val="col"/>
        <c:grouping val="clustered"/>
        <c:varyColors val="0"/>
        <c:ser>
          <c:idx val="1"/>
          <c:order val="0"/>
          <c:tx>
            <c:strRef>
              <c:f>'[48]Tax Admin'!$D$18</c:f>
              <c:strCache>
                <c:ptCount val="1"/>
                <c:pt idx="0">
                  <c:v>Total</c:v>
                </c:pt>
              </c:strCache>
            </c:strRef>
          </c:tx>
          <c:spPr>
            <a:solidFill>
              <a:srgbClr val="FF6600"/>
            </a:solidFill>
            <a:ln w="12700">
              <a:solidFill>
                <a:srgbClr val="000000"/>
              </a:solidFill>
              <a:prstDash val="solid"/>
            </a:ln>
          </c:spPr>
          <c:invertIfNegative val="0"/>
          <c:cat>
            <c:strRef>
              <c:f>'[48]Tax Admin'!$F$8:$R$8</c:f>
              <c:strCache>
                <c:ptCount val="13"/>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strCache>
            </c:strRef>
          </c:cat>
          <c:val>
            <c:numRef>
              <c:f>'[48]Tax Admin'!$F$18:$R$18</c:f>
              <c:numCache>
                <c:formatCode>General</c:formatCode>
                <c:ptCount val="13"/>
                <c:pt idx="0">
                  <c:v>147.30000000000001</c:v>
                </c:pt>
                <c:pt idx="1">
                  <c:v>165.3</c:v>
                </c:pt>
                <c:pt idx="2">
                  <c:v>184.8</c:v>
                </c:pt>
                <c:pt idx="3">
                  <c:v>201.4</c:v>
                </c:pt>
                <c:pt idx="4">
                  <c:v>220.3</c:v>
                </c:pt>
                <c:pt idx="5">
                  <c:v>252.3</c:v>
                </c:pt>
                <c:pt idx="6">
                  <c:v>282.2</c:v>
                </c:pt>
                <c:pt idx="7">
                  <c:v>302.5</c:v>
                </c:pt>
                <c:pt idx="8">
                  <c:v>355</c:v>
                </c:pt>
                <c:pt idx="9">
                  <c:v>417.3</c:v>
                </c:pt>
                <c:pt idx="10">
                  <c:v>493.5</c:v>
                </c:pt>
                <c:pt idx="11">
                  <c:v>572.9</c:v>
                </c:pt>
                <c:pt idx="12">
                  <c:v>625.1</c:v>
                </c:pt>
              </c:numCache>
            </c:numRef>
          </c:val>
          <c:extLst>
            <c:ext xmlns:c16="http://schemas.microsoft.com/office/drawing/2014/chart" uri="{C3380CC4-5D6E-409C-BE32-E72D297353CC}">
              <c16:uniqueId val="{00000000-00E1-48F7-B984-DF64FE3E02B7}"/>
            </c:ext>
          </c:extLst>
        </c:ser>
        <c:dLbls>
          <c:showLegendKey val="0"/>
          <c:showVal val="0"/>
          <c:showCatName val="0"/>
          <c:showSerName val="0"/>
          <c:showPercent val="0"/>
          <c:showBubbleSize val="0"/>
        </c:dLbls>
        <c:gapWidth val="150"/>
        <c:axId val="407977016"/>
        <c:axId val="407968000"/>
      </c:barChart>
      <c:lineChart>
        <c:grouping val="standard"/>
        <c:varyColors val="0"/>
        <c:ser>
          <c:idx val="0"/>
          <c:order val="1"/>
          <c:tx>
            <c:strRef>
              <c:f>'[48]Tax Admin'!$D$11</c:f>
              <c:strCache>
                <c:ptCount val="1"/>
                <c:pt idx="0">
                  <c:v>Tax register</c:v>
                </c:pt>
              </c:strCache>
            </c:strRef>
          </c:tx>
          <c:spPr>
            <a:ln w="25400">
              <a:solidFill>
                <a:srgbClr val="993300"/>
              </a:solidFill>
              <a:prstDash val="solid"/>
            </a:ln>
          </c:spPr>
          <c:marker>
            <c:symbol val="none"/>
          </c:marker>
          <c:val>
            <c:numRef>
              <c:f>'[48]Tax Admin'!$F$11:$R$11</c:f>
              <c:numCache>
                <c:formatCode>General</c:formatCode>
                <c:ptCount val="13"/>
                <c:pt idx="0">
                  <c:v>3166795</c:v>
                </c:pt>
                <c:pt idx="1">
                  <c:v>3568089</c:v>
                </c:pt>
                <c:pt idx="2">
                  <c:v>3671130</c:v>
                </c:pt>
                <c:pt idx="3">
                  <c:v>3941375</c:v>
                </c:pt>
                <c:pt idx="4">
                  <c:v>4094271</c:v>
                </c:pt>
                <c:pt idx="5">
                  <c:v>4623870</c:v>
                </c:pt>
                <c:pt idx="6">
                  <c:v>5102227</c:v>
                </c:pt>
                <c:pt idx="7">
                  <c:v>5608223</c:v>
                </c:pt>
                <c:pt idx="8">
                  <c:v>6085436</c:v>
                </c:pt>
                <c:pt idx="9">
                  <c:v>6624767</c:v>
                </c:pt>
                <c:pt idx="10">
                  <c:v>7221932</c:v>
                </c:pt>
                <c:pt idx="11">
                  <c:v>7895468</c:v>
                </c:pt>
                <c:pt idx="12">
                  <c:v>8487502</c:v>
                </c:pt>
              </c:numCache>
            </c:numRef>
          </c:val>
          <c:smooth val="0"/>
          <c:extLst>
            <c:ext xmlns:c16="http://schemas.microsoft.com/office/drawing/2014/chart" uri="{C3380CC4-5D6E-409C-BE32-E72D297353CC}">
              <c16:uniqueId val="{00000001-00E1-48F7-B984-DF64FE3E02B7}"/>
            </c:ext>
          </c:extLst>
        </c:ser>
        <c:dLbls>
          <c:showLegendKey val="0"/>
          <c:showVal val="0"/>
          <c:showCatName val="0"/>
          <c:showSerName val="0"/>
          <c:showPercent val="0"/>
          <c:showBubbleSize val="0"/>
        </c:dLbls>
        <c:marker val="1"/>
        <c:smooth val="0"/>
        <c:axId val="407970744"/>
        <c:axId val="407969176"/>
      </c:lineChart>
      <c:catAx>
        <c:axId val="407977016"/>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en-ZA"/>
                  <a:t>Year</a:t>
                </a:r>
              </a:p>
            </c:rich>
          </c:tx>
          <c:layout>
            <c:manualLayout>
              <c:xMode val="edge"/>
              <c:yMode val="edge"/>
              <c:x val="0.48318409189883155"/>
              <c:y val="0.78647686832740216"/>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68000"/>
        <c:crosses val="autoZero"/>
        <c:auto val="0"/>
        <c:lblAlgn val="ctr"/>
        <c:lblOffset val="100"/>
        <c:tickLblSkip val="1"/>
        <c:tickMarkSkip val="1"/>
        <c:noMultiLvlLbl val="0"/>
      </c:catAx>
      <c:valAx>
        <c:axId val="407968000"/>
        <c:scaling>
          <c:orientation val="minMax"/>
          <c:max val="7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R'billion</a:t>
                </a:r>
              </a:p>
            </c:rich>
          </c:tx>
          <c:layout>
            <c:manualLayout>
              <c:xMode val="edge"/>
              <c:yMode val="edge"/>
              <c:x val="1.7937219730941704E-2"/>
              <c:y val="0.31316725978647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77016"/>
        <c:crosses val="autoZero"/>
        <c:crossBetween val="between"/>
      </c:valAx>
      <c:catAx>
        <c:axId val="407970744"/>
        <c:scaling>
          <c:orientation val="minMax"/>
        </c:scaling>
        <c:delete val="1"/>
        <c:axPos val="b"/>
        <c:majorTickMark val="out"/>
        <c:minorTickMark val="none"/>
        <c:tickLblPos val="none"/>
        <c:crossAx val="407969176"/>
        <c:crosses val="autoZero"/>
        <c:auto val="0"/>
        <c:lblAlgn val="ctr"/>
        <c:lblOffset val="100"/>
        <c:noMultiLvlLbl val="0"/>
      </c:catAx>
      <c:valAx>
        <c:axId val="407969176"/>
        <c:scaling>
          <c:orientation val="minMax"/>
          <c:max val="9000000"/>
        </c:scaling>
        <c:delete val="0"/>
        <c:axPos val="r"/>
        <c:title>
          <c:tx>
            <c:rich>
              <a:bodyPr/>
              <a:lstStyle/>
              <a:p>
                <a:pPr>
                  <a:defRPr sz="800" b="0" i="0" u="none" strike="noStrike" baseline="0">
                    <a:solidFill>
                      <a:srgbClr val="000000"/>
                    </a:solidFill>
                    <a:latin typeface="Arial"/>
                    <a:ea typeface="Arial"/>
                    <a:cs typeface="Arial"/>
                  </a:defRPr>
                </a:pPr>
                <a:r>
                  <a:rPr lang="en-ZA"/>
                  <a:t>Number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70744"/>
        <c:crosses val="max"/>
        <c:crossBetween val="between"/>
      </c:valAx>
      <c:spPr>
        <a:solidFill>
          <a:srgbClr val="FFFFFF"/>
        </a:solidFill>
        <a:ln w="25400">
          <a:noFill/>
        </a:ln>
      </c:spPr>
    </c:plotArea>
    <c:legend>
      <c:legendPos val="r"/>
      <c:overlay val="0"/>
      <c:spPr>
        <a:solidFill>
          <a:srgbClr val="FFFFFF"/>
        </a:solidFill>
        <a:ln w="25400">
          <a:noFill/>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66" r="0.75000000000000566" t="1" header="0.5" footer="0.5"/>
    <c:pageSetup paperSize="9" orientation="landscape" horizontalDpi="-4"/>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ZA"/>
              <a:t>TAX REGISTER AND REVENUE COLLECTION</a:t>
            </a:r>
          </a:p>
        </c:rich>
      </c:tx>
      <c:layout>
        <c:manualLayout>
          <c:xMode val="edge"/>
          <c:yMode val="edge"/>
          <c:x val="5.8645046570290071E-2"/>
          <c:y val="3.5608408186513715E-2"/>
        </c:manualLayout>
      </c:layout>
      <c:overlay val="0"/>
      <c:spPr>
        <a:noFill/>
        <a:ln w="25400">
          <a:noFill/>
        </a:ln>
      </c:spPr>
    </c:title>
    <c:autoTitleDeleted val="0"/>
    <c:plotArea>
      <c:layout>
        <c:manualLayout>
          <c:layoutTarget val="inner"/>
          <c:xMode val="edge"/>
          <c:yMode val="edge"/>
          <c:x val="5.6533827618164965E-2"/>
          <c:y val="0.1847507331378323"/>
          <c:w val="0.86190917516219323"/>
          <c:h val="0.6334310850439886"/>
        </c:manualLayout>
      </c:layout>
      <c:barChart>
        <c:barDir val="col"/>
        <c:grouping val="stacked"/>
        <c:varyColors val="0"/>
        <c:ser>
          <c:idx val="0"/>
          <c:order val="0"/>
          <c:tx>
            <c:strRef>
              <c:f>'Tax Admin'!$D$18</c:f>
              <c:strCache>
                <c:ptCount val="1"/>
                <c:pt idx="0">
                  <c:v>Personal Income Tax (PIT)</c:v>
                </c:pt>
              </c:strCache>
            </c:strRef>
          </c:tx>
          <c:spPr>
            <a:solidFill>
              <a:srgbClr val="FCD5B5"/>
            </a:solidFill>
            <a:ln w="12700">
              <a:noFill/>
              <a:prstDash val="solid"/>
            </a:ln>
          </c:spPr>
          <c:invertIfNegative val="0"/>
          <c:cat>
            <c:strRef>
              <c:f>'Tax Admin'!$F$9:$X$9</c:f>
              <c:strCache>
                <c:ptCount val="19"/>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strCache>
            </c:strRef>
          </c:cat>
          <c:val>
            <c:numRef>
              <c:f>'Tax Admin'!$F$18:$X$18</c:f>
              <c:numCache>
                <c:formatCode>_ * #\ ##0.0_ ;_ * \-#\ ##0.0_ ;_ * "-"??_ ;_ @_ </c:formatCode>
                <c:ptCount val="19"/>
                <c:pt idx="0">
                  <c:v>59.908830999999999</c:v>
                </c:pt>
                <c:pt idx="1">
                  <c:v>68.718382000000005</c:v>
                </c:pt>
                <c:pt idx="2">
                  <c:v>78.175899999999999</c:v>
                </c:pt>
                <c:pt idx="3">
                  <c:v>86.389786999999998</c:v>
                </c:pt>
                <c:pt idx="4">
                  <c:v>86.938998000000012</c:v>
                </c:pt>
                <c:pt idx="5">
                  <c:v>90.975505000000013</c:v>
                </c:pt>
                <c:pt idx="6">
                  <c:v>94.923639121950004</c:v>
                </c:pt>
                <c:pt idx="7">
                  <c:v>99.219964564930038</c:v>
                </c:pt>
                <c:pt idx="8">
                  <c:v>111.69656048855001</c:v>
                </c:pt>
                <c:pt idx="9">
                  <c:v>126.41636737741003</c:v>
                </c:pt>
                <c:pt idx="10">
                  <c:v>141.39707962644002</c:v>
                </c:pt>
                <c:pt idx="11">
                  <c:v>169.53925329587</c:v>
                </c:pt>
                <c:pt idx="12">
                  <c:v>196.06803582748998</c:v>
                </c:pt>
                <c:pt idx="13">
                  <c:v>206.48353338388003</c:v>
                </c:pt>
                <c:pt idx="14">
                  <c:v>228.09611159447999</c:v>
                </c:pt>
                <c:pt idx="15">
                  <c:v>251.33914729868999</c:v>
                </c:pt>
                <c:pt idx="16">
                  <c:v>276.67857430245999</c:v>
                </c:pt>
                <c:pt idx="17">
                  <c:v>310.92899241366007</c:v>
                </c:pt>
                <c:pt idx="18">
                  <c:v>353.8</c:v>
                </c:pt>
              </c:numCache>
            </c:numRef>
          </c:val>
          <c:extLst>
            <c:ext xmlns:c16="http://schemas.microsoft.com/office/drawing/2014/chart" uri="{C3380CC4-5D6E-409C-BE32-E72D297353CC}">
              <c16:uniqueId val="{00000000-4B66-40FE-A551-EB475F8122C5}"/>
            </c:ext>
          </c:extLst>
        </c:ser>
        <c:ser>
          <c:idx val="1"/>
          <c:order val="1"/>
          <c:tx>
            <c:strRef>
              <c:f>'Tax Admin'!$D$19</c:f>
              <c:strCache>
                <c:ptCount val="1"/>
                <c:pt idx="0">
                  <c:v>Corporate Income Tax (CIT)</c:v>
                </c:pt>
              </c:strCache>
            </c:strRef>
          </c:tx>
          <c:spPr>
            <a:solidFill>
              <a:srgbClr val="F8A662"/>
            </a:solidFill>
            <a:ln w="12700">
              <a:noFill/>
              <a:prstDash val="solid"/>
            </a:ln>
          </c:spPr>
          <c:invertIfNegative val="0"/>
          <c:cat>
            <c:strRef>
              <c:f>'Tax Admin'!$F$9:$X$9</c:f>
              <c:strCache>
                <c:ptCount val="19"/>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strCache>
            </c:strRef>
          </c:cat>
          <c:val>
            <c:numRef>
              <c:f>'Tax Admin'!$F$19:$X$19</c:f>
              <c:numCache>
                <c:formatCode>_ * #\ ##0.0_ ;_ * \-#\ ##0.0_ ;_ * "-"??_ ;_ @_ </c:formatCode>
                <c:ptCount val="19"/>
                <c:pt idx="0">
                  <c:v>19.060255000000002</c:v>
                </c:pt>
                <c:pt idx="1">
                  <c:v>21.609256999999999</c:v>
                </c:pt>
                <c:pt idx="2">
                  <c:v>22.8217</c:v>
                </c:pt>
                <c:pt idx="3">
                  <c:v>21.279</c:v>
                </c:pt>
                <c:pt idx="4">
                  <c:v>29.955826000000002</c:v>
                </c:pt>
                <c:pt idx="5">
                  <c:v>42.979472000000001</c:v>
                </c:pt>
                <c:pt idx="6">
                  <c:v>56.32706012221</c:v>
                </c:pt>
                <c:pt idx="7">
                  <c:v>61.712227570459987</c:v>
                </c:pt>
                <c:pt idx="8">
                  <c:v>71.629360350159999</c:v>
                </c:pt>
                <c:pt idx="9">
                  <c:v>87.326450359509977</c:v>
                </c:pt>
                <c:pt idx="10">
                  <c:v>120.11089965942</c:v>
                </c:pt>
                <c:pt idx="11">
                  <c:v>141.63543631795</c:v>
                </c:pt>
                <c:pt idx="12">
                  <c:v>167.20223921951998</c:v>
                </c:pt>
                <c:pt idx="13">
                  <c:v>136.97793176757</c:v>
                </c:pt>
                <c:pt idx="14">
                  <c:v>134.63507949267003</c:v>
                </c:pt>
                <c:pt idx="15">
                  <c:v>153.27217884888003</c:v>
                </c:pt>
                <c:pt idx="16">
                  <c:v>160.89579553078002</c:v>
                </c:pt>
                <c:pt idx="17">
                  <c:v>179.52012193795079</c:v>
                </c:pt>
                <c:pt idx="18">
                  <c:v>186.9</c:v>
                </c:pt>
              </c:numCache>
            </c:numRef>
          </c:val>
          <c:extLst>
            <c:ext xmlns:c16="http://schemas.microsoft.com/office/drawing/2014/chart" uri="{C3380CC4-5D6E-409C-BE32-E72D297353CC}">
              <c16:uniqueId val="{00000001-4B66-40FE-A551-EB475F8122C5}"/>
            </c:ext>
          </c:extLst>
        </c:ser>
        <c:ser>
          <c:idx val="2"/>
          <c:order val="2"/>
          <c:tx>
            <c:strRef>
              <c:f>'Tax Admin'!$D$20</c:f>
              <c:strCache>
                <c:ptCount val="1"/>
                <c:pt idx="0">
                  <c:v>Value Added Tax (VAT)</c:v>
                </c:pt>
              </c:strCache>
            </c:strRef>
          </c:tx>
          <c:spPr>
            <a:solidFill>
              <a:srgbClr val="E46C0A"/>
            </a:solidFill>
            <a:ln w="12700">
              <a:noFill/>
              <a:prstDash val="solid"/>
            </a:ln>
          </c:spPr>
          <c:invertIfNegative val="0"/>
          <c:cat>
            <c:strRef>
              <c:f>'Tax Admin'!$F$9:$X$9</c:f>
              <c:strCache>
                <c:ptCount val="19"/>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strCache>
            </c:strRef>
          </c:cat>
          <c:val>
            <c:numRef>
              <c:f>'Tax Admin'!$F$20:$X$20</c:f>
              <c:numCache>
                <c:formatCode>_ * #\ ##0.0_ ;_ * \-#\ ##0.0_ ;_ * "-"??_ ;_ @_ </c:formatCode>
                <c:ptCount val="19"/>
                <c:pt idx="0">
                  <c:v>35.902887</c:v>
                </c:pt>
                <c:pt idx="1">
                  <c:v>40.095641000000008</c:v>
                </c:pt>
                <c:pt idx="2">
                  <c:v>43.985400000000006</c:v>
                </c:pt>
                <c:pt idx="3">
                  <c:v>48.376839999999994</c:v>
                </c:pt>
                <c:pt idx="4">
                  <c:v>54.455193000000001</c:v>
                </c:pt>
                <c:pt idx="5">
                  <c:v>61.056608999999995</c:v>
                </c:pt>
                <c:pt idx="6">
                  <c:v>70.14985124507001</c:v>
                </c:pt>
                <c:pt idx="7">
                  <c:v>80.681755445380034</c:v>
                </c:pt>
                <c:pt idx="8">
                  <c:v>98.157875453460008</c:v>
                </c:pt>
                <c:pt idx="9">
                  <c:v>114.35163784014003</c:v>
                </c:pt>
                <c:pt idx="10">
                  <c:v>134.46259892516002</c:v>
                </c:pt>
                <c:pt idx="11">
                  <c:v>150.44284925536999</c:v>
                </c:pt>
                <c:pt idx="12">
                  <c:v>154.34312135429997</c:v>
                </c:pt>
                <c:pt idx="13">
                  <c:v>147.94132226163998</c:v>
                </c:pt>
                <c:pt idx="14">
                  <c:v>183.57143947360998</c:v>
                </c:pt>
                <c:pt idx="15">
                  <c:v>191.02019853624998</c:v>
                </c:pt>
                <c:pt idx="16">
                  <c:v>215.02303517333002</c:v>
                </c:pt>
                <c:pt idx="17">
                  <c:v>237.66657887254001</c:v>
                </c:pt>
                <c:pt idx="18">
                  <c:v>261.10000000000002</c:v>
                </c:pt>
              </c:numCache>
            </c:numRef>
          </c:val>
          <c:extLst>
            <c:ext xmlns:c16="http://schemas.microsoft.com/office/drawing/2014/chart" uri="{C3380CC4-5D6E-409C-BE32-E72D297353CC}">
              <c16:uniqueId val="{00000002-4B66-40FE-A551-EB475F8122C5}"/>
            </c:ext>
          </c:extLst>
        </c:ser>
        <c:ser>
          <c:idx val="3"/>
          <c:order val="3"/>
          <c:tx>
            <c:strRef>
              <c:f>'Tax Admin'!$D$21</c:f>
              <c:strCache>
                <c:ptCount val="1"/>
                <c:pt idx="0">
                  <c:v>Other tax types</c:v>
                </c:pt>
              </c:strCache>
            </c:strRef>
          </c:tx>
          <c:spPr>
            <a:solidFill>
              <a:srgbClr val="984807"/>
            </a:solidFill>
            <a:ln w="12700">
              <a:noFill/>
              <a:prstDash val="solid"/>
            </a:ln>
          </c:spPr>
          <c:invertIfNegative val="0"/>
          <c:cat>
            <c:strRef>
              <c:f>'Tax Admin'!$F$9:$X$9</c:f>
              <c:strCache>
                <c:ptCount val="19"/>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strCache>
            </c:strRef>
          </c:cat>
          <c:val>
            <c:numRef>
              <c:f>'Tax Admin'!$F$21:$X$21</c:f>
              <c:numCache>
                <c:formatCode>_ * #\ ##0.0_ ;_ * \-#\ ##0.0_ ;_ * "-"??_ ;_ @_ </c:formatCode>
                <c:ptCount val="19"/>
                <c:pt idx="0">
                  <c:v>32.460366000000022</c:v>
                </c:pt>
                <c:pt idx="1">
                  <c:v>34.90415999999999</c:v>
                </c:pt>
                <c:pt idx="2">
                  <c:v>39.861500000000007</c:v>
                </c:pt>
                <c:pt idx="3">
                  <c:v>45.340422999999987</c:v>
                </c:pt>
                <c:pt idx="4">
                  <c:v>48.984128999999967</c:v>
                </c:pt>
                <c:pt idx="5">
                  <c:v>57.286724000000049</c:v>
                </c:pt>
                <c:pt idx="6">
                  <c:v>60.509972064220108</c:v>
                </c:pt>
                <c:pt idx="7">
                  <c:v>60.82860250391991</c:v>
                </c:pt>
                <c:pt idx="8">
                  <c:v>73.494242531649888</c:v>
                </c:pt>
                <c:pt idx="9">
                  <c:v>89.100723147990038</c:v>
                </c:pt>
                <c:pt idx="10">
                  <c:v>99.57803852584999</c:v>
                </c:pt>
                <c:pt idx="11">
                  <c:v>111.19698161270014</c:v>
                </c:pt>
                <c:pt idx="12">
                  <c:v>107.48676857755004</c:v>
                </c:pt>
                <c:pt idx="13">
                  <c:v>107.3026560893</c:v>
                </c:pt>
                <c:pt idx="14">
                  <c:v>127.88051532990005</c:v>
                </c:pt>
                <c:pt idx="15">
                  <c:v>147.01818849465997</c:v>
                </c:pt>
                <c:pt idx="16">
                  <c:v>161.2284098568</c:v>
                </c:pt>
                <c:pt idx="17">
                  <c:v>171.89902723400996</c:v>
                </c:pt>
                <c:pt idx="18">
                  <c:v>184.49999999999989</c:v>
                </c:pt>
              </c:numCache>
            </c:numRef>
          </c:val>
          <c:extLst>
            <c:ext xmlns:c16="http://schemas.microsoft.com/office/drawing/2014/chart" uri="{C3380CC4-5D6E-409C-BE32-E72D297353CC}">
              <c16:uniqueId val="{00000003-4B66-40FE-A551-EB475F8122C5}"/>
            </c:ext>
          </c:extLst>
        </c:ser>
        <c:dLbls>
          <c:showLegendKey val="0"/>
          <c:showVal val="0"/>
          <c:showCatName val="0"/>
          <c:showSerName val="0"/>
          <c:showPercent val="0"/>
          <c:showBubbleSize val="0"/>
        </c:dLbls>
        <c:gapWidth val="150"/>
        <c:overlap val="100"/>
        <c:axId val="407974272"/>
        <c:axId val="407983680"/>
      </c:barChart>
      <c:lineChart>
        <c:grouping val="standard"/>
        <c:varyColors val="0"/>
        <c:ser>
          <c:idx val="5"/>
          <c:order val="4"/>
          <c:tx>
            <c:strRef>
              <c:f>'Tax Admin'!$D$12</c:f>
              <c:strCache>
                <c:ptCount val="1"/>
                <c:pt idx="0">
                  <c:v>Income Tax register</c:v>
                </c:pt>
              </c:strCache>
            </c:strRef>
          </c:tx>
          <c:spPr>
            <a:ln w="25400">
              <a:solidFill>
                <a:srgbClr val="800000"/>
              </a:solidFill>
              <a:prstDash val="solid"/>
            </a:ln>
          </c:spPr>
          <c:marker>
            <c:symbol val="none"/>
          </c:marker>
          <c:cat>
            <c:strRef>
              <c:f>'Tax Admin'!$F$9:$U$9</c:f>
              <c:strCache>
                <c:ptCount val="16"/>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strCache>
            </c:strRef>
          </c:cat>
          <c:val>
            <c:numRef>
              <c:f>'Tax Admin'!$F$12:$X$12</c:f>
              <c:numCache>
                <c:formatCode>#\ ###\ ##0</c:formatCode>
                <c:ptCount val="19"/>
                <c:pt idx="0">
                  <c:v>2762688</c:v>
                </c:pt>
                <c:pt idx="1">
                  <c:v>3023930</c:v>
                </c:pt>
                <c:pt idx="2">
                  <c:v>3260567</c:v>
                </c:pt>
                <c:pt idx="3">
                  <c:v>3637717</c:v>
                </c:pt>
                <c:pt idx="4">
                  <c:v>4163792</c:v>
                </c:pt>
                <c:pt idx="5">
                  <c:v>4637811</c:v>
                </c:pt>
                <c:pt idx="6">
                  <c:v>4484919</c:v>
                </c:pt>
                <c:pt idx="7">
                  <c:v>4878211</c:v>
                </c:pt>
                <c:pt idx="8">
                  <c:v>5367396</c:v>
                </c:pt>
                <c:pt idx="9">
                  <c:v>5876112</c:v>
                </c:pt>
                <c:pt idx="10">
                  <c:v>6357421</c:v>
                </c:pt>
                <c:pt idx="11">
                  <c:v>7173554</c:v>
                </c:pt>
                <c:pt idx="12">
                  <c:v>7766915</c:v>
                </c:pt>
                <c:pt idx="13">
                  <c:v>8131422</c:v>
                </c:pt>
                <c:pt idx="14">
                  <c:v>12751006</c:v>
                </c:pt>
                <c:pt idx="15">
                  <c:v>16039801</c:v>
                </c:pt>
                <c:pt idx="16">
                  <c:v>17926869</c:v>
                </c:pt>
                <c:pt idx="17">
                  <c:v>19787304</c:v>
                </c:pt>
                <c:pt idx="18">
                  <c:v>21452507</c:v>
                </c:pt>
              </c:numCache>
            </c:numRef>
          </c:val>
          <c:smooth val="0"/>
          <c:extLst>
            <c:ext xmlns:c16="http://schemas.microsoft.com/office/drawing/2014/chart" uri="{C3380CC4-5D6E-409C-BE32-E72D297353CC}">
              <c16:uniqueId val="{00000004-4B66-40FE-A551-EB475F8122C5}"/>
            </c:ext>
          </c:extLst>
        </c:ser>
        <c:dLbls>
          <c:showLegendKey val="0"/>
          <c:showVal val="0"/>
          <c:showCatName val="0"/>
          <c:showSerName val="0"/>
          <c:showPercent val="0"/>
          <c:showBubbleSize val="0"/>
        </c:dLbls>
        <c:marker val="1"/>
        <c:smooth val="0"/>
        <c:axId val="722400376"/>
        <c:axId val="722368624"/>
      </c:lineChart>
      <c:catAx>
        <c:axId val="407974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83680"/>
        <c:crosses val="autoZero"/>
        <c:auto val="1"/>
        <c:lblAlgn val="ctr"/>
        <c:lblOffset val="100"/>
        <c:tickLblSkip val="1"/>
        <c:tickMarkSkip val="1"/>
        <c:noMultiLvlLbl val="0"/>
      </c:catAx>
      <c:valAx>
        <c:axId val="407983680"/>
        <c:scaling>
          <c:orientation val="minMax"/>
        </c:scaling>
        <c:delete val="0"/>
        <c:axPos val="l"/>
        <c:majorGridlines>
          <c:spPr>
            <a:ln w="3175">
              <a:solidFill>
                <a:srgbClr val="969696"/>
              </a:solidFill>
              <a:prstDash val="sysDash"/>
            </a:ln>
          </c:spPr>
        </c:majorGridlines>
        <c:title>
          <c:tx>
            <c:rich>
              <a:bodyPr/>
              <a:lstStyle/>
              <a:p>
                <a:pPr>
                  <a:defRPr sz="900" b="0" i="0" u="none" strike="noStrike" baseline="0">
                    <a:solidFill>
                      <a:srgbClr val="000000"/>
                    </a:solidFill>
                    <a:latin typeface="Arial"/>
                    <a:ea typeface="Arial"/>
                    <a:cs typeface="Arial"/>
                  </a:defRPr>
                </a:pPr>
                <a:r>
                  <a:rPr lang="en-ZA" sz="900"/>
                  <a:t>R'billion</a:t>
                </a:r>
              </a:p>
            </c:rich>
          </c:tx>
          <c:layout>
            <c:manualLayout>
              <c:xMode val="edge"/>
              <c:yMode val="edge"/>
              <c:x val="1.7189046920571265E-2"/>
              <c:y val="0.43323496586387644"/>
            </c:manualLayout>
          </c:layout>
          <c:overlay val="0"/>
          <c:spPr>
            <a:noFill/>
            <a:ln w="25400">
              <a:noFill/>
            </a:ln>
          </c:spPr>
        </c:title>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74272"/>
        <c:crosses val="autoZero"/>
        <c:crossBetween val="between"/>
      </c:valAx>
      <c:catAx>
        <c:axId val="722400376"/>
        <c:scaling>
          <c:orientation val="minMax"/>
        </c:scaling>
        <c:delete val="1"/>
        <c:axPos val="b"/>
        <c:numFmt formatCode="General" sourceLinked="1"/>
        <c:majorTickMark val="out"/>
        <c:minorTickMark val="none"/>
        <c:tickLblPos val="none"/>
        <c:crossAx val="722368624"/>
        <c:crosses val="autoZero"/>
        <c:auto val="1"/>
        <c:lblAlgn val="ctr"/>
        <c:lblOffset val="100"/>
        <c:noMultiLvlLbl val="0"/>
      </c:catAx>
      <c:valAx>
        <c:axId val="722368624"/>
        <c:scaling>
          <c:orientation val="minMax"/>
        </c:scaling>
        <c:delete val="0"/>
        <c:axPos val="r"/>
        <c:title>
          <c:tx>
            <c:rich>
              <a:bodyPr/>
              <a:lstStyle/>
              <a:p>
                <a:pPr>
                  <a:defRPr sz="1000" b="0" i="0" u="none" strike="noStrike" baseline="0">
                    <a:solidFill>
                      <a:srgbClr val="000000"/>
                    </a:solidFill>
                    <a:latin typeface="Arial"/>
                    <a:ea typeface="Arial"/>
                    <a:cs typeface="Arial"/>
                  </a:defRPr>
                </a:pPr>
                <a:r>
                  <a:rPr lang="en-ZA"/>
                  <a:t>number</a:t>
                </a:r>
              </a:p>
            </c:rich>
          </c:tx>
          <c:layout>
            <c:manualLayout>
              <c:xMode val="edge"/>
              <c:yMode val="edge"/>
              <c:x val="0.97729432569770303"/>
              <c:y val="0.41839825740257541"/>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2400376"/>
        <c:crosses val="max"/>
        <c:crossBetween val="between"/>
        <c:majorUnit val="1500000"/>
      </c:valAx>
      <c:spPr>
        <a:solidFill>
          <a:srgbClr val="FFFFFF"/>
        </a:solidFill>
        <a:ln w="12700">
          <a:solidFill>
            <a:srgbClr val="808080"/>
          </a:solidFill>
          <a:prstDash val="solid"/>
        </a:ln>
      </c:spPr>
    </c:plotArea>
    <c:legend>
      <c:legendPos val="b"/>
      <c:layout>
        <c:manualLayout>
          <c:xMode val="edge"/>
          <c:yMode val="edge"/>
          <c:x val="7.2463780935763916E-2"/>
          <c:y val="0.93176791739861264"/>
          <c:w val="0.73550737649799325"/>
          <c:h val="5.6470782872643184E-2"/>
        </c:manualLayout>
      </c:layout>
      <c:overlay val="0"/>
      <c:spPr>
        <a:solidFill>
          <a:srgbClr val="FFFFFF"/>
        </a:solidFill>
        <a:ln w="25400">
          <a:noFill/>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ZA"/>
              <a:t>PERCENTAGE OF QUALIFIED AUDITS</a:t>
            </a:r>
          </a:p>
        </c:rich>
      </c:tx>
      <c:layout>
        <c:manualLayout>
          <c:xMode val="edge"/>
          <c:yMode val="edge"/>
          <c:x val="7.473852563477764E-3"/>
          <c:y val="3.2608695652174356E-2"/>
        </c:manualLayout>
      </c:layout>
      <c:overlay val="0"/>
      <c:spPr>
        <a:noFill/>
        <a:ln w="25400">
          <a:noFill/>
        </a:ln>
      </c:spPr>
    </c:title>
    <c:autoTitleDeleted val="0"/>
    <c:plotArea>
      <c:layout>
        <c:manualLayout>
          <c:layoutTarget val="inner"/>
          <c:xMode val="edge"/>
          <c:yMode val="edge"/>
          <c:x val="0.12242099006310127"/>
          <c:y val="0.20652246986267941"/>
          <c:w val="0.85694693044170933"/>
          <c:h val="0.50724817159254554"/>
        </c:manualLayout>
      </c:layout>
      <c:lineChart>
        <c:grouping val="standard"/>
        <c:varyColors val="0"/>
        <c:ser>
          <c:idx val="2"/>
          <c:order val="0"/>
          <c:tx>
            <c:strRef>
              <c:f>'Qualified Audits'!$D$7</c:f>
              <c:strCache>
                <c:ptCount val="1"/>
                <c:pt idx="0">
                  <c:v>National depts.</c:v>
                </c:pt>
              </c:strCache>
            </c:strRef>
          </c:tx>
          <c:spPr>
            <a:ln w="25400">
              <a:solidFill>
                <a:srgbClr val="FF6600"/>
              </a:solidFill>
              <a:prstDash val="solid"/>
            </a:ln>
          </c:spPr>
          <c:marker>
            <c:symbol val="none"/>
          </c:marker>
          <c:cat>
            <c:strRef>
              <c:f>'Qualified Audits'!$E$7:$T$7</c:f>
              <c:strCache>
                <c:ptCount val="16"/>
                <c:pt idx="0">
                  <c:v>Jan-00</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strCache>
            </c:strRef>
          </c:cat>
          <c:val>
            <c:numRef>
              <c:f>'Qualified Audits'!$E$10:$T$10</c:f>
              <c:numCache>
                <c:formatCode>0.0%</c:formatCode>
                <c:ptCount val="16"/>
                <c:pt idx="0">
                  <c:v>0.19444444444444445</c:v>
                </c:pt>
                <c:pt idx="1">
                  <c:v>0.22222222222222221</c:v>
                </c:pt>
                <c:pt idx="2">
                  <c:v>0.22222222222222221</c:v>
                </c:pt>
                <c:pt idx="3">
                  <c:v>0.3235294117647059</c:v>
                </c:pt>
                <c:pt idx="4">
                  <c:v>0.20588235294117646</c:v>
                </c:pt>
                <c:pt idx="5">
                  <c:v>0.3235294117647059</c:v>
                </c:pt>
                <c:pt idx="6">
                  <c:v>0.38709677419354838</c:v>
                </c:pt>
                <c:pt idx="7">
                  <c:v>0.38709677419354838</c:v>
                </c:pt>
                <c:pt idx="8">
                  <c:v>0.35294117647058826</c:v>
                </c:pt>
                <c:pt idx="9">
                  <c:v>0.3235294117647059</c:v>
                </c:pt>
                <c:pt idx="10">
                  <c:v>0.25641025641025639</c:v>
                </c:pt>
                <c:pt idx="11">
                  <c:v>0.17499999999999999</c:v>
                </c:pt>
                <c:pt idx="12">
                  <c:v>0.15</c:v>
                </c:pt>
                <c:pt idx="13">
                  <c:v>0.17073170731707318</c:v>
                </c:pt>
                <c:pt idx="14">
                  <c:v>0.13953488372093023</c:v>
                </c:pt>
                <c:pt idx="15">
                  <c:v>7.1428571428571425E-2</c:v>
                </c:pt>
              </c:numCache>
            </c:numRef>
          </c:val>
          <c:smooth val="0"/>
          <c:extLst>
            <c:ext xmlns:c16="http://schemas.microsoft.com/office/drawing/2014/chart" uri="{C3380CC4-5D6E-409C-BE32-E72D297353CC}">
              <c16:uniqueId val="{00000000-8C0A-406F-A354-8DB35998F84B}"/>
            </c:ext>
          </c:extLst>
        </c:ser>
        <c:ser>
          <c:idx val="0"/>
          <c:order val="1"/>
          <c:tx>
            <c:strRef>
              <c:f>'Qualified Audits'!$D$11</c:f>
              <c:strCache>
                <c:ptCount val="1"/>
                <c:pt idx="0">
                  <c:v>Provincial depts.</c:v>
                </c:pt>
              </c:strCache>
            </c:strRef>
          </c:tx>
          <c:spPr>
            <a:ln w="25400">
              <a:solidFill>
                <a:srgbClr val="BE4B48"/>
              </a:solidFill>
            </a:ln>
          </c:spPr>
          <c:marker>
            <c:symbol val="none"/>
          </c:marker>
          <c:cat>
            <c:strRef>
              <c:f>'Qualified Audits'!$E$7:$T$7</c:f>
              <c:strCache>
                <c:ptCount val="16"/>
                <c:pt idx="0">
                  <c:v>Jan-00</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strCache>
            </c:strRef>
          </c:cat>
          <c:val>
            <c:numRef>
              <c:f>'Qualified Audits'!$E$14:$T$14</c:f>
              <c:numCache>
                <c:formatCode>0.0%</c:formatCode>
                <c:ptCount val="16"/>
                <c:pt idx="0">
                  <c:v>0.81196581196581197</c:v>
                </c:pt>
                <c:pt idx="1">
                  <c:v>0.53448275862068961</c:v>
                </c:pt>
                <c:pt idx="2">
                  <c:v>0.31034482758620691</c:v>
                </c:pt>
                <c:pt idx="3">
                  <c:v>0.31304347826086959</c:v>
                </c:pt>
                <c:pt idx="4">
                  <c:v>0.39316239316239315</c:v>
                </c:pt>
                <c:pt idx="5">
                  <c:v>0.42735042735042733</c:v>
                </c:pt>
                <c:pt idx="6">
                  <c:v>0.54285714285714282</c:v>
                </c:pt>
                <c:pt idx="7">
                  <c:v>0.3963963963963964</c:v>
                </c:pt>
                <c:pt idx="8">
                  <c:v>0.30578512396694213</c:v>
                </c:pt>
                <c:pt idx="9">
                  <c:v>0.27642276422764228</c:v>
                </c:pt>
                <c:pt idx="10">
                  <c:v>0.2975206611570248</c:v>
                </c:pt>
                <c:pt idx="11">
                  <c:v>0.32231404958677684</c:v>
                </c:pt>
                <c:pt idx="12">
                  <c:v>0.26829268292682928</c:v>
                </c:pt>
                <c:pt idx="13">
                  <c:v>0.22580645161290322</c:v>
                </c:pt>
                <c:pt idx="14">
                  <c:v>0.19354838709677419</c:v>
                </c:pt>
                <c:pt idx="15">
                  <c:v>0.21138211382113822</c:v>
                </c:pt>
              </c:numCache>
            </c:numRef>
          </c:val>
          <c:smooth val="0"/>
          <c:extLst>
            <c:ext xmlns:c16="http://schemas.microsoft.com/office/drawing/2014/chart" uri="{C3380CC4-5D6E-409C-BE32-E72D297353CC}">
              <c16:uniqueId val="{00000001-8C0A-406F-A354-8DB35998F84B}"/>
            </c:ext>
          </c:extLst>
        </c:ser>
        <c:ser>
          <c:idx val="1"/>
          <c:order val="2"/>
          <c:tx>
            <c:strRef>
              <c:f>'Qualified Audits'!$D$15</c:f>
              <c:strCache>
                <c:ptCount val="1"/>
                <c:pt idx="0">
                  <c:v>Municipalities</c:v>
                </c:pt>
              </c:strCache>
            </c:strRef>
          </c:tx>
          <c:spPr>
            <a:ln w="25400">
              <a:solidFill>
                <a:srgbClr val="FFC000"/>
              </a:solidFill>
            </a:ln>
          </c:spPr>
          <c:marker>
            <c:symbol val="none"/>
          </c:marker>
          <c:cat>
            <c:strRef>
              <c:f>'Qualified Audits'!$E$7:$T$7</c:f>
              <c:strCache>
                <c:ptCount val="16"/>
                <c:pt idx="0">
                  <c:v>Jan-00</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strCache>
            </c:strRef>
          </c:cat>
          <c:val>
            <c:numRef>
              <c:f>'Qualified Audits'!$E$18:$S$18</c:f>
              <c:numCache>
                <c:formatCode>0.0%</c:formatCode>
                <c:ptCount val="15"/>
                <c:pt idx="0">
                  <c:v>0.76243093922651939</c:v>
                </c:pt>
                <c:pt idx="1">
                  <c:v>0.74857142857142855</c:v>
                </c:pt>
                <c:pt idx="2">
                  <c:v>0.6015625</c:v>
                </c:pt>
                <c:pt idx="3">
                  <c:v>0.61052631578947369</c:v>
                </c:pt>
                <c:pt idx="4">
                  <c:v>0.5714285714285714</c:v>
                </c:pt>
                <c:pt idx="5">
                  <c:v>0.83333333333333337</c:v>
                </c:pt>
                <c:pt idx="6">
                  <c:v>0.79642857142857137</c:v>
                </c:pt>
                <c:pt idx="7">
                  <c:v>0.66077738515901063</c:v>
                </c:pt>
                <c:pt idx="8">
                  <c:v>0.58657243816254412</c:v>
                </c:pt>
                <c:pt idx="9">
                  <c:v>0.54063604240282681</c:v>
                </c:pt>
                <c:pt idx="10">
                  <c:v>0.53356890459363959</c:v>
                </c:pt>
                <c:pt idx="11">
                  <c:v>0.57913669064748197</c:v>
                </c:pt>
                <c:pt idx="12">
                  <c:v>0.56474820143884896</c:v>
                </c:pt>
                <c:pt idx="13">
                  <c:v>0.46</c:v>
                </c:pt>
                <c:pt idx="14">
                  <c:v>0.40400000000000003</c:v>
                </c:pt>
              </c:numCache>
            </c:numRef>
          </c:val>
          <c:smooth val="0"/>
          <c:extLst>
            <c:ext xmlns:c16="http://schemas.microsoft.com/office/drawing/2014/chart" uri="{C3380CC4-5D6E-409C-BE32-E72D297353CC}">
              <c16:uniqueId val="{00000002-8C0A-406F-A354-8DB35998F84B}"/>
            </c:ext>
          </c:extLst>
        </c:ser>
        <c:ser>
          <c:idx val="3"/>
          <c:order val="3"/>
          <c:tx>
            <c:strRef>
              <c:f>'Qualified Audits'!$D$19</c:f>
              <c:strCache>
                <c:ptCount val="1"/>
                <c:pt idx="0">
                  <c:v>Public entities</c:v>
                </c:pt>
              </c:strCache>
            </c:strRef>
          </c:tx>
          <c:spPr>
            <a:ln w="25400">
              <a:solidFill>
                <a:srgbClr val="00B050"/>
              </a:solidFill>
            </a:ln>
          </c:spPr>
          <c:marker>
            <c:symbol val="none"/>
          </c:marker>
          <c:cat>
            <c:strRef>
              <c:f>'Qualified Audits'!$E$7:$T$7</c:f>
              <c:strCache>
                <c:ptCount val="16"/>
                <c:pt idx="0">
                  <c:v>Jan-00</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strCache>
            </c:strRef>
          </c:cat>
          <c:val>
            <c:numRef>
              <c:f>'Qualified Audits'!$E$22:$T$22</c:f>
              <c:numCache>
                <c:formatCode>0.0%</c:formatCode>
                <c:ptCount val="16"/>
                <c:pt idx="1">
                  <c:v>0.46323529411764708</c:v>
                </c:pt>
                <c:pt idx="2">
                  <c:v>0.38970588235294118</c:v>
                </c:pt>
                <c:pt idx="3">
                  <c:v>0.30107526881720431</c:v>
                </c:pt>
                <c:pt idx="4">
                  <c:v>0.12658227848101267</c:v>
                </c:pt>
                <c:pt idx="5">
                  <c:v>0.2655367231638418</c:v>
                </c:pt>
                <c:pt idx="6">
                  <c:v>0.28767123287671231</c:v>
                </c:pt>
                <c:pt idx="7">
                  <c:v>0.2253968253968254</c:v>
                </c:pt>
                <c:pt idx="8">
                  <c:v>0.22608695652173913</c:v>
                </c:pt>
                <c:pt idx="9">
                  <c:v>0.16155988857938719</c:v>
                </c:pt>
                <c:pt idx="10">
                  <c:v>0.15531335149863759</c:v>
                </c:pt>
                <c:pt idx="11">
                  <c:v>0.16576086956521738</c:v>
                </c:pt>
                <c:pt idx="12">
                  <c:v>0.20846905537459284</c:v>
                </c:pt>
                <c:pt idx="13">
                  <c:v>0.21926910299003322</c:v>
                </c:pt>
                <c:pt idx="14">
                  <c:v>0.21305841924398625</c:v>
                </c:pt>
                <c:pt idx="15">
                  <c:v>0.21232876712328766</c:v>
                </c:pt>
              </c:numCache>
            </c:numRef>
          </c:val>
          <c:smooth val="0"/>
          <c:extLst>
            <c:ext xmlns:c16="http://schemas.microsoft.com/office/drawing/2014/chart" uri="{C3380CC4-5D6E-409C-BE32-E72D297353CC}">
              <c16:uniqueId val="{00000003-8C0A-406F-A354-8DB35998F84B}"/>
            </c:ext>
          </c:extLst>
        </c:ser>
        <c:dLbls>
          <c:showLegendKey val="0"/>
          <c:showVal val="0"/>
          <c:showCatName val="0"/>
          <c:showSerName val="0"/>
          <c:showPercent val="0"/>
          <c:showBubbleSize val="0"/>
        </c:dLbls>
        <c:smooth val="0"/>
        <c:axId val="722381952"/>
        <c:axId val="722382344"/>
      </c:lineChart>
      <c:catAx>
        <c:axId val="72238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2382344"/>
        <c:crosses val="autoZero"/>
        <c:auto val="1"/>
        <c:lblAlgn val="ctr"/>
        <c:lblOffset val="100"/>
        <c:tickLblSkip val="1"/>
        <c:tickMarkSkip val="1"/>
        <c:noMultiLvlLbl val="0"/>
      </c:catAx>
      <c:valAx>
        <c:axId val="722382344"/>
        <c:scaling>
          <c:orientation val="minMax"/>
          <c:min val="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4.7832569759592033E-2"/>
              <c:y val="0.43840731865038607"/>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2381952"/>
        <c:crosses val="autoZero"/>
        <c:crossBetween val="between"/>
      </c:valAx>
      <c:spPr>
        <a:solidFill>
          <a:srgbClr val="FFFFFF"/>
        </a:solidFill>
        <a:ln w="12700">
          <a:solidFill>
            <a:srgbClr val="808080"/>
          </a:solidFill>
          <a:prstDash val="solid"/>
        </a:ln>
      </c:spPr>
    </c:plotArea>
    <c:legend>
      <c:legendPos val="r"/>
      <c:layout>
        <c:manualLayout>
          <c:xMode val="edge"/>
          <c:yMode val="edge"/>
          <c:x val="0.18317373134897647"/>
          <c:y val="0.90029633392600117"/>
          <c:w val="0.7599611186203904"/>
          <c:h val="9.970366607399881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horizontalDpi="0" verticalDpi="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CORRUPTION PERCEPTION</a:t>
            </a:r>
          </a:p>
        </c:rich>
      </c:tx>
      <c:layout>
        <c:manualLayout>
          <c:xMode val="edge"/>
          <c:yMode val="edge"/>
          <c:x val="5.5800258470229291E-2"/>
          <c:y val="2.7108459268678373E-2"/>
        </c:manualLayout>
      </c:layout>
      <c:overlay val="0"/>
      <c:spPr>
        <a:noFill/>
        <a:ln w="25400">
          <a:noFill/>
        </a:ln>
      </c:spPr>
    </c:title>
    <c:autoTitleDeleted val="0"/>
    <c:plotArea>
      <c:layout>
        <c:manualLayout>
          <c:layoutTarget val="inner"/>
          <c:xMode val="edge"/>
          <c:yMode val="edge"/>
          <c:x val="8.1218274111675079E-2"/>
          <c:y val="0.1832300915149658"/>
          <c:w val="0.82614213197969544"/>
          <c:h val="0.62111895428801656"/>
        </c:manualLayout>
      </c:layout>
      <c:lineChart>
        <c:grouping val="standard"/>
        <c:varyColors val="0"/>
        <c:ser>
          <c:idx val="1"/>
          <c:order val="0"/>
          <c:tx>
            <c:strRef>
              <c:f>Corruption!$D$8</c:f>
              <c:strCache>
                <c:ptCount val="1"/>
                <c:pt idx="0">
                  <c:v>Ranking position</c:v>
                </c:pt>
              </c:strCache>
            </c:strRef>
          </c:tx>
          <c:spPr>
            <a:ln w="25400">
              <a:solidFill>
                <a:srgbClr val="FF6600"/>
              </a:solidFill>
              <a:prstDash val="solid"/>
            </a:ln>
          </c:spPr>
          <c:marker>
            <c:symbol val="none"/>
          </c:marker>
          <c:cat>
            <c:numRef>
              <c:f>Corruption!$E$7:$W$7</c:f>
              <c:numCache>
                <c:formatCode>General</c:formatCod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numCache>
            </c:numRef>
          </c:cat>
          <c:val>
            <c:numRef>
              <c:f>Corruption!$E$8:$W$8</c:f>
              <c:numCache>
                <c:formatCode>General</c:formatCode>
                <c:ptCount val="19"/>
                <c:pt idx="0">
                  <c:v>33</c:v>
                </c:pt>
                <c:pt idx="1">
                  <c:v>32</c:v>
                </c:pt>
                <c:pt idx="2">
                  <c:v>34</c:v>
                </c:pt>
                <c:pt idx="3">
                  <c:v>34</c:v>
                </c:pt>
                <c:pt idx="4">
                  <c:v>38</c:v>
                </c:pt>
                <c:pt idx="5">
                  <c:v>36</c:v>
                </c:pt>
                <c:pt idx="6">
                  <c:v>48</c:v>
                </c:pt>
                <c:pt idx="7">
                  <c:v>44</c:v>
                </c:pt>
                <c:pt idx="8">
                  <c:v>46</c:v>
                </c:pt>
                <c:pt idx="9">
                  <c:v>51</c:v>
                </c:pt>
                <c:pt idx="10">
                  <c:v>43</c:v>
                </c:pt>
                <c:pt idx="11">
                  <c:v>54</c:v>
                </c:pt>
                <c:pt idx="12">
                  <c:v>55</c:v>
                </c:pt>
                <c:pt idx="13">
                  <c:v>54</c:v>
                </c:pt>
                <c:pt idx="14">
                  <c:v>64</c:v>
                </c:pt>
                <c:pt idx="15">
                  <c:v>69</c:v>
                </c:pt>
                <c:pt idx="16">
                  <c:v>72</c:v>
                </c:pt>
                <c:pt idx="17">
                  <c:v>67</c:v>
                </c:pt>
                <c:pt idx="18">
                  <c:v>61</c:v>
                </c:pt>
              </c:numCache>
            </c:numRef>
          </c:val>
          <c:smooth val="0"/>
          <c:extLst>
            <c:ext xmlns:c16="http://schemas.microsoft.com/office/drawing/2014/chart" uri="{C3380CC4-5D6E-409C-BE32-E72D297353CC}">
              <c16:uniqueId val="{00000000-E01C-4401-A559-12B0EE9EEB30}"/>
            </c:ext>
          </c:extLst>
        </c:ser>
        <c:dLbls>
          <c:showLegendKey val="0"/>
          <c:showVal val="0"/>
          <c:showCatName val="0"/>
          <c:showSerName val="0"/>
          <c:showPercent val="0"/>
          <c:showBubbleSize val="0"/>
        </c:dLbls>
        <c:marker val="1"/>
        <c:smooth val="0"/>
        <c:axId val="722383128"/>
        <c:axId val="722385872"/>
      </c:lineChart>
      <c:lineChart>
        <c:grouping val="standard"/>
        <c:varyColors val="0"/>
        <c:ser>
          <c:idx val="0"/>
          <c:order val="1"/>
          <c:tx>
            <c:strRef>
              <c:f>Corruption!$D$9</c:f>
              <c:strCache>
                <c:ptCount val="1"/>
                <c:pt idx="0">
                  <c:v>Corruption perception scores</c:v>
                </c:pt>
              </c:strCache>
            </c:strRef>
          </c:tx>
          <c:spPr>
            <a:ln w="25400">
              <a:solidFill>
                <a:srgbClr val="BE4B48"/>
              </a:solidFill>
              <a:prstDash val="solid"/>
            </a:ln>
          </c:spPr>
          <c:marker>
            <c:symbol val="none"/>
          </c:marker>
          <c:cat>
            <c:numRef>
              <c:f>Corruption!$E$7:$W$7</c:f>
              <c:numCache>
                <c:formatCode>General</c:formatCod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numCache>
            </c:numRef>
          </c:cat>
          <c:val>
            <c:numRef>
              <c:f>Corruption!$E$9:$W$9</c:f>
              <c:numCache>
                <c:formatCode>General</c:formatCode>
                <c:ptCount val="19"/>
                <c:pt idx="0">
                  <c:v>49</c:v>
                </c:pt>
                <c:pt idx="1">
                  <c:v>52</c:v>
                </c:pt>
                <c:pt idx="2">
                  <c:v>50</c:v>
                </c:pt>
                <c:pt idx="3">
                  <c:v>50</c:v>
                </c:pt>
                <c:pt idx="4">
                  <c:v>48</c:v>
                </c:pt>
                <c:pt idx="5">
                  <c:v>48</c:v>
                </c:pt>
                <c:pt idx="6">
                  <c:v>44</c:v>
                </c:pt>
                <c:pt idx="7">
                  <c:v>46</c:v>
                </c:pt>
                <c:pt idx="8">
                  <c:v>45</c:v>
                </c:pt>
                <c:pt idx="9">
                  <c:v>46</c:v>
                </c:pt>
                <c:pt idx="10">
                  <c:v>51</c:v>
                </c:pt>
                <c:pt idx="11">
                  <c:v>49</c:v>
                </c:pt>
                <c:pt idx="12">
                  <c:v>47</c:v>
                </c:pt>
                <c:pt idx="13">
                  <c:v>45</c:v>
                </c:pt>
                <c:pt idx="14">
                  <c:v>41</c:v>
                </c:pt>
                <c:pt idx="15">
                  <c:v>43</c:v>
                </c:pt>
                <c:pt idx="16">
                  <c:v>42</c:v>
                </c:pt>
                <c:pt idx="17">
                  <c:v>44</c:v>
                </c:pt>
                <c:pt idx="18">
                  <c:v>44</c:v>
                </c:pt>
              </c:numCache>
            </c:numRef>
          </c:val>
          <c:smooth val="0"/>
          <c:extLst>
            <c:ext xmlns:c16="http://schemas.microsoft.com/office/drawing/2014/chart" uri="{C3380CC4-5D6E-409C-BE32-E72D297353CC}">
              <c16:uniqueId val="{00000001-E01C-4401-A559-12B0EE9EEB30}"/>
            </c:ext>
          </c:extLst>
        </c:ser>
        <c:dLbls>
          <c:showLegendKey val="0"/>
          <c:showVal val="0"/>
          <c:showCatName val="0"/>
          <c:showSerName val="0"/>
          <c:showPercent val="0"/>
          <c:showBubbleSize val="0"/>
        </c:dLbls>
        <c:marker val="1"/>
        <c:smooth val="0"/>
        <c:axId val="722383912"/>
        <c:axId val="722386656"/>
      </c:lineChart>
      <c:catAx>
        <c:axId val="722383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2385872"/>
        <c:crosses val="autoZero"/>
        <c:auto val="0"/>
        <c:lblAlgn val="ctr"/>
        <c:lblOffset val="100"/>
        <c:tickLblSkip val="1"/>
        <c:tickMarkSkip val="1"/>
        <c:noMultiLvlLbl val="0"/>
      </c:catAx>
      <c:valAx>
        <c:axId val="722385872"/>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ranking </a:t>
                </a:r>
              </a:p>
            </c:rich>
          </c:tx>
          <c:layout>
            <c:manualLayout>
              <c:xMode val="edge"/>
              <c:yMode val="edge"/>
              <c:x val="2.3494943842679611E-2"/>
              <c:y val="0.436747037055150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2383128"/>
        <c:crosses val="autoZero"/>
        <c:crossBetween val="midCat"/>
      </c:valAx>
      <c:catAx>
        <c:axId val="722383912"/>
        <c:scaling>
          <c:orientation val="minMax"/>
        </c:scaling>
        <c:delete val="1"/>
        <c:axPos val="b"/>
        <c:numFmt formatCode="General" sourceLinked="1"/>
        <c:majorTickMark val="out"/>
        <c:minorTickMark val="none"/>
        <c:tickLblPos val="none"/>
        <c:crossAx val="722386656"/>
        <c:crosses val="autoZero"/>
        <c:auto val="0"/>
        <c:lblAlgn val="ctr"/>
        <c:lblOffset val="100"/>
        <c:noMultiLvlLbl val="0"/>
      </c:catAx>
      <c:valAx>
        <c:axId val="72238665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en-ZA"/>
                  <a:t>scores</a:t>
                </a:r>
              </a:p>
            </c:rich>
          </c:tx>
          <c:layout>
            <c:manualLayout>
              <c:xMode val="edge"/>
              <c:yMode val="edge"/>
              <c:x val="0.95976764325779074"/>
              <c:y val="0.436747037055150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2383912"/>
        <c:crosses val="max"/>
        <c:crossBetween val="midCat"/>
      </c:valAx>
      <c:spPr>
        <a:solidFill>
          <a:srgbClr val="FFFFFF"/>
        </a:solidFill>
        <a:ln w="12700">
          <a:solidFill>
            <a:srgbClr val="808080"/>
          </a:solidFill>
          <a:prstDash val="solid"/>
        </a:ln>
      </c:spPr>
    </c:plotArea>
    <c:legend>
      <c:legendPos val="r"/>
      <c:layout>
        <c:manualLayout>
          <c:xMode val="edge"/>
          <c:yMode val="edge"/>
          <c:x val="0.27640681265863581"/>
          <c:y val="0.92804335663784965"/>
          <c:w val="0.42448189086862353"/>
          <c:h val="5.955358438317750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44" r="0.75000000000000544"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PUBLIC OPINION ON DELIVERY OF BASIC SERVICES</a:t>
            </a:r>
          </a:p>
        </c:rich>
      </c:tx>
      <c:layout>
        <c:manualLayout>
          <c:xMode val="edge"/>
          <c:yMode val="edge"/>
          <c:x val="4.7475464598221814E-2"/>
          <c:y val="5.4662246166597588E-2"/>
        </c:manualLayout>
      </c:layout>
      <c:overlay val="0"/>
      <c:spPr>
        <a:noFill/>
        <a:ln w="25400">
          <a:noFill/>
        </a:ln>
      </c:spPr>
    </c:title>
    <c:autoTitleDeleted val="0"/>
    <c:plotArea>
      <c:layout>
        <c:manualLayout>
          <c:layoutTarget val="inner"/>
          <c:xMode val="edge"/>
          <c:yMode val="edge"/>
          <c:x val="9.0909099178317548E-2"/>
          <c:y val="0.21929906749710787"/>
          <c:w val="0.89791364352354663"/>
          <c:h val="0.61623037966686467"/>
        </c:manualLayout>
      </c:layout>
      <c:lineChart>
        <c:grouping val="standard"/>
        <c:varyColors val="0"/>
        <c:ser>
          <c:idx val="0"/>
          <c:order val="0"/>
          <c:tx>
            <c:strRef>
              <c:f>'Public Opinion'!$D$9</c:f>
              <c:strCache>
                <c:ptCount val="1"/>
                <c:pt idx="0">
                  <c:v>Performing well</c:v>
                </c:pt>
              </c:strCache>
            </c:strRef>
          </c:tx>
          <c:spPr>
            <a:ln w="25400">
              <a:solidFill>
                <a:srgbClr val="FF6600"/>
              </a:solidFill>
              <a:prstDash val="solid"/>
            </a:ln>
          </c:spPr>
          <c:marker>
            <c:symbol val="none"/>
          </c:marker>
          <c:cat>
            <c:multiLvlStrRef>
              <c:f>'Public Opinion'!$E$7:$AJ$8</c:f>
              <c:multiLvlStrCache>
                <c:ptCount val="32"/>
                <c:lvl>
                  <c:pt idx="0">
                    <c:v>May</c:v>
                  </c:pt>
                  <c:pt idx="1">
                    <c:v>Nov</c:v>
                  </c:pt>
                  <c:pt idx="2">
                    <c:v>May</c:v>
                  </c:pt>
                  <c:pt idx="3">
                    <c:v>Nov</c:v>
                  </c:pt>
                  <c:pt idx="4">
                    <c:v>May</c:v>
                  </c:pt>
                  <c:pt idx="5">
                    <c:v>Nov</c:v>
                  </c:pt>
                  <c:pt idx="6">
                    <c:v>May</c:v>
                  </c:pt>
                  <c:pt idx="7">
                    <c:v>Nov</c:v>
                  </c:pt>
                  <c:pt idx="8">
                    <c:v>May</c:v>
                  </c:pt>
                  <c:pt idx="9">
                    <c:v>Nov</c:v>
                  </c:pt>
                  <c:pt idx="10">
                    <c:v>May</c:v>
                  </c:pt>
                  <c:pt idx="11">
                    <c:v>Nov</c:v>
                  </c:pt>
                  <c:pt idx="12">
                    <c:v>May</c:v>
                  </c:pt>
                  <c:pt idx="13">
                    <c:v>Nov</c:v>
                  </c:pt>
                  <c:pt idx="14">
                    <c:v>May</c:v>
                  </c:pt>
                  <c:pt idx="15">
                    <c:v>Nov</c:v>
                  </c:pt>
                  <c:pt idx="16">
                    <c:v>May</c:v>
                  </c:pt>
                  <c:pt idx="17">
                    <c:v>Nov</c:v>
                  </c:pt>
                  <c:pt idx="18">
                    <c:v>May</c:v>
                  </c:pt>
                  <c:pt idx="19">
                    <c:v>Nov </c:v>
                  </c:pt>
                  <c:pt idx="20">
                    <c:v>May </c:v>
                  </c:pt>
                  <c:pt idx="21">
                    <c:v>Nov</c:v>
                  </c:pt>
                  <c:pt idx="22">
                    <c:v>May</c:v>
                  </c:pt>
                  <c:pt idx="23">
                    <c:v>Nov</c:v>
                  </c:pt>
                  <c:pt idx="24">
                    <c:v>May</c:v>
                  </c:pt>
                  <c:pt idx="25">
                    <c:v>Nov</c:v>
                  </c:pt>
                  <c:pt idx="26">
                    <c:v>May</c:v>
                  </c:pt>
                  <c:pt idx="27">
                    <c:v>Nov</c:v>
                  </c:pt>
                  <c:pt idx="28">
                    <c:v>May</c:v>
                  </c:pt>
                  <c:pt idx="29">
                    <c:v>Nov</c:v>
                  </c:pt>
                  <c:pt idx="30">
                    <c:v>May</c:v>
                  </c:pt>
                  <c:pt idx="31">
                    <c:v>Nov</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lvl>
              </c:multiLvlStrCache>
            </c:multiLvlStrRef>
          </c:cat>
          <c:val>
            <c:numRef>
              <c:f>'Public Opinion'!$E$9:$AJ$9</c:f>
              <c:numCache>
                <c:formatCode>_ * #\ ##0_ ;_ * \-#\ ##0_ ;_ * "-"??_ ;_ @_ </c:formatCode>
                <c:ptCount val="32"/>
                <c:pt idx="0">
                  <c:v>72</c:v>
                </c:pt>
                <c:pt idx="1">
                  <c:v>67</c:v>
                </c:pt>
                <c:pt idx="2">
                  <c:v>65</c:v>
                </c:pt>
                <c:pt idx="3">
                  <c:v>63</c:v>
                </c:pt>
                <c:pt idx="4">
                  <c:v>74</c:v>
                </c:pt>
                <c:pt idx="5">
                  <c:v>71</c:v>
                </c:pt>
                <c:pt idx="6">
                  <c:v>75</c:v>
                </c:pt>
                <c:pt idx="7">
                  <c:v>72</c:v>
                </c:pt>
                <c:pt idx="8">
                  <c:v>81</c:v>
                </c:pt>
                <c:pt idx="9">
                  <c:v>77</c:v>
                </c:pt>
                <c:pt idx="10">
                  <c:v>73</c:v>
                </c:pt>
                <c:pt idx="11">
                  <c:v>73</c:v>
                </c:pt>
                <c:pt idx="12">
                  <c:v>76</c:v>
                </c:pt>
                <c:pt idx="13">
                  <c:v>72</c:v>
                </c:pt>
                <c:pt idx="14">
                  <c:v>68</c:v>
                </c:pt>
                <c:pt idx="15">
                  <c:v>62</c:v>
                </c:pt>
                <c:pt idx="16">
                  <c:v>58</c:v>
                </c:pt>
                <c:pt idx="17">
                  <c:v>58</c:v>
                </c:pt>
                <c:pt idx="18">
                  <c:v>61</c:v>
                </c:pt>
                <c:pt idx="19">
                  <c:v>57</c:v>
                </c:pt>
                <c:pt idx="20">
                  <c:v>56.8</c:v>
                </c:pt>
                <c:pt idx="21">
                  <c:v>54</c:v>
                </c:pt>
                <c:pt idx="22">
                  <c:v>48</c:v>
                </c:pt>
                <c:pt idx="23">
                  <c:v>51</c:v>
                </c:pt>
                <c:pt idx="24">
                  <c:v>53.5</c:v>
                </c:pt>
                <c:pt idx="25">
                  <c:v>51</c:v>
                </c:pt>
                <c:pt idx="26">
                  <c:v>53</c:v>
                </c:pt>
                <c:pt idx="27">
                  <c:v>53</c:v>
                </c:pt>
                <c:pt idx="28">
                  <c:v>56</c:v>
                </c:pt>
                <c:pt idx="29">
                  <c:v>56</c:v>
                </c:pt>
                <c:pt idx="30">
                  <c:v>52</c:v>
                </c:pt>
                <c:pt idx="31">
                  <c:v>49</c:v>
                </c:pt>
              </c:numCache>
            </c:numRef>
          </c:val>
          <c:smooth val="0"/>
          <c:extLst>
            <c:ext xmlns:c16="http://schemas.microsoft.com/office/drawing/2014/chart" uri="{C3380CC4-5D6E-409C-BE32-E72D297353CC}">
              <c16:uniqueId val="{00000000-DEA0-4B9A-98C4-0A81C4E57075}"/>
            </c:ext>
          </c:extLst>
        </c:ser>
        <c:dLbls>
          <c:showLegendKey val="0"/>
          <c:showVal val="0"/>
          <c:showCatName val="0"/>
          <c:showSerName val="0"/>
          <c:showPercent val="0"/>
          <c:showBubbleSize val="0"/>
        </c:dLbls>
        <c:smooth val="0"/>
        <c:axId val="722384304"/>
        <c:axId val="722387832"/>
      </c:lineChart>
      <c:catAx>
        <c:axId val="722384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2387832"/>
        <c:crosses val="autoZero"/>
        <c:auto val="1"/>
        <c:lblAlgn val="ctr"/>
        <c:lblOffset val="100"/>
        <c:tickLblSkip val="1"/>
        <c:tickMarkSkip val="1"/>
        <c:noMultiLvlLbl val="0"/>
      </c:catAx>
      <c:valAx>
        <c:axId val="722387832"/>
        <c:scaling>
          <c:orientation val="minMax"/>
          <c:min val="45"/>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US"/>
                  <a:t>%</a:t>
                </a:r>
              </a:p>
            </c:rich>
          </c:tx>
          <c:layout>
            <c:manualLayout>
              <c:xMode val="edge"/>
              <c:yMode val="edge"/>
              <c:x val="1.130359357092286E-2"/>
              <c:y val="0.4855303448910991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238430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paperSize="9" orientation="landscape" horizontalDpi="0" verticalDpi="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'[46]Public Opinion'!$D$54</c:f>
              <c:strCache>
                <c:ptCount val="1"/>
                <c:pt idx="0">
                  <c:v>Performing well</c:v>
                </c:pt>
              </c:strCache>
            </c:strRef>
          </c:tx>
          <c:marker>
            <c:symbol val="none"/>
          </c:marker>
          <c:val>
            <c:numRef>
              <c:f>'[46]Public Opinion'!$E$54:$S$54</c:f>
              <c:numCache>
                <c:formatCode>General</c:formatCode>
                <c:ptCount val="15"/>
                <c:pt idx="0">
                  <c:v>70</c:v>
                </c:pt>
                <c:pt idx="1">
                  <c:v>64</c:v>
                </c:pt>
                <c:pt idx="2">
                  <c:v>73</c:v>
                </c:pt>
                <c:pt idx="3">
                  <c:v>74</c:v>
                </c:pt>
                <c:pt idx="4">
                  <c:v>79</c:v>
                </c:pt>
                <c:pt idx="5">
                  <c:v>73</c:v>
                </c:pt>
                <c:pt idx="6">
                  <c:v>74</c:v>
                </c:pt>
                <c:pt idx="7">
                  <c:v>65</c:v>
                </c:pt>
                <c:pt idx="8">
                  <c:v>58</c:v>
                </c:pt>
                <c:pt idx="9">
                  <c:v>59</c:v>
                </c:pt>
                <c:pt idx="10">
                  <c:v>55</c:v>
                </c:pt>
                <c:pt idx="11">
                  <c:v>50</c:v>
                </c:pt>
                <c:pt idx="12">
                  <c:v>52</c:v>
                </c:pt>
                <c:pt idx="13">
                  <c:v>53</c:v>
                </c:pt>
                <c:pt idx="14">
                  <c:v>56</c:v>
                </c:pt>
              </c:numCache>
            </c:numRef>
          </c:val>
          <c:smooth val="0"/>
          <c:extLst>
            <c:ext xmlns:c15="http://schemas.microsoft.com/office/drawing/2012/chart" uri="{02D57815-91ED-43cb-92C2-25804820EDAC}">
              <c15:filteredCategoryTitle>
                <c15:cat>
                  <c:multiLvlStrRef>
                    <c:extLst xmlns:c16="http://schemas.microsoft.com/office/drawing/2014/chart">
                      <c:ext uri="{02D57815-91ED-43cb-92C2-25804820EDAC}">
                        <c15:formulaRef>
                          <c15:sqref>'Public Opinion'!$E$52:$S$52</c15:sqref>
                        </c15:formulaRef>
                      </c:ext>
                    </c:extLst>
                  </c:multiLvlStrRef>
                </c15:cat>
              </c15:filteredCategoryTitle>
            </c:ext>
            <c:ext xmlns:c16="http://schemas.microsoft.com/office/drawing/2014/chart" uri="{C3380CC4-5D6E-409C-BE32-E72D297353CC}">
              <c16:uniqueId val="{00000000-F557-48A8-AD8F-9D7BF0A226CF}"/>
            </c:ext>
          </c:extLst>
        </c:ser>
        <c:dLbls>
          <c:showLegendKey val="0"/>
          <c:showVal val="0"/>
          <c:showCatName val="0"/>
          <c:showSerName val="0"/>
          <c:showPercent val="0"/>
          <c:showBubbleSize val="0"/>
        </c:dLbls>
        <c:marker val="1"/>
        <c:smooth val="0"/>
        <c:axId val="722400768"/>
        <c:axId val="722397240"/>
      </c:lineChart>
      <c:lineChart>
        <c:grouping val="standard"/>
        <c:varyColors val="0"/>
        <c:ser>
          <c:idx val="1"/>
          <c:order val="1"/>
          <c:tx>
            <c:strRef>
              <c:f>'[46]Public Opinion'!$D$55</c:f>
              <c:strCache>
                <c:ptCount val="1"/>
                <c:pt idx="0">
                  <c:v>Major service protests</c:v>
                </c:pt>
              </c:strCache>
            </c:strRef>
          </c:tx>
          <c:marker>
            <c:symbol val="none"/>
          </c:marker>
          <c:val>
            <c:numRef>
              <c:f>'[46]Public Opinion'!$E$55:$S$55</c:f>
              <c:numCache>
                <c:formatCode>General</c:formatCode>
                <c:ptCount val="15"/>
                <c:pt idx="4">
                  <c:v>10</c:v>
                </c:pt>
                <c:pt idx="5">
                  <c:v>34</c:v>
                </c:pt>
                <c:pt idx="6">
                  <c:v>2</c:v>
                </c:pt>
                <c:pt idx="7">
                  <c:v>32</c:v>
                </c:pt>
                <c:pt idx="8">
                  <c:v>27</c:v>
                </c:pt>
                <c:pt idx="9">
                  <c:v>107</c:v>
                </c:pt>
                <c:pt idx="10">
                  <c:v>111</c:v>
                </c:pt>
                <c:pt idx="11">
                  <c:v>82</c:v>
                </c:pt>
                <c:pt idx="12">
                  <c:v>173</c:v>
                </c:pt>
                <c:pt idx="13">
                  <c:v>155</c:v>
                </c:pt>
                <c:pt idx="14">
                  <c:v>134</c:v>
                </c:pt>
              </c:numCache>
            </c:numRef>
          </c:val>
          <c:smooth val="0"/>
          <c:extLst>
            <c:ext xmlns:c15="http://schemas.microsoft.com/office/drawing/2012/chart" uri="{02D57815-91ED-43cb-92C2-25804820EDAC}">
              <c15:filteredCategoryTitle>
                <c15:cat>
                  <c:multiLvlStrRef>
                    <c:extLst xmlns:c16="http://schemas.microsoft.com/office/drawing/2014/chart">
                      <c:ext uri="{02D57815-91ED-43cb-92C2-25804820EDAC}">
                        <c15:formulaRef>
                          <c15:sqref>'Public Opinion'!$E$52:$S$52</c15:sqref>
                        </c15:formulaRef>
                      </c:ext>
                    </c:extLst>
                  </c:multiLvlStrRef>
                </c15:cat>
              </c15:filteredCategoryTitle>
            </c:ext>
            <c:ext xmlns:c16="http://schemas.microsoft.com/office/drawing/2014/chart" uri="{C3380CC4-5D6E-409C-BE32-E72D297353CC}">
              <c16:uniqueId val="{00000001-F557-48A8-AD8F-9D7BF0A226CF}"/>
            </c:ext>
          </c:extLst>
        </c:ser>
        <c:dLbls>
          <c:showLegendKey val="0"/>
          <c:showVal val="0"/>
          <c:showCatName val="0"/>
          <c:showSerName val="0"/>
          <c:showPercent val="0"/>
          <c:showBubbleSize val="0"/>
        </c:dLbls>
        <c:marker val="1"/>
        <c:smooth val="0"/>
        <c:axId val="722399200"/>
        <c:axId val="722398808"/>
      </c:lineChart>
      <c:catAx>
        <c:axId val="722400768"/>
        <c:scaling>
          <c:orientation val="minMax"/>
        </c:scaling>
        <c:delete val="0"/>
        <c:axPos val="b"/>
        <c:numFmt formatCode="General" sourceLinked="1"/>
        <c:majorTickMark val="out"/>
        <c:minorTickMark val="none"/>
        <c:tickLblPos val="nextTo"/>
        <c:crossAx val="722397240"/>
        <c:crosses val="autoZero"/>
        <c:auto val="1"/>
        <c:lblAlgn val="ctr"/>
        <c:lblOffset val="100"/>
        <c:noMultiLvlLbl val="0"/>
      </c:catAx>
      <c:valAx>
        <c:axId val="722397240"/>
        <c:scaling>
          <c:orientation val="minMax"/>
        </c:scaling>
        <c:delete val="0"/>
        <c:axPos val="l"/>
        <c:majorGridlines/>
        <c:numFmt formatCode="General" sourceLinked="1"/>
        <c:majorTickMark val="out"/>
        <c:minorTickMark val="none"/>
        <c:tickLblPos val="nextTo"/>
        <c:crossAx val="722400768"/>
        <c:crosses val="autoZero"/>
        <c:crossBetween val="between"/>
      </c:valAx>
      <c:valAx>
        <c:axId val="722398808"/>
        <c:scaling>
          <c:orientation val="minMax"/>
        </c:scaling>
        <c:delete val="0"/>
        <c:axPos val="r"/>
        <c:numFmt formatCode="General" sourceLinked="1"/>
        <c:majorTickMark val="out"/>
        <c:minorTickMark val="none"/>
        <c:tickLblPos val="nextTo"/>
        <c:crossAx val="722399200"/>
        <c:crosses val="max"/>
        <c:crossBetween val="between"/>
      </c:valAx>
      <c:catAx>
        <c:axId val="722399200"/>
        <c:scaling>
          <c:orientation val="minMax"/>
        </c:scaling>
        <c:delete val="1"/>
        <c:axPos val="b"/>
        <c:numFmt formatCode="General" sourceLinked="1"/>
        <c:majorTickMark val="out"/>
        <c:minorTickMark val="none"/>
        <c:tickLblPos val="nextTo"/>
        <c:crossAx val="722398808"/>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NATIONAL GREENHOUSE GAS (GHG) EMISSIONS TRAJECTORY RANGE</a:t>
            </a:r>
          </a:p>
        </c:rich>
      </c:tx>
      <c:layout>
        <c:manualLayout>
          <c:xMode val="edge"/>
          <c:yMode val="edge"/>
          <c:x val="0.30617970426033364"/>
          <c:y val="2.8835063437139562E-2"/>
        </c:manualLayout>
      </c:layout>
      <c:overlay val="0"/>
      <c:spPr>
        <a:noFill/>
        <a:ln w="25400">
          <a:noFill/>
        </a:ln>
      </c:spPr>
    </c:title>
    <c:autoTitleDeleted val="0"/>
    <c:plotArea>
      <c:layout>
        <c:manualLayout>
          <c:layoutTarget val="inner"/>
          <c:xMode val="edge"/>
          <c:yMode val="edge"/>
          <c:x val="9.2103276573462595E-2"/>
          <c:y val="8.7636342170031509E-2"/>
          <c:w val="0.88984472735300613"/>
          <c:h val="0.80630759523639617"/>
        </c:manualLayout>
      </c:layout>
      <c:lineChart>
        <c:grouping val="standard"/>
        <c:varyColors val="0"/>
        <c:ser>
          <c:idx val="3"/>
          <c:order val="0"/>
          <c:tx>
            <c:strRef>
              <c:f>'Gas Emission '!$D$8</c:f>
              <c:strCache>
                <c:ptCount val="1"/>
                <c:pt idx="0">
                  <c:v>Benchmark Trajectory Upper Range </c:v>
                </c:pt>
              </c:strCache>
            </c:strRef>
          </c:tx>
          <c:spPr>
            <a:ln>
              <a:solidFill>
                <a:srgbClr val="00F66F"/>
              </a:solidFill>
            </a:ln>
          </c:spPr>
          <c:marker>
            <c:spPr>
              <a:noFill/>
              <a:ln>
                <a:noFill/>
              </a:ln>
            </c:spPr>
          </c:marker>
          <c:cat>
            <c:numRef>
              <c:f>'Gas Emission '!$F$7:$P$7</c:f>
              <c:numCache>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Cache>
            </c:numRef>
          </c:cat>
          <c:val>
            <c:numRef>
              <c:f>'Gas Emission '!$F$8:$P$8</c:f>
              <c:numCache>
                <c:formatCode>General</c:formatCode>
                <c:ptCount val="11"/>
                <c:pt idx="0">
                  <c:v>431</c:v>
                </c:pt>
                <c:pt idx="1">
                  <c:v>442</c:v>
                </c:pt>
                <c:pt idx="2">
                  <c:v>453</c:v>
                </c:pt>
                <c:pt idx="3">
                  <c:v>464</c:v>
                </c:pt>
                <c:pt idx="4">
                  <c:v>475</c:v>
                </c:pt>
                <c:pt idx="5">
                  <c:v>486</c:v>
                </c:pt>
                <c:pt idx="6">
                  <c:v>497</c:v>
                </c:pt>
                <c:pt idx="7">
                  <c:v>508</c:v>
                </c:pt>
                <c:pt idx="8">
                  <c:v>519</c:v>
                </c:pt>
                <c:pt idx="9">
                  <c:v>530</c:v>
                </c:pt>
                <c:pt idx="10">
                  <c:v>547</c:v>
                </c:pt>
              </c:numCache>
            </c:numRef>
          </c:val>
          <c:smooth val="0"/>
          <c:extLst>
            <c:ext xmlns:c16="http://schemas.microsoft.com/office/drawing/2014/chart" uri="{C3380CC4-5D6E-409C-BE32-E72D297353CC}">
              <c16:uniqueId val="{00000000-30B0-4E0C-941D-1CBDED555AE0}"/>
            </c:ext>
          </c:extLst>
        </c:ser>
        <c:ser>
          <c:idx val="4"/>
          <c:order val="1"/>
          <c:tx>
            <c:strRef>
              <c:f>'Gas Emission '!$D$9</c:f>
              <c:strCache>
                <c:ptCount val="1"/>
                <c:pt idx="0">
                  <c:v>Benchmark Trajectory Lower Range </c:v>
                </c:pt>
              </c:strCache>
            </c:strRef>
          </c:tx>
          <c:spPr>
            <a:ln>
              <a:solidFill>
                <a:srgbClr val="FF0000"/>
              </a:solidFill>
            </a:ln>
          </c:spPr>
          <c:marker>
            <c:spPr>
              <a:noFill/>
              <a:ln>
                <a:noFill/>
              </a:ln>
            </c:spPr>
          </c:marker>
          <c:cat>
            <c:numRef>
              <c:f>'Gas Emission '!$F$7:$P$7</c:f>
              <c:numCache>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Cache>
            </c:numRef>
          </c:cat>
          <c:val>
            <c:numRef>
              <c:f>'Gas Emission '!$F$9:$P$9</c:f>
              <c:numCache>
                <c:formatCode>General</c:formatCode>
                <c:ptCount val="11"/>
                <c:pt idx="0">
                  <c:v>398</c:v>
                </c:pt>
                <c:pt idx="1">
                  <c:v>398</c:v>
                </c:pt>
                <c:pt idx="2">
                  <c:v>398</c:v>
                </c:pt>
                <c:pt idx="3">
                  <c:v>398</c:v>
                </c:pt>
                <c:pt idx="4">
                  <c:v>398</c:v>
                </c:pt>
                <c:pt idx="5">
                  <c:v>398</c:v>
                </c:pt>
                <c:pt idx="6">
                  <c:v>398</c:v>
                </c:pt>
                <c:pt idx="7">
                  <c:v>398</c:v>
                </c:pt>
                <c:pt idx="8">
                  <c:v>398</c:v>
                </c:pt>
                <c:pt idx="9">
                  <c:v>398</c:v>
                </c:pt>
                <c:pt idx="10">
                  <c:v>398</c:v>
                </c:pt>
              </c:numCache>
            </c:numRef>
          </c:val>
          <c:smooth val="0"/>
          <c:extLst>
            <c:ext xmlns:c16="http://schemas.microsoft.com/office/drawing/2014/chart" uri="{C3380CC4-5D6E-409C-BE32-E72D297353CC}">
              <c16:uniqueId val="{00000001-30B0-4E0C-941D-1CBDED555AE0}"/>
            </c:ext>
          </c:extLst>
        </c:ser>
        <c:ser>
          <c:idx val="5"/>
          <c:order val="2"/>
          <c:tx>
            <c:strRef>
              <c:f>'Gas Emission '!$D$10</c:f>
              <c:strCache>
                <c:ptCount val="1"/>
                <c:pt idx="0">
                  <c:v>Actual emissions</c:v>
                </c:pt>
              </c:strCache>
            </c:strRef>
          </c:tx>
          <c:spPr>
            <a:ln>
              <a:solidFill>
                <a:srgbClr val="00B0F0"/>
              </a:solidFill>
            </a:ln>
          </c:spPr>
          <c:marker>
            <c:symbol val="none"/>
          </c:marker>
          <c:cat>
            <c:numRef>
              <c:f>'Gas Emission '!$F$7:$P$7</c:f>
              <c:numCache>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Cache>
            </c:numRef>
          </c:cat>
          <c:val>
            <c:numRef>
              <c:f>'Gas Emission '!$F$10:$P$10</c:f>
              <c:numCache>
                <c:formatCode>General</c:formatCode>
                <c:ptCount val="11"/>
                <c:pt idx="0">
                  <c:v>425</c:v>
                </c:pt>
                <c:pt idx="1">
                  <c:v>426</c:v>
                </c:pt>
                <c:pt idx="2">
                  <c:v>435</c:v>
                </c:pt>
                <c:pt idx="3">
                  <c:v>460</c:v>
                </c:pt>
                <c:pt idx="4">
                  <c:v>482</c:v>
                </c:pt>
                <c:pt idx="5">
                  <c:v>480</c:v>
                </c:pt>
                <c:pt idx="6">
                  <c:v>480</c:v>
                </c:pt>
                <c:pt idx="7">
                  <c:v>504</c:v>
                </c:pt>
                <c:pt idx="8">
                  <c:v>493</c:v>
                </c:pt>
                <c:pt idx="9">
                  <c:v>497</c:v>
                </c:pt>
                <c:pt idx="10">
                  <c:v>518</c:v>
                </c:pt>
              </c:numCache>
            </c:numRef>
          </c:val>
          <c:smooth val="0"/>
          <c:extLst>
            <c:ext xmlns:c16="http://schemas.microsoft.com/office/drawing/2014/chart" uri="{C3380CC4-5D6E-409C-BE32-E72D297353CC}">
              <c16:uniqueId val="{00000002-30B0-4E0C-941D-1CBDED555AE0}"/>
            </c:ext>
          </c:extLst>
        </c:ser>
        <c:dLbls>
          <c:showLegendKey val="0"/>
          <c:showVal val="0"/>
          <c:showCatName val="0"/>
          <c:showSerName val="0"/>
          <c:showPercent val="0"/>
          <c:showBubbleSize val="0"/>
        </c:dLbls>
        <c:upDownBars>
          <c:gapWidth val="150"/>
          <c:upBars/>
          <c:downBars/>
        </c:upDownBars>
        <c:marker val="1"/>
        <c:smooth val="0"/>
        <c:axId val="422024304"/>
        <c:axId val="422024696"/>
      </c:lineChart>
      <c:catAx>
        <c:axId val="422024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422024696"/>
        <c:crosses val="autoZero"/>
        <c:auto val="1"/>
        <c:lblAlgn val="ctr"/>
        <c:lblOffset val="100"/>
        <c:tickLblSkip val="1"/>
        <c:tickMarkSkip val="1"/>
        <c:noMultiLvlLbl val="0"/>
      </c:catAx>
      <c:valAx>
        <c:axId val="422024696"/>
        <c:scaling>
          <c:orientation val="minMax"/>
          <c:max val="650"/>
          <c:min val="200"/>
        </c:scaling>
        <c:delete val="0"/>
        <c:axPos val="l"/>
        <c:majorGridlines>
          <c:spPr>
            <a:ln w="3175">
              <a:solidFill>
                <a:srgbClr val="C0C0C0"/>
              </a:solidFill>
              <a:prstDash val="sysDash"/>
            </a:ln>
          </c:spPr>
        </c:majorGridlines>
        <c:title>
          <c:tx>
            <c:rich>
              <a:bodyPr/>
              <a:lstStyle/>
              <a:p>
                <a:pPr>
                  <a:defRPr/>
                </a:pPr>
                <a:r>
                  <a:rPr lang="en-ZA"/>
                  <a:t>(GHG Emissions in Mt CO2-eq</a:t>
                </a:r>
              </a:p>
              <a:p>
                <a:pPr>
                  <a:defRPr/>
                </a:pPr>
                <a:endParaRPr lang="en-ZA"/>
              </a:p>
            </c:rich>
          </c:tx>
          <c:layout>
            <c:manualLayout>
              <c:xMode val="edge"/>
              <c:yMode val="edge"/>
              <c:x val="2.33959285250771E-2"/>
              <c:y val="0.37579813992152616"/>
            </c:manualLayout>
          </c:layout>
          <c:overlay val="0"/>
        </c:title>
        <c:numFmt formatCode="General" sourceLinked="1"/>
        <c:majorTickMark val="none"/>
        <c:minorTickMark val="none"/>
        <c:tickLblPos val="nextTo"/>
        <c:spPr>
          <a:ln w="12700">
            <a:solidFill>
              <a:schemeClr val="tx1"/>
            </a:solidFill>
          </a:ln>
        </c:spPr>
        <c:txPr>
          <a:bodyPr rot="0" vert="horz"/>
          <a:lstStyle/>
          <a:p>
            <a:pPr>
              <a:defRPr/>
            </a:pPr>
            <a:endParaRPr lang="en-US"/>
          </a:p>
        </c:txPr>
        <c:crossAx val="422024304"/>
        <c:crosses val="autoZero"/>
        <c:crossBetween val="between"/>
        <c:majorUnit val="50"/>
      </c:valAx>
    </c:plotArea>
    <c:legend>
      <c:legendPos val="t"/>
      <c:layout>
        <c:manualLayout>
          <c:xMode val="edge"/>
          <c:yMode val="edge"/>
          <c:x val="0.15745860326098451"/>
          <c:y val="8.4898600477708447E-2"/>
          <c:w val="0.61880877358469533"/>
          <c:h val="0.21376615527823029"/>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GOVERNMENT DEBT AS PERCENTAGE OF GDP
</a:t>
            </a:r>
          </a:p>
        </c:rich>
      </c:tx>
      <c:layout>
        <c:manualLayout>
          <c:xMode val="edge"/>
          <c:yMode val="edge"/>
          <c:x val="2.6183273853358256E-2"/>
          <c:y val="1.6891805191017788E-2"/>
        </c:manualLayout>
      </c:layout>
      <c:overlay val="0"/>
      <c:spPr>
        <a:noFill/>
        <a:ln w="25400">
          <a:noFill/>
        </a:ln>
      </c:spPr>
    </c:title>
    <c:autoTitleDeleted val="0"/>
    <c:plotArea>
      <c:layout>
        <c:manualLayout>
          <c:layoutTarget val="inner"/>
          <c:xMode val="edge"/>
          <c:yMode val="edge"/>
          <c:x val="5.8408919476294487E-2"/>
          <c:y val="0.17905405405405406"/>
          <c:w val="0.9164158055763445"/>
          <c:h val="0.64527027027027983"/>
        </c:manualLayout>
      </c:layout>
      <c:lineChart>
        <c:grouping val="standard"/>
        <c:varyColors val="0"/>
        <c:ser>
          <c:idx val="0"/>
          <c:order val="0"/>
          <c:tx>
            <c:strRef>
              <c:f>'G debt '!$D$8</c:f>
              <c:strCache>
                <c:ptCount val="1"/>
                <c:pt idx="0">
                  <c:v>Net Government Debt</c:v>
                </c:pt>
              </c:strCache>
            </c:strRef>
          </c:tx>
          <c:spPr>
            <a:ln w="25400">
              <a:solidFill>
                <a:srgbClr val="FF6600"/>
              </a:solidFill>
              <a:prstDash val="solid"/>
            </a:ln>
          </c:spPr>
          <c:marker>
            <c:symbol val="none"/>
          </c:marker>
          <c:cat>
            <c:strRef>
              <c:f>'G debt '!$F$7:$Z$7</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'G debt '!$F$8:$Z$8</c:f>
              <c:numCache>
                <c:formatCode>0.0</c:formatCode>
                <c:ptCount val="21"/>
                <c:pt idx="0">
                  <c:v>47</c:v>
                </c:pt>
                <c:pt idx="1">
                  <c:v>48</c:v>
                </c:pt>
                <c:pt idx="2">
                  <c:v>46.8</c:v>
                </c:pt>
                <c:pt idx="3">
                  <c:v>46.2</c:v>
                </c:pt>
                <c:pt idx="4">
                  <c:v>46.1</c:v>
                </c:pt>
                <c:pt idx="5">
                  <c:v>43.6</c:v>
                </c:pt>
                <c:pt idx="6">
                  <c:v>40.6</c:v>
                </c:pt>
                <c:pt idx="7">
                  <c:v>39.5</c:v>
                </c:pt>
                <c:pt idx="8">
                  <c:v>33.4</c:v>
                </c:pt>
                <c:pt idx="9">
                  <c:v>32.6</c:v>
                </c:pt>
                <c:pt idx="10">
                  <c:v>31.2</c:v>
                </c:pt>
                <c:pt idx="11">
                  <c:v>27.9</c:v>
                </c:pt>
                <c:pt idx="12">
                  <c:v>25</c:v>
                </c:pt>
                <c:pt idx="13">
                  <c:v>22.3</c:v>
                </c:pt>
                <c:pt idx="14">
                  <c:v>21.8</c:v>
                </c:pt>
                <c:pt idx="15">
                  <c:v>26.4</c:v>
                </c:pt>
                <c:pt idx="16">
                  <c:v>29</c:v>
                </c:pt>
                <c:pt idx="17">
                  <c:v>32.1</c:v>
                </c:pt>
                <c:pt idx="18">
                  <c:v>35.5</c:v>
                </c:pt>
                <c:pt idx="19">
                  <c:v>38.200000000000003</c:v>
                </c:pt>
                <c:pt idx="20">
                  <c:v>41.2</c:v>
                </c:pt>
              </c:numCache>
            </c:numRef>
          </c:val>
          <c:smooth val="0"/>
          <c:extLst>
            <c:ext xmlns:c16="http://schemas.microsoft.com/office/drawing/2014/chart" uri="{C3380CC4-5D6E-409C-BE32-E72D297353CC}">
              <c16:uniqueId val="{00000000-E6BB-4449-8FC9-5EEAE0CDFB9D}"/>
            </c:ext>
          </c:extLst>
        </c:ser>
        <c:dLbls>
          <c:showLegendKey val="0"/>
          <c:showVal val="0"/>
          <c:showCatName val="0"/>
          <c:showSerName val="0"/>
          <c:showPercent val="0"/>
          <c:showBubbleSize val="0"/>
        </c:dLbls>
        <c:smooth val="0"/>
        <c:axId val="399511208"/>
        <c:axId val="399511992"/>
      </c:lineChart>
      <c:catAx>
        <c:axId val="399511208"/>
        <c:scaling>
          <c:orientation val="minMax"/>
        </c:scaling>
        <c:delete val="0"/>
        <c:axPos val="b"/>
        <c:title>
          <c:tx>
            <c:rich>
              <a:bodyPr rot="-5400000" vert="horz"/>
              <a:lstStyle/>
              <a:p>
                <a:pPr algn="ctr">
                  <a:defRPr lang="en-US" sz="800" b="0" i="0" u="none" strike="noStrike" baseline="0">
                    <a:solidFill>
                      <a:srgbClr val="000000"/>
                    </a:solidFill>
                    <a:latin typeface="Arial"/>
                    <a:ea typeface="Arial"/>
                    <a:cs typeface="Arial"/>
                  </a:defRPr>
                </a:pPr>
                <a:r>
                  <a:rPr lang="en-US"/>
                  <a:t>% of GDP</a:t>
                </a:r>
              </a:p>
            </c:rich>
          </c:tx>
          <c:layout>
            <c:manualLayout>
              <c:xMode val="edge"/>
              <c:yMode val="edge"/>
              <c:x val="6.042242321628262E-3"/>
              <c:y val="0.36824321959755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1992"/>
        <c:crosses val="autoZero"/>
        <c:auto val="1"/>
        <c:lblAlgn val="ctr"/>
        <c:lblOffset val="100"/>
        <c:tickLblSkip val="1"/>
        <c:tickMarkSkip val="1"/>
        <c:noMultiLvlLbl val="0"/>
      </c:catAx>
      <c:valAx>
        <c:axId val="399511992"/>
        <c:scaling>
          <c:orientation val="minMax"/>
          <c:max val="60"/>
          <c:min val="20"/>
        </c:scaling>
        <c:delete val="0"/>
        <c:axPos val="l"/>
        <c:majorGridlines>
          <c:spPr>
            <a:ln w="3175">
              <a:solidFill>
                <a:srgbClr val="969696"/>
              </a:solidFill>
              <a:prstDash val="sysDash"/>
            </a:ln>
          </c:spPr>
        </c:majorGridlines>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1208"/>
        <c:crosses val="autoZero"/>
        <c:crossBetween val="midCat"/>
        <c:majorUnit val="5.5"/>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horizontalDpi="200" verticalDpi="2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Regional Air Quality Indices</a:t>
            </a:r>
          </a:p>
        </c:rich>
      </c:tx>
      <c:layout>
        <c:manualLayout>
          <c:xMode val="edge"/>
          <c:yMode val="edge"/>
          <c:x val="0.39873508769150334"/>
          <c:y val="3.4602076124567477E-2"/>
        </c:manualLayout>
      </c:layout>
      <c:overlay val="0"/>
      <c:spPr>
        <a:noFill/>
        <a:ln w="25400">
          <a:noFill/>
        </a:ln>
      </c:spPr>
    </c:title>
    <c:autoTitleDeleted val="0"/>
    <c:plotArea>
      <c:layout>
        <c:manualLayout>
          <c:layoutTarget val="inner"/>
          <c:xMode val="edge"/>
          <c:yMode val="edge"/>
          <c:x val="9.2103276573462595E-2"/>
          <c:y val="8.7636342170031509E-2"/>
          <c:w val="0.64303046626213978"/>
          <c:h val="0.80630759523639617"/>
        </c:manualLayout>
      </c:layout>
      <c:lineChart>
        <c:grouping val="standard"/>
        <c:varyColors val="0"/>
        <c:ser>
          <c:idx val="3"/>
          <c:order val="0"/>
          <c:tx>
            <c:strRef>
              <c:f>'Air Quality'!$D$8</c:f>
              <c:strCache>
                <c:ptCount val="1"/>
                <c:pt idx="0">
                  <c:v>PAAQIs for the Vaal Triangle Airshed Priority Area</c:v>
                </c:pt>
              </c:strCache>
            </c:strRef>
          </c:tx>
          <c:spPr>
            <a:ln w="38100">
              <a:solidFill>
                <a:schemeClr val="accent6">
                  <a:lumMod val="50000"/>
                </a:schemeClr>
              </a:solidFill>
            </a:ln>
          </c:spPr>
          <c:marker>
            <c:spPr>
              <a:noFill/>
              <a:ln>
                <a:noFill/>
              </a:ln>
            </c:spPr>
          </c:marker>
          <c:cat>
            <c:numRef>
              <c:f>'Air Quality'!$E$7:$M$7</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'Air Quality'!$E$8:$M$8</c:f>
              <c:numCache>
                <c:formatCode>0.00</c:formatCode>
                <c:ptCount val="9"/>
                <c:pt idx="0">
                  <c:v>1.3542666666666665</c:v>
                </c:pt>
                <c:pt idx="1">
                  <c:v>1.2295333333333334</c:v>
                </c:pt>
                <c:pt idx="2">
                  <c:v>1.1886000000000001</c:v>
                </c:pt>
                <c:pt idx="3">
                  <c:v>1.2203999999999999</c:v>
                </c:pt>
                <c:pt idx="4">
                  <c:v>1.2079</c:v>
                </c:pt>
                <c:pt idx="5">
                  <c:v>1.2477666666666669</c:v>
                </c:pt>
                <c:pt idx="6">
                  <c:v>1.2061999999999999</c:v>
                </c:pt>
                <c:pt idx="7">
                  <c:v>1.0216000000000001</c:v>
                </c:pt>
                <c:pt idx="8">
                  <c:v>1.0415333333333334</c:v>
                </c:pt>
              </c:numCache>
            </c:numRef>
          </c:val>
          <c:smooth val="0"/>
          <c:extLst>
            <c:ext xmlns:c16="http://schemas.microsoft.com/office/drawing/2014/chart" uri="{C3380CC4-5D6E-409C-BE32-E72D297353CC}">
              <c16:uniqueId val="{00000000-1CFD-4E96-AC0E-B3DE553B08FE}"/>
            </c:ext>
          </c:extLst>
        </c:ser>
        <c:ser>
          <c:idx val="4"/>
          <c:order val="1"/>
          <c:tx>
            <c:strRef>
              <c:f>'Air Quality'!$D$9</c:f>
              <c:strCache>
                <c:ptCount val="1"/>
                <c:pt idx="0">
                  <c:v>PAAQIs for the Highveld Priority Area</c:v>
                </c:pt>
              </c:strCache>
            </c:strRef>
          </c:tx>
          <c:spPr>
            <a:ln w="38100">
              <a:solidFill>
                <a:srgbClr val="FF0000"/>
              </a:solidFill>
            </a:ln>
          </c:spPr>
          <c:marker>
            <c:spPr>
              <a:noFill/>
              <a:ln>
                <a:noFill/>
              </a:ln>
            </c:spPr>
          </c:marker>
          <c:cat>
            <c:numRef>
              <c:f>'Air Quality'!$E$7:$M$7</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'Air Quality'!$E$9:$M$9</c:f>
              <c:numCache>
                <c:formatCode>0.00</c:formatCode>
                <c:ptCount val="9"/>
                <c:pt idx="1">
                  <c:v>1.196</c:v>
                </c:pt>
                <c:pt idx="2">
                  <c:v>0.99328000000000005</c:v>
                </c:pt>
                <c:pt idx="3">
                  <c:v>1.1179999999999999</c:v>
                </c:pt>
                <c:pt idx="4">
                  <c:v>1.2331199999999998</c:v>
                </c:pt>
                <c:pt idx="5">
                  <c:v>1.0312399999999999</c:v>
                </c:pt>
                <c:pt idx="6">
                  <c:v>1.02532</c:v>
                </c:pt>
                <c:pt idx="7">
                  <c:v>0.66252</c:v>
                </c:pt>
                <c:pt idx="8">
                  <c:v>0.82047999999999988</c:v>
                </c:pt>
              </c:numCache>
            </c:numRef>
          </c:val>
          <c:smooth val="0"/>
          <c:extLst>
            <c:ext xmlns:c16="http://schemas.microsoft.com/office/drawing/2014/chart" uri="{C3380CC4-5D6E-409C-BE32-E72D297353CC}">
              <c16:uniqueId val="{00000001-1CFD-4E96-AC0E-B3DE553B08FE}"/>
            </c:ext>
          </c:extLst>
        </c:ser>
        <c:ser>
          <c:idx val="5"/>
          <c:order val="2"/>
          <c:tx>
            <c:strRef>
              <c:f>'Air Quality'!$D$10</c:f>
              <c:strCache>
                <c:ptCount val="1"/>
                <c:pt idx="0">
                  <c:v>PAAQIs for Eskom's air quality monitoring network</c:v>
                </c:pt>
              </c:strCache>
            </c:strRef>
          </c:tx>
          <c:spPr>
            <a:ln w="38100">
              <a:solidFill>
                <a:schemeClr val="accent6">
                  <a:lumMod val="75000"/>
                </a:schemeClr>
              </a:solidFill>
              <a:prstDash val="dash"/>
            </a:ln>
          </c:spPr>
          <c:marker>
            <c:symbol val="none"/>
          </c:marker>
          <c:cat>
            <c:numRef>
              <c:f>'Air Quality'!$E$7:$M$7</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'Air Quality'!$E$10:$M$10</c:f>
              <c:numCache>
                <c:formatCode>0.00</c:formatCode>
                <c:ptCount val="9"/>
                <c:pt idx="1">
                  <c:v>0.94680000000000009</c:v>
                </c:pt>
                <c:pt idx="2">
                  <c:v>0.92639999999999989</c:v>
                </c:pt>
                <c:pt idx="3">
                  <c:v>0.96787499999999993</c:v>
                </c:pt>
                <c:pt idx="4">
                  <c:v>0.79594285714285706</c:v>
                </c:pt>
                <c:pt idx="5">
                  <c:v>0.89504444444444442</c:v>
                </c:pt>
                <c:pt idx="6">
                  <c:v>0.88120000000000009</c:v>
                </c:pt>
                <c:pt idx="7">
                  <c:v>0.84759999999999991</c:v>
                </c:pt>
                <c:pt idx="8">
                  <c:v>0.88885999999999998</c:v>
                </c:pt>
              </c:numCache>
            </c:numRef>
          </c:val>
          <c:smooth val="0"/>
          <c:extLst>
            <c:ext xmlns:c16="http://schemas.microsoft.com/office/drawing/2014/chart" uri="{C3380CC4-5D6E-409C-BE32-E72D297353CC}">
              <c16:uniqueId val="{00000002-1CFD-4E96-AC0E-B3DE553B08FE}"/>
            </c:ext>
          </c:extLst>
        </c:ser>
        <c:ser>
          <c:idx val="0"/>
          <c:order val="3"/>
          <c:tx>
            <c:strRef>
              <c:f>'Air Quality'!$D$11</c:f>
              <c:strCache>
                <c:ptCount val="1"/>
                <c:pt idx="0">
                  <c:v>Acceptability threshold</c:v>
                </c:pt>
              </c:strCache>
            </c:strRef>
          </c:tx>
          <c:spPr>
            <a:ln w="38100">
              <a:solidFill>
                <a:srgbClr val="C00000"/>
              </a:solidFill>
            </a:ln>
          </c:spPr>
          <c:marker>
            <c:symbol val="none"/>
          </c:marker>
          <c:dPt>
            <c:idx val="0"/>
            <c:bubble3D val="0"/>
            <c:spPr>
              <a:ln w="38100" cap="flat">
                <a:solidFill>
                  <a:srgbClr val="C00000"/>
                </a:solidFill>
                <a:miter lim="800000"/>
              </a:ln>
            </c:spPr>
            <c:extLst>
              <c:ext xmlns:c16="http://schemas.microsoft.com/office/drawing/2014/chart" uri="{C3380CC4-5D6E-409C-BE32-E72D297353CC}">
                <c16:uniqueId val="{00000008-1CFD-4E96-AC0E-B3DE553B08FE}"/>
              </c:ext>
            </c:extLst>
          </c:dPt>
          <c:cat>
            <c:numRef>
              <c:f>'Air Quality'!$E$7:$M$7</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'Air Quality'!$E$11:$M$11</c:f>
              <c:numCache>
                <c:formatCode>0.00</c:formatCode>
                <c:ptCount val="9"/>
                <c:pt idx="0">
                  <c:v>1</c:v>
                </c:pt>
                <c:pt idx="1">
                  <c:v>1</c:v>
                </c:pt>
                <c:pt idx="2">
                  <c:v>1</c:v>
                </c:pt>
                <c:pt idx="3">
                  <c:v>1</c:v>
                </c:pt>
                <c:pt idx="4">
                  <c:v>1</c:v>
                </c:pt>
                <c:pt idx="5">
                  <c:v>1</c:v>
                </c:pt>
                <c:pt idx="6">
                  <c:v>1</c:v>
                </c:pt>
                <c:pt idx="7">
                  <c:v>1</c:v>
                </c:pt>
                <c:pt idx="8">
                  <c:v>1</c:v>
                </c:pt>
              </c:numCache>
            </c:numRef>
          </c:val>
          <c:smooth val="0"/>
          <c:extLst>
            <c:ext xmlns:c16="http://schemas.microsoft.com/office/drawing/2014/chart" uri="{C3380CC4-5D6E-409C-BE32-E72D297353CC}">
              <c16:uniqueId val="{00000007-1CFD-4E96-AC0E-B3DE553B08FE}"/>
            </c:ext>
          </c:extLst>
        </c:ser>
        <c:dLbls>
          <c:showLegendKey val="0"/>
          <c:showVal val="0"/>
          <c:showCatName val="0"/>
          <c:showSerName val="0"/>
          <c:showPercent val="0"/>
          <c:showBubbleSize val="0"/>
        </c:dLbls>
        <c:marker val="1"/>
        <c:smooth val="0"/>
        <c:axId val="714542312"/>
        <c:axId val="714558384"/>
      </c:lineChart>
      <c:catAx>
        <c:axId val="7145423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714558384"/>
        <c:crosses val="autoZero"/>
        <c:auto val="1"/>
        <c:lblAlgn val="ctr"/>
        <c:lblOffset val="100"/>
        <c:tickLblSkip val="1"/>
        <c:tickMarkSkip val="1"/>
        <c:noMultiLvlLbl val="0"/>
      </c:catAx>
      <c:valAx>
        <c:axId val="714558384"/>
        <c:scaling>
          <c:orientation val="minMax"/>
          <c:max val="1.6"/>
          <c:min val="0"/>
        </c:scaling>
        <c:delete val="0"/>
        <c:axPos val="l"/>
        <c:majorGridlines>
          <c:spPr>
            <a:ln w="3175">
              <a:solidFill>
                <a:srgbClr val="C0C0C0"/>
              </a:solidFill>
              <a:prstDash val="sysDash"/>
            </a:ln>
          </c:spPr>
        </c:majorGridlines>
        <c:title>
          <c:tx>
            <c:rich>
              <a:bodyPr/>
              <a:lstStyle/>
              <a:p>
                <a:pPr>
                  <a:defRPr/>
                </a:pPr>
                <a:r>
                  <a:rPr lang="en-ZA"/>
                  <a:t>(GHG Emissions in Mt CO2-eq</a:t>
                </a:r>
              </a:p>
              <a:p>
                <a:pPr>
                  <a:defRPr/>
                </a:pPr>
                <a:endParaRPr lang="en-ZA"/>
              </a:p>
            </c:rich>
          </c:tx>
          <c:layout>
            <c:manualLayout>
              <c:xMode val="edge"/>
              <c:yMode val="edge"/>
              <c:x val="2.33959285250771E-2"/>
              <c:y val="0.37579813992152616"/>
            </c:manualLayout>
          </c:layout>
          <c:overlay val="0"/>
        </c:title>
        <c:numFmt formatCode="0.0" sourceLinked="0"/>
        <c:majorTickMark val="none"/>
        <c:minorTickMark val="none"/>
        <c:tickLblPos val="nextTo"/>
        <c:spPr>
          <a:ln w="12700">
            <a:solidFill>
              <a:schemeClr val="tx1"/>
            </a:solidFill>
          </a:ln>
        </c:spPr>
        <c:txPr>
          <a:bodyPr rot="0" vert="horz"/>
          <a:lstStyle/>
          <a:p>
            <a:pPr>
              <a:defRPr/>
            </a:pPr>
            <a:endParaRPr lang="en-US"/>
          </a:p>
        </c:txPr>
        <c:crossAx val="714542312"/>
        <c:crosses val="autoZero"/>
        <c:crossBetween val="between"/>
      </c:valAx>
      <c:spPr>
        <a:gradFill>
          <a:gsLst>
            <a:gs pos="0">
              <a:schemeClr val="accent6">
                <a:lumMod val="75000"/>
                <a:alpha val="0"/>
              </a:schemeClr>
            </a:gs>
            <a:gs pos="86000">
              <a:schemeClr val="tx2">
                <a:lumMod val="40000"/>
                <a:lumOff val="60000"/>
                <a:alpha val="59000"/>
              </a:schemeClr>
            </a:gs>
            <a:gs pos="43000">
              <a:schemeClr val="bg1"/>
            </a:gs>
            <a:gs pos="100000">
              <a:schemeClr val="tx2">
                <a:lumMod val="60000"/>
                <a:lumOff val="40000"/>
              </a:schemeClr>
            </a:gs>
          </a:gsLst>
          <a:lin ang="5400000" scaled="1"/>
        </a:gradFill>
      </c:spPr>
    </c:plotArea>
    <c:legend>
      <c:legendPos val="r"/>
      <c:layout>
        <c:manualLayout>
          <c:xMode val="edge"/>
          <c:yMode val="edge"/>
          <c:x val="0.75129908057267492"/>
          <c:y val="9.8476282592703593E-2"/>
          <c:w val="0.22992157670432042"/>
          <c:h val="0.56094801514862547"/>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Terrestrial Protected Areas Representivity</a:t>
            </a:r>
          </a:p>
        </c:rich>
      </c:tx>
      <c:layout>
        <c:manualLayout>
          <c:xMode val="edge"/>
          <c:yMode val="edge"/>
          <c:x val="0.29813146596112106"/>
          <c:y val="3.4602076124567477E-2"/>
        </c:manualLayout>
      </c:layout>
      <c:overlay val="0"/>
      <c:spPr>
        <a:noFill/>
        <a:ln w="25400">
          <a:noFill/>
        </a:ln>
      </c:spPr>
    </c:title>
    <c:autoTitleDeleted val="0"/>
    <c:plotArea>
      <c:layout>
        <c:manualLayout>
          <c:layoutTarget val="inner"/>
          <c:xMode val="edge"/>
          <c:yMode val="edge"/>
          <c:x val="9.2103276573462595E-2"/>
          <c:y val="8.7636342170031509E-2"/>
          <c:w val="0.64303046626213978"/>
          <c:h val="0.80630759523639617"/>
        </c:manualLayout>
      </c:layout>
      <c:lineChart>
        <c:grouping val="standard"/>
        <c:varyColors val="0"/>
        <c:ser>
          <c:idx val="3"/>
          <c:order val="0"/>
          <c:tx>
            <c:strRef>
              <c:f>'Terrestrial BPI'!$D$8</c:f>
              <c:strCache>
                <c:ptCount val="1"/>
                <c:pt idx="0">
                  <c:v>Per cent land mass under protection</c:v>
                </c:pt>
              </c:strCache>
            </c:strRef>
          </c:tx>
          <c:spPr>
            <a:ln w="38100">
              <a:solidFill>
                <a:schemeClr val="accent6">
                  <a:lumMod val="50000"/>
                </a:schemeClr>
              </a:solidFill>
            </a:ln>
          </c:spPr>
          <c:marker>
            <c:spPr>
              <a:noFill/>
              <a:ln>
                <a:noFill/>
              </a:ln>
            </c:spPr>
          </c:marker>
          <c:cat>
            <c:numRef>
              <c:f>'Terrestrial BPI'!$E$7:$M$7</c:f>
              <c:numCache>
                <c:formatCode>General</c:formatCode>
                <c:ptCount val="9"/>
                <c:pt idx="0">
                  <c:v>1960</c:v>
                </c:pt>
                <c:pt idx="1">
                  <c:v>1980</c:v>
                </c:pt>
                <c:pt idx="2">
                  <c:v>1985</c:v>
                </c:pt>
                <c:pt idx="3">
                  <c:v>1990</c:v>
                </c:pt>
                <c:pt idx="4">
                  <c:v>1995</c:v>
                </c:pt>
                <c:pt idx="5">
                  <c:v>2000</c:v>
                </c:pt>
                <c:pt idx="6">
                  <c:v>2005</c:v>
                </c:pt>
                <c:pt idx="7">
                  <c:v>2010</c:v>
                </c:pt>
                <c:pt idx="8">
                  <c:v>2015</c:v>
                </c:pt>
              </c:numCache>
            </c:numRef>
          </c:cat>
          <c:val>
            <c:numRef>
              <c:f>'Terrestrial BPI'!$E$8:$M$8</c:f>
              <c:numCache>
                <c:formatCode>0.0%</c:formatCode>
                <c:ptCount val="9"/>
                <c:pt idx="0">
                  <c:v>3.1E-2</c:v>
                </c:pt>
                <c:pt idx="1">
                  <c:v>4.9000000000000002E-2</c:v>
                </c:pt>
                <c:pt idx="2">
                  <c:v>5.3999999999999999E-2</c:v>
                </c:pt>
                <c:pt idx="3">
                  <c:v>5.7000000000000002E-2</c:v>
                </c:pt>
                <c:pt idx="4">
                  <c:v>6.2E-2</c:v>
                </c:pt>
                <c:pt idx="5">
                  <c:v>6.5000000000000002E-2</c:v>
                </c:pt>
                <c:pt idx="6">
                  <c:v>6.7000000000000004E-2</c:v>
                </c:pt>
                <c:pt idx="7">
                  <c:v>7.8E-2</c:v>
                </c:pt>
                <c:pt idx="8">
                  <c:v>8.3000000000000004E-2</c:v>
                </c:pt>
              </c:numCache>
            </c:numRef>
          </c:val>
          <c:smooth val="0"/>
          <c:extLst>
            <c:ext xmlns:c16="http://schemas.microsoft.com/office/drawing/2014/chart" uri="{C3380CC4-5D6E-409C-BE32-E72D297353CC}">
              <c16:uniqueId val="{00000000-A584-4CF6-A7E6-38FC54FED159}"/>
            </c:ext>
          </c:extLst>
        </c:ser>
        <c:ser>
          <c:idx val="4"/>
          <c:order val="1"/>
          <c:tx>
            <c:strRef>
              <c:f>'Terrestrial BPI'!$D$9</c:f>
              <c:strCache>
                <c:ptCount val="1"/>
                <c:pt idx="0">
                  <c:v>NDP Target for land mass under protection</c:v>
                </c:pt>
              </c:strCache>
            </c:strRef>
          </c:tx>
          <c:spPr>
            <a:ln w="38100">
              <a:solidFill>
                <a:srgbClr val="FF0000"/>
              </a:solidFill>
            </a:ln>
          </c:spPr>
          <c:marker>
            <c:spPr>
              <a:noFill/>
              <a:ln>
                <a:noFill/>
              </a:ln>
            </c:spPr>
          </c:marker>
          <c:cat>
            <c:numRef>
              <c:f>'Terrestrial BPI'!$E$7:$M$7</c:f>
              <c:numCache>
                <c:formatCode>General</c:formatCode>
                <c:ptCount val="9"/>
                <c:pt idx="0">
                  <c:v>1960</c:v>
                </c:pt>
                <c:pt idx="1">
                  <c:v>1980</c:v>
                </c:pt>
                <c:pt idx="2">
                  <c:v>1985</c:v>
                </c:pt>
                <c:pt idx="3">
                  <c:v>1990</c:v>
                </c:pt>
                <c:pt idx="4">
                  <c:v>1995</c:v>
                </c:pt>
                <c:pt idx="5">
                  <c:v>2000</c:v>
                </c:pt>
                <c:pt idx="6">
                  <c:v>2005</c:v>
                </c:pt>
                <c:pt idx="7">
                  <c:v>2010</c:v>
                </c:pt>
                <c:pt idx="8">
                  <c:v>2015</c:v>
                </c:pt>
              </c:numCache>
            </c:numRef>
          </c:cat>
          <c:val>
            <c:numRef>
              <c:f>'Terrestrial BPI'!$E$9:$M$9</c:f>
              <c:numCache>
                <c:formatCode>0.0%</c:formatCode>
                <c:ptCount val="9"/>
                <c:pt idx="4">
                  <c:v>6.2E-2</c:v>
                </c:pt>
                <c:pt idx="5">
                  <c:v>6.8086956521739128E-2</c:v>
                </c:pt>
                <c:pt idx="6">
                  <c:v>7.4173913043478257E-2</c:v>
                </c:pt>
                <c:pt idx="7">
                  <c:v>8.0260869565217385E-2</c:v>
                </c:pt>
                <c:pt idx="8">
                  <c:v>8.6347826086956514E-2</c:v>
                </c:pt>
              </c:numCache>
            </c:numRef>
          </c:val>
          <c:smooth val="0"/>
          <c:extLst>
            <c:ext xmlns:c16="http://schemas.microsoft.com/office/drawing/2014/chart" uri="{C3380CC4-5D6E-409C-BE32-E72D297353CC}">
              <c16:uniqueId val="{00000001-A584-4CF6-A7E6-38FC54FED159}"/>
            </c:ext>
          </c:extLst>
        </c:ser>
        <c:ser>
          <c:idx val="5"/>
          <c:order val="2"/>
          <c:tx>
            <c:strRef>
              <c:f>'Terrestrial BPI'!$D$10</c:f>
              <c:strCache>
                <c:ptCount val="1"/>
                <c:pt idx="0">
                  <c:v>Terrestrial Biodiversity Protection Index</c:v>
                </c:pt>
              </c:strCache>
            </c:strRef>
          </c:tx>
          <c:spPr>
            <a:ln w="38100">
              <a:solidFill>
                <a:schemeClr val="accent6">
                  <a:lumMod val="75000"/>
                </a:schemeClr>
              </a:solidFill>
              <a:prstDash val="dash"/>
            </a:ln>
          </c:spPr>
          <c:marker>
            <c:symbol val="none"/>
          </c:marker>
          <c:cat>
            <c:numRef>
              <c:f>'Terrestrial BPI'!$E$7:$M$7</c:f>
              <c:numCache>
                <c:formatCode>General</c:formatCode>
                <c:ptCount val="9"/>
                <c:pt idx="0">
                  <c:v>1960</c:v>
                </c:pt>
                <c:pt idx="1">
                  <c:v>1980</c:v>
                </c:pt>
                <c:pt idx="2">
                  <c:v>1985</c:v>
                </c:pt>
                <c:pt idx="3">
                  <c:v>1990</c:v>
                </c:pt>
                <c:pt idx="4">
                  <c:v>1995</c:v>
                </c:pt>
                <c:pt idx="5">
                  <c:v>2000</c:v>
                </c:pt>
                <c:pt idx="6">
                  <c:v>2005</c:v>
                </c:pt>
                <c:pt idx="7">
                  <c:v>2010</c:v>
                </c:pt>
                <c:pt idx="8">
                  <c:v>2015</c:v>
                </c:pt>
              </c:numCache>
            </c:numRef>
          </c:cat>
          <c:val>
            <c:numRef>
              <c:f>'Terrestrial BPI'!$E$10:$M$10</c:f>
              <c:numCache>
                <c:formatCode>0.0%</c:formatCode>
                <c:ptCount val="9"/>
                <c:pt idx="0">
                  <c:v>1.9E-2</c:v>
                </c:pt>
                <c:pt idx="1">
                  <c:v>3.3000000000000002E-2</c:v>
                </c:pt>
                <c:pt idx="2">
                  <c:v>3.5999999999999997E-2</c:v>
                </c:pt>
                <c:pt idx="3">
                  <c:v>3.9E-2</c:v>
                </c:pt>
                <c:pt idx="4">
                  <c:v>4.2999999999999997E-2</c:v>
                </c:pt>
                <c:pt idx="5">
                  <c:v>4.5999999999999999E-2</c:v>
                </c:pt>
                <c:pt idx="6">
                  <c:v>4.8000000000000001E-2</c:v>
                </c:pt>
                <c:pt idx="7">
                  <c:v>5.1999999999999998E-2</c:v>
                </c:pt>
                <c:pt idx="8">
                  <c:v>5.6000000000000001E-2</c:v>
                </c:pt>
              </c:numCache>
            </c:numRef>
          </c:val>
          <c:smooth val="0"/>
          <c:extLst>
            <c:ext xmlns:c16="http://schemas.microsoft.com/office/drawing/2014/chart" uri="{C3380CC4-5D6E-409C-BE32-E72D297353CC}">
              <c16:uniqueId val="{00000002-A584-4CF6-A7E6-38FC54FED159}"/>
            </c:ext>
          </c:extLst>
        </c:ser>
        <c:ser>
          <c:idx val="0"/>
          <c:order val="3"/>
          <c:tx>
            <c:strRef>
              <c:f>'Terrestrial BPI'!$D$11</c:f>
              <c:strCache>
                <c:ptCount val="1"/>
                <c:pt idx="0">
                  <c:v>Aichi Target (adjusted to strict definition of PA)</c:v>
                </c:pt>
              </c:strCache>
            </c:strRef>
          </c:tx>
          <c:spPr>
            <a:ln w="38100">
              <a:solidFill>
                <a:srgbClr val="C00000"/>
              </a:solidFill>
            </a:ln>
          </c:spPr>
          <c:marker>
            <c:symbol val="none"/>
          </c:marker>
          <c:dPt>
            <c:idx val="0"/>
            <c:bubble3D val="0"/>
            <c:spPr>
              <a:ln w="38100" cap="flat">
                <a:solidFill>
                  <a:srgbClr val="C00000"/>
                </a:solidFill>
                <a:miter lim="800000"/>
              </a:ln>
            </c:spPr>
            <c:extLst>
              <c:ext xmlns:c16="http://schemas.microsoft.com/office/drawing/2014/chart" uri="{C3380CC4-5D6E-409C-BE32-E72D297353CC}">
                <c16:uniqueId val="{00000004-A584-4CF6-A7E6-38FC54FED159}"/>
              </c:ext>
            </c:extLst>
          </c:dPt>
          <c:cat>
            <c:numRef>
              <c:f>'Terrestrial BPI'!$E$7:$M$7</c:f>
              <c:numCache>
                <c:formatCode>General</c:formatCode>
                <c:ptCount val="9"/>
                <c:pt idx="0">
                  <c:v>1960</c:v>
                </c:pt>
                <c:pt idx="1">
                  <c:v>1980</c:v>
                </c:pt>
                <c:pt idx="2">
                  <c:v>1985</c:v>
                </c:pt>
                <c:pt idx="3">
                  <c:v>1990</c:v>
                </c:pt>
                <c:pt idx="4">
                  <c:v>1995</c:v>
                </c:pt>
                <c:pt idx="5">
                  <c:v>2000</c:v>
                </c:pt>
                <c:pt idx="6">
                  <c:v>2005</c:v>
                </c:pt>
                <c:pt idx="7">
                  <c:v>2010</c:v>
                </c:pt>
                <c:pt idx="8">
                  <c:v>2015</c:v>
                </c:pt>
              </c:numCache>
            </c:numRef>
          </c:cat>
          <c:val>
            <c:numRef>
              <c:f>'Terrestrial BPI'!$E$11:$M$11</c:f>
              <c:numCache>
                <c:formatCode>0.0%</c:formatCode>
                <c:ptCount val="9"/>
                <c:pt idx="7">
                  <c:v>5.1999999999999998E-2</c:v>
                </c:pt>
                <c:pt idx="8">
                  <c:v>8.5999999999999993E-2</c:v>
                </c:pt>
              </c:numCache>
            </c:numRef>
          </c:val>
          <c:smooth val="0"/>
          <c:extLst>
            <c:ext xmlns:c16="http://schemas.microsoft.com/office/drawing/2014/chart" uri="{C3380CC4-5D6E-409C-BE32-E72D297353CC}">
              <c16:uniqueId val="{00000005-A584-4CF6-A7E6-38FC54FED159}"/>
            </c:ext>
          </c:extLst>
        </c:ser>
        <c:dLbls>
          <c:showLegendKey val="0"/>
          <c:showVal val="0"/>
          <c:showCatName val="0"/>
          <c:showSerName val="0"/>
          <c:showPercent val="0"/>
          <c:showBubbleSize val="0"/>
        </c:dLbls>
        <c:marker val="1"/>
        <c:smooth val="0"/>
        <c:axId val="414986304"/>
        <c:axId val="414987872"/>
      </c:lineChart>
      <c:catAx>
        <c:axId val="414986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414987872"/>
        <c:crosses val="autoZero"/>
        <c:auto val="1"/>
        <c:lblAlgn val="ctr"/>
        <c:lblOffset val="100"/>
        <c:tickLblSkip val="1"/>
        <c:tickMarkSkip val="1"/>
        <c:noMultiLvlLbl val="0"/>
      </c:catAx>
      <c:valAx>
        <c:axId val="414987872"/>
        <c:scaling>
          <c:orientation val="minMax"/>
          <c:max val="0.1"/>
          <c:min val="0"/>
        </c:scaling>
        <c:delete val="0"/>
        <c:axPos val="l"/>
        <c:majorGridlines>
          <c:spPr>
            <a:ln w="3175">
              <a:solidFill>
                <a:srgbClr val="C0C0C0"/>
              </a:solidFill>
              <a:prstDash val="sysDash"/>
            </a:ln>
          </c:spPr>
        </c:majorGridlines>
        <c:title>
          <c:tx>
            <c:rich>
              <a:bodyPr/>
              <a:lstStyle/>
              <a:p>
                <a:pPr>
                  <a:defRPr/>
                </a:pPr>
                <a:r>
                  <a:rPr lang="en-ZA"/>
                  <a:t>Percentage</a:t>
                </a:r>
              </a:p>
            </c:rich>
          </c:tx>
          <c:layout>
            <c:manualLayout>
              <c:xMode val="edge"/>
              <c:yMode val="edge"/>
              <c:x val="2.33959285250771E-2"/>
              <c:y val="0.37579813992152616"/>
            </c:manualLayout>
          </c:layout>
          <c:overlay val="0"/>
        </c:title>
        <c:numFmt formatCode="0.0%" sourceLinked="0"/>
        <c:majorTickMark val="none"/>
        <c:minorTickMark val="none"/>
        <c:tickLblPos val="nextTo"/>
        <c:spPr>
          <a:ln w="12700">
            <a:solidFill>
              <a:schemeClr val="tx1"/>
            </a:solidFill>
          </a:ln>
        </c:spPr>
        <c:txPr>
          <a:bodyPr rot="0" vert="horz"/>
          <a:lstStyle/>
          <a:p>
            <a:pPr>
              <a:defRPr/>
            </a:pPr>
            <a:endParaRPr lang="en-US"/>
          </a:p>
        </c:txPr>
        <c:crossAx val="414986304"/>
        <c:crosses val="autoZero"/>
        <c:crossBetween val="between"/>
        <c:majorUnit val="1.0000000000000002E-2"/>
      </c:valAx>
      <c:spPr>
        <a:gradFill>
          <a:gsLst>
            <a:gs pos="0">
              <a:schemeClr val="accent6">
                <a:lumMod val="75000"/>
                <a:alpha val="0"/>
              </a:schemeClr>
            </a:gs>
            <a:gs pos="86000">
              <a:schemeClr val="tx2">
                <a:lumMod val="40000"/>
                <a:lumOff val="60000"/>
                <a:alpha val="59000"/>
              </a:schemeClr>
            </a:gs>
            <a:gs pos="43000">
              <a:schemeClr val="bg1"/>
            </a:gs>
            <a:gs pos="100000">
              <a:schemeClr val="tx2">
                <a:lumMod val="60000"/>
                <a:lumOff val="40000"/>
              </a:schemeClr>
            </a:gs>
          </a:gsLst>
          <a:lin ang="5400000" scaled="1"/>
        </a:gradFill>
      </c:spPr>
    </c:plotArea>
    <c:legend>
      <c:legendPos val="r"/>
      <c:layout>
        <c:manualLayout>
          <c:xMode val="edge"/>
          <c:yMode val="edge"/>
          <c:x val="0.75129908057267492"/>
          <c:y val="9.8476282592703593E-2"/>
          <c:w val="0.22992157670432042"/>
          <c:h val="0.56094801514862547"/>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Continental Mainland Marine Protected Areas</a:t>
            </a:r>
          </a:p>
        </c:rich>
      </c:tx>
      <c:layout>
        <c:manualLayout>
          <c:xMode val="edge"/>
          <c:yMode val="edge"/>
          <c:x val="0.29410732109190579"/>
          <c:y val="2.5951557093425604E-2"/>
        </c:manualLayout>
      </c:layout>
      <c:overlay val="0"/>
      <c:spPr>
        <a:noFill/>
        <a:ln w="25400">
          <a:noFill/>
        </a:ln>
      </c:spPr>
    </c:title>
    <c:autoTitleDeleted val="0"/>
    <c:plotArea>
      <c:layout>
        <c:manualLayout>
          <c:layoutTarget val="inner"/>
          <c:xMode val="edge"/>
          <c:yMode val="edge"/>
          <c:x val="9.2103276573462595E-2"/>
          <c:y val="8.7636342170031509E-2"/>
          <c:w val="0.64303046626213978"/>
          <c:h val="0.80630759523639617"/>
        </c:manualLayout>
      </c:layout>
      <c:lineChart>
        <c:grouping val="standard"/>
        <c:varyColors val="0"/>
        <c:ser>
          <c:idx val="1"/>
          <c:order val="0"/>
          <c:tx>
            <c:strRef>
              <c:f>'Marine PAs'!$D$52</c:f>
              <c:strCache>
                <c:ptCount val="1"/>
                <c:pt idx="0">
                  <c:v>Total MPA</c:v>
                </c:pt>
              </c:strCache>
            </c:strRef>
          </c:tx>
          <c:spPr>
            <a:ln>
              <a:solidFill>
                <a:schemeClr val="accent6">
                  <a:lumMod val="60000"/>
                  <a:lumOff val="40000"/>
                </a:schemeClr>
              </a:solidFill>
            </a:ln>
          </c:spPr>
          <c:marker>
            <c:symbol val="none"/>
          </c:marker>
          <c:cat>
            <c:numRef>
              <c:f>'Marine PAs'!$E$50:$U$50</c:f>
              <c:numCache>
                <c:formatCode>General</c:formatCode>
                <c:ptCount val="17"/>
                <c:pt idx="0">
                  <c:v>1964</c:v>
                </c:pt>
                <c:pt idx="1">
                  <c:v>1975</c:v>
                </c:pt>
                <c:pt idx="2">
                  <c:v>1976</c:v>
                </c:pt>
                <c:pt idx="3">
                  <c:v>1977</c:v>
                </c:pt>
                <c:pt idx="4">
                  <c:v>1979</c:v>
                </c:pt>
                <c:pt idx="5">
                  <c:v>1985</c:v>
                </c:pt>
                <c:pt idx="6">
                  <c:v>1987</c:v>
                </c:pt>
                <c:pt idx="7">
                  <c:v>1990</c:v>
                </c:pt>
                <c:pt idx="8">
                  <c:v>1991</c:v>
                </c:pt>
                <c:pt idx="9">
                  <c:v>2000</c:v>
                </c:pt>
                <c:pt idx="10">
                  <c:v>2001</c:v>
                </c:pt>
                <c:pt idx="11">
                  <c:v>2004</c:v>
                </c:pt>
                <c:pt idx="12">
                  <c:v>2008</c:v>
                </c:pt>
                <c:pt idx="13">
                  <c:v>2011</c:v>
                </c:pt>
                <c:pt idx="14">
                  <c:v>2013</c:v>
                </c:pt>
                <c:pt idx="15">
                  <c:v>2014</c:v>
                </c:pt>
                <c:pt idx="16">
                  <c:v>2015</c:v>
                </c:pt>
              </c:numCache>
            </c:numRef>
          </c:cat>
          <c:val>
            <c:numRef>
              <c:f>'Marine PAs'!$E$52:$U$52</c:f>
              <c:numCache>
                <c:formatCode>0.00%</c:formatCode>
                <c:ptCount val="17"/>
                <c:pt idx="0">
                  <c:v>2.4723714487034687E-4</c:v>
                </c:pt>
                <c:pt idx="1">
                  <c:v>4.2643368932465827E-4</c:v>
                </c:pt>
                <c:pt idx="2">
                  <c:v>8.4003503456200716E-4</c:v>
                </c:pt>
                <c:pt idx="3">
                  <c:v>1.7344817196130852E-3</c:v>
                </c:pt>
                <c:pt idx="4">
                  <c:v>1.7422405088994713E-3</c:v>
                </c:pt>
                <c:pt idx="5">
                  <c:v>2.0562752009761769E-3</c:v>
                </c:pt>
                <c:pt idx="6">
                  <c:v>2.4161059795500721E-3</c:v>
                </c:pt>
                <c:pt idx="7">
                  <c:v>2.5033154635856719E-3</c:v>
                </c:pt>
                <c:pt idx="8">
                  <c:v>3.6992095701248017E-3</c:v>
                </c:pt>
                <c:pt idx="9">
                  <c:v>3.8721260944791554E-3</c:v>
                </c:pt>
                <c:pt idx="10">
                  <c:v>3.9773860511163987E-3</c:v>
                </c:pt>
                <c:pt idx="11">
                  <c:v>4.1597543276199423E-3</c:v>
                </c:pt>
                <c:pt idx="12">
                  <c:v>4.1887928703169116E-3</c:v>
                </c:pt>
                <c:pt idx="13">
                  <c:v>4.4206273469834627E-3</c:v>
                </c:pt>
                <c:pt idx="14">
                  <c:v>4.4206273469834627E-3</c:v>
                </c:pt>
                <c:pt idx="15">
                  <c:v>4.4206273469834627E-3</c:v>
                </c:pt>
                <c:pt idx="16">
                  <c:v>4.4206273469834627E-3</c:v>
                </c:pt>
              </c:numCache>
            </c:numRef>
          </c:val>
          <c:smooth val="0"/>
          <c:extLst>
            <c:ext xmlns:c16="http://schemas.microsoft.com/office/drawing/2014/chart" uri="{C3380CC4-5D6E-409C-BE32-E72D297353CC}">
              <c16:uniqueId val="{00000009-31D1-4BB0-81F9-9AB0ED0F1AD6}"/>
            </c:ext>
          </c:extLst>
        </c:ser>
        <c:ser>
          <c:idx val="2"/>
          <c:order val="1"/>
          <c:tx>
            <c:strRef>
              <c:f>'Marine PAs'!$D$53</c:f>
              <c:strCache>
                <c:ptCount val="1"/>
                <c:pt idx="0">
                  <c:v>Full Protection</c:v>
                </c:pt>
              </c:strCache>
            </c:strRef>
          </c:tx>
          <c:spPr>
            <a:ln>
              <a:solidFill>
                <a:schemeClr val="accent6">
                  <a:lumMod val="50000"/>
                </a:schemeClr>
              </a:solidFill>
            </a:ln>
          </c:spPr>
          <c:marker>
            <c:symbol val="none"/>
          </c:marker>
          <c:cat>
            <c:numRef>
              <c:f>'Marine PAs'!$E$50:$U$50</c:f>
              <c:numCache>
                <c:formatCode>General</c:formatCode>
                <c:ptCount val="17"/>
                <c:pt idx="0">
                  <c:v>1964</c:v>
                </c:pt>
                <c:pt idx="1">
                  <c:v>1975</c:v>
                </c:pt>
                <c:pt idx="2">
                  <c:v>1976</c:v>
                </c:pt>
                <c:pt idx="3">
                  <c:v>1977</c:v>
                </c:pt>
                <c:pt idx="4">
                  <c:v>1979</c:v>
                </c:pt>
                <c:pt idx="5">
                  <c:v>1985</c:v>
                </c:pt>
                <c:pt idx="6">
                  <c:v>1987</c:v>
                </c:pt>
                <c:pt idx="7">
                  <c:v>1990</c:v>
                </c:pt>
                <c:pt idx="8">
                  <c:v>1991</c:v>
                </c:pt>
                <c:pt idx="9">
                  <c:v>2000</c:v>
                </c:pt>
                <c:pt idx="10">
                  <c:v>2001</c:v>
                </c:pt>
                <c:pt idx="11">
                  <c:v>2004</c:v>
                </c:pt>
                <c:pt idx="12">
                  <c:v>2008</c:v>
                </c:pt>
                <c:pt idx="13">
                  <c:v>2011</c:v>
                </c:pt>
                <c:pt idx="14">
                  <c:v>2013</c:v>
                </c:pt>
                <c:pt idx="15">
                  <c:v>2014</c:v>
                </c:pt>
                <c:pt idx="16">
                  <c:v>2015</c:v>
                </c:pt>
              </c:numCache>
            </c:numRef>
          </c:cat>
          <c:val>
            <c:numRef>
              <c:f>'Marine PAs'!$E$53:$U$53</c:f>
              <c:numCache>
                <c:formatCode>0.00%</c:formatCode>
                <c:ptCount val="17"/>
                <c:pt idx="0">
                  <c:v>2.4723714487034687E-4</c:v>
                </c:pt>
                <c:pt idx="1">
                  <c:v>4.2643368932465827E-4</c:v>
                </c:pt>
                <c:pt idx="2">
                  <c:v>5.5175489693157491E-4</c:v>
                </c:pt>
                <c:pt idx="3">
                  <c:v>6.0453132046798836E-4</c:v>
                </c:pt>
                <c:pt idx="4">
                  <c:v>6.0453132046798836E-4</c:v>
                </c:pt>
                <c:pt idx="5">
                  <c:v>8.8446431873965409E-4</c:v>
                </c:pt>
                <c:pt idx="6">
                  <c:v>1.0060871218976306E-3</c:v>
                </c:pt>
                <c:pt idx="7">
                  <c:v>1.018166840498232E-3</c:v>
                </c:pt>
                <c:pt idx="8">
                  <c:v>1.6097637839572773E-3</c:v>
                </c:pt>
                <c:pt idx="9">
                  <c:v>1.6807374060387834E-3</c:v>
                </c:pt>
                <c:pt idx="10">
                  <c:v>1.7859973626760269E-3</c:v>
                </c:pt>
                <c:pt idx="11">
                  <c:v>1.8870924646683367E-3</c:v>
                </c:pt>
                <c:pt idx="12">
                  <c:v>1.9050963611404574E-3</c:v>
                </c:pt>
                <c:pt idx="13">
                  <c:v>1.9050963611404574E-3</c:v>
                </c:pt>
                <c:pt idx="14">
                  <c:v>1.9050963611404574E-3</c:v>
                </c:pt>
                <c:pt idx="15">
                  <c:v>1.9050963611404574E-3</c:v>
                </c:pt>
                <c:pt idx="16">
                  <c:v>1.9050963611404574E-3</c:v>
                </c:pt>
              </c:numCache>
            </c:numRef>
          </c:val>
          <c:smooth val="0"/>
          <c:extLst>
            <c:ext xmlns:c16="http://schemas.microsoft.com/office/drawing/2014/chart" uri="{C3380CC4-5D6E-409C-BE32-E72D297353CC}">
              <c16:uniqueId val="{0000000A-31D1-4BB0-81F9-9AB0ED0F1AD6}"/>
            </c:ext>
          </c:extLst>
        </c:ser>
        <c:ser>
          <c:idx val="4"/>
          <c:order val="2"/>
          <c:tx>
            <c:strRef>
              <c:f>'Marine PAs'!$D$54</c:f>
              <c:strCache>
                <c:ptCount val="1"/>
                <c:pt idx="0">
                  <c:v>Partial Protection</c:v>
                </c:pt>
              </c:strCache>
            </c:strRef>
          </c:tx>
          <c:spPr>
            <a:ln>
              <a:solidFill>
                <a:schemeClr val="accent6">
                  <a:lumMod val="75000"/>
                </a:schemeClr>
              </a:solidFill>
            </a:ln>
          </c:spPr>
          <c:marker>
            <c:symbol val="none"/>
          </c:marker>
          <c:cat>
            <c:numRef>
              <c:f>'Marine PAs'!$E$50:$U$50</c:f>
              <c:numCache>
                <c:formatCode>General</c:formatCode>
                <c:ptCount val="17"/>
                <c:pt idx="0">
                  <c:v>1964</c:v>
                </c:pt>
                <c:pt idx="1">
                  <c:v>1975</c:v>
                </c:pt>
                <c:pt idx="2">
                  <c:v>1976</c:v>
                </c:pt>
                <c:pt idx="3">
                  <c:v>1977</c:v>
                </c:pt>
                <c:pt idx="4">
                  <c:v>1979</c:v>
                </c:pt>
                <c:pt idx="5">
                  <c:v>1985</c:v>
                </c:pt>
                <c:pt idx="6">
                  <c:v>1987</c:v>
                </c:pt>
                <c:pt idx="7">
                  <c:v>1990</c:v>
                </c:pt>
                <c:pt idx="8">
                  <c:v>1991</c:v>
                </c:pt>
                <c:pt idx="9">
                  <c:v>2000</c:v>
                </c:pt>
                <c:pt idx="10">
                  <c:v>2001</c:v>
                </c:pt>
                <c:pt idx="11">
                  <c:v>2004</c:v>
                </c:pt>
                <c:pt idx="12">
                  <c:v>2008</c:v>
                </c:pt>
                <c:pt idx="13">
                  <c:v>2011</c:v>
                </c:pt>
                <c:pt idx="14">
                  <c:v>2013</c:v>
                </c:pt>
                <c:pt idx="15">
                  <c:v>2014</c:v>
                </c:pt>
                <c:pt idx="16">
                  <c:v>2015</c:v>
                </c:pt>
              </c:numCache>
            </c:numRef>
          </c:cat>
          <c:val>
            <c:numRef>
              <c:f>'Marine PAs'!$E$54:$U$54</c:f>
              <c:numCache>
                <c:formatCode>0.00%</c:formatCode>
                <c:ptCount val="17"/>
                <c:pt idx="0">
                  <c:v>0</c:v>
                </c:pt>
                <c:pt idx="1">
                  <c:v>0</c:v>
                </c:pt>
                <c:pt idx="2">
                  <c:v>2.8828013763043214E-4</c:v>
                </c:pt>
                <c:pt idx="3">
                  <c:v>1.1299503991450968E-3</c:v>
                </c:pt>
                <c:pt idx="4">
                  <c:v>1.1377091884314829E-3</c:v>
                </c:pt>
                <c:pt idx="5">
                  <c:v>1.1718108822365227E-3</c:v>
                </c:pt>
                <c:pt idx="6">
                  <c:v>1.4100188576524411E-3</c:v>
                </c:pt>
                <c:pt idx="7">
                  <c:v>1.4851486230874397E-3</c:v>
                </c:pt>
                <c:pt idx="8">
                  <c:v>2.0894457861675244E-3</c:v>
                </c:pt>
                <c:pt idx="9">
                  <c:v>2.1913886884403727E-3</c:v>
                </c:pt>
                <c:pt idx="10">
                  <c:v>2.1913886884403727E-3</c:v>
                </c:pt>
                <c:pt idx="11">
                  <c:v>2.272661862951606E-3</c:v>
                </c:pt>
                <c:pt idx="12">
                  <c:v>2.283696509176454E-3</c:v>
                </c:pt>
                <c:pt idx="13">
                  <c:v>2.5155309858430051E-3</c:v>
                </c:pt>
                <c:pt idx="14">
                  <c:v>2.5155309858430051E-3</c:v>
                </c:pt>
                <c:pt idx="15">
                  <c:v>2.5155309858430051E-3</c:v>
                </c:pt>
                <c:pt idx="16">
                  <c:v>2.5155309858430051E-3</c:v>
                </c:pt>
              </c:numCache>
            </c:numRef>
          </c:val>
          <c:smooth val="0"/>
          <c:extLst>
            <c:ext xmlns:c16="http://schemas.microsoft.com/office/drawing/2014/chart" uri="{C3380CC4-5D6E-409C-BE32-E72D297353CC}">
              <c16:uniqueId val="{0000000B-31D1-4BB0-81F9-9AB0ED0F1AD6}"/>
            </c:ext>
          </c:extLst>
        </c:ser>
        <c:ser>
          <c:idx val="5"/>
          <c:order val="3"/>
          <c:tx>
            <c:strRef>
              <c:f>'Marine PAs'!$D$55</c:f>
              <c:strCache>
                <c:ptCount val="1"/>
                <c:pt idx="0">
                  <c:v>NDP Target for marine conservation</c:v>
                </c:pt>
              </c:strCache>
            </c:strRef>
          </c:tx>
          <c:spPr>
            <a:ln w="38100">
              <a:solidFill>
                <a:schemeClr val="tx1"/>
              </a:solidFill>
              <a:prstDash val="sysDot"/>
            </a:ln>
          </c:spPr>
          <c:marker>
            <c:symbol val="none"/>
          </c:marker>
          <c:cat>
            <c:numRef>
              <c:f>'Marine PAs'!$E$50:$U$50</c:f>
              <c:numCache>
                <c:formatCode>General</c:formatCode>
                <c:ptCount val="17"/>
                <c:pt idx="0">
                  <c:v>1964</c:v>
                </c:pt>
                <c:pt idx="1">
                  <c:v>1975</c:v>
                </c:pt>
                <c:pt idx="2">
                  <c:v>1976</c:v>
                </c:pt>
                <c:pt idx="3">
                  <c:v>1977</c:v>
                </c:pt>
                <c:pt idx="4">
                  <c:v>1979</c:v>
                </c:pt>
                <c:pt idx="5">
                  <c:v>1985</c:v>
                </c:pt>
                <c:pt idx="6">
                  <c:v>1987</c:v>
                </c:pt>
                <c:pt idx="7">
                  <c:v>1990</c:v>
                </c:pt>
                <c:pt idx="8">
                  <c:v>1991</c:v>
                </c:pt>
                <c:pt idx="9">
                  <c:v>2000</c:v>
                </c:pt>
                <c:pt idx="10">
                  <c:v>2001</c:v>
                </c:pt>
                <c:pt idx="11">
                  <c:v>2004</c:v>
                </c:pt>
                <c:pt idx="12">
                  <c:v>2008</c:v>
                </c:pt>
                <c:pt idx="13">
                  <c:v>2011</c:v>
                </c:pt>
                <c:pt idx="14">
                  <c:v>2013</c:v>
                </c:pt>
                <c:pt idx="15">
                  <c:v>2014</c:v>
                </c:pt>
                <c:pt idx="16">
                  <c:v>2015</c:v>
                </c:pt>
              </c:numCache>
            </c:numRef>
          </c:cat>
          <c:val>
            <c:numRef>
              <c:f>'Marine PAs'!$E$55:$U$55</c:f>
              <c:numCache>
                <c:formatCode>0.00%</c:formatCode>
                <c:ptCount val="17"/>
                <c:pt idx="14">
                  <c:v>4.0120674602469077E-3</c:v>
                </c:pt>
                <c:pt idx="15">
                  <c:v>8.3584738755143918E-3</c:v>
                </c:pt>
                <c:pt idx="16">
                  <c:v>1.2704880290781876E-2</c:v>
                </c:pt>
              </c:numCache>
            </c:numRef>
          </c:val>
          <c:smooth val="0"/>
          <c:extLst>
            <c:ext xmlns:c16="http://schemas.microsoft.com/office/drawing/2014/chart" uri="{C3380CC4-5D6E-409C-BE32-E72D297353CC}">
              <c16:uniqueId val="{0000000C-31D1-4BB0-81F9-9AB0ED0F1AD6}"/>
            </c:ext>
          </c:extLst>
        </c:ser>
        <c:dLbls>
          <c:showLegendKey val="0"/>
          <c:showVal val="0"/>
          <c:showCatName val="0"/>
          <c:showSerName val="0"/>
          <c:showPercent val="0"/>
          <c:showBubbleSize val="0"/>
        </c:dLbls>
        <c:smooth val="0"/>
        <c:axId val="714552896"/>
        <c:axId val="722390968"/>
      </c:lineChart>
      <c:catAx>
        <c:axId val="7145528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722390968"/>
        <c:crosses val="autoZero"/>
        <c:auto val="1"/>
        <c:lblAlgn val="ctr"/>
        <c:lblOffset val="100"/>
        <c:tickLblSkip val="2"/>
        <c:tickMarkSkip val="1"/>
        <c:noMultiLvlLbl val="0"/>
      </c:catAx>
      <c:valAx>
        <c:axId val="722390968"/>
        <c:scaling>
          <c:orientation val="minMax"/>
          <c:max val="1.4000000000000002E-2"/>
          <c:min val="0"/>
        </c:scaling>
        <c:delete val="0"/>
        <c:axPos val="l"/>
        <c:majorGridlines>
          <c:spPr>
            <a:ln w="3175">
              <a:solidFill>
                <a:srgbClr val="C0C0C0"/>
              </a:solidFill>
              <a:prstDash val="sysDash"/>
            </a:ln>
          </c:spPr>
        </c:majorGridlines>
        <c:title>
          <c:tx>
            <c:rich>
              <a:bodyPr/>
              <a:lstStyle/>
              <a:p>
                <a:pPr>
                  <a:defRPr/>
                </a:pPr>
                <a:r>
                  <a:rPr lang="en-ZA"/>
                  <a:t>Percentage</a:t>
                </a:r>
              </a:p>
            </c:rich>
          </c:tx>
          <c:layout>
            <c:manualLayout>
              <c:xMode val="edge"/>
              <c:yMode val="edge"/>
              <c:x val="2.33959285250771E-2"/>
              <c:y val="0.37579813992152616"/>
            </c:manualLayout>
          </c:layout>
          <c:overlay val="0"/>
        </c:title>
        <c:numFmt formatCode="0.0%" sourceLinked="0"/>
        <c:majorTickMark val="none"/>
        <c:minorTickMark val="none"/>
        <c:tickLblPos val="nextTo"/>
        <c:spPr>
          <a:ln w="12700">
            <a:solidFill>
              <a:schemeClr val="tx1"/>
            </a:solidFill>
          </a:ln>
        </c:spPr>
        <c:txPr>
          <a:bodyPr rot="0" vert="horz"/>
          <a:lstStyle/>
          <a:p>
            <a:pPr>
              <a:defRPr/>
            </a:pPr>
            <a:endParaRPr lang="en-US"/>
          </a:p>
        </c:txPr>
        <c:crossAx val="714552896"/>
        <c:crosses val="autoZero"/>
        <c:crossBetween val="between"/>
        <c:majorUnit val="1.0000000000000002E-3"/>
      </c:valAx>
      <c:spPr>
        <a:gradFill>
          <a:gsLst>
            <a:gs pos="100000">
              <a:schemeClr val="bg1"/>
            </a:gs>
            <a:gs pos="100000">
              <a:schemeClr val="tx2">
                <a:lumMod val="60000"/>
                <a:lumOff val="40000"/>
              </a:schemeClr>
            </a:gs>
          </a:gsLst>
          <a:lin ang="5400000" scaled="1"/>
        </a:gradFill>
      </c:spPr>
    </c:plotArea>
    <c:legend>
      <c:legendPos val="r"/>
      <c:layout>
        <c:manualLayout>
          <c:xMode val="edge"/>
          <c:yMode val="edge"/>
          <c:x val="0.75398184381881839"/>
          <c:y val="0.18209796656040833"/>
          <c:w val="0.21788864420116497"/>
          <c:h val="0.54608524280485715"/>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01330951474057E-2"/>
          <c:y val="9.9689009462052558E-2"/>
          <c:w val="0.88432337782866144"/>
          <c:h val="0.72463552350073879"/>
        </c:manualLayout>
      </c:layout>
      <c:lineChart>
        <c:grouping val="standard"/>
        <c:varyColors val="0"/>
        <c:ser>
          <c:idx val="0"/>
          <c:order val="0"/>
          <c:tx>
            <c:strRef>
              <c:f>'G debt '!$D$8</c:f>
              <c:strCache>
                <c:ptCount val="1"/>
                <c:pt idx="0">
                  <c:v>Net Government Debt</c:v>
                </c:pt>
              </c:strCache>
            </c:strRef>
          </c:tx>
          <c:spPr>
            <a:ln w="15875">
              <a:solidFill>
                <a:srgbClr val="FF6600"/>
              </a:solidFill>
              <a:prstDash val="solid"/>
            </a:ln>
          </c:spPr>
          <c:marker>
            <c:symbol val="none"/>
          </c:marker>
          <c:cat>
            <c:strRef>
              <c:f>'G debt '!$F$7:$Y$7</c:f>
              <c:strCache>
                <c:ptCount val="20"/>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strCache>
            </c:strRef>
          </c:cat>
          <c:val>
            <c:numRef>
              <c:f>'G debt '!$F$8:$Y$8</c:f>
              <c:numCache>
                <c:formatCode>0.0</c:formatCode>
                <c:ptCount val="20"/>
                <c:pt idx="0">
                  <c:v>47</c:v>
                </c:pt>
                <c:pt idx="1">
                  <c:v>48</c:v>
                </c:pt>
                <c:pt idx="2">
                  <c:v>46.8</c:v>
                </c:pt>
                <c:pt idx="3">
                  <c:v>46.2</c:v>
                </c:pt>
                <c:pt idx="4">
                  <c:v>46.1</c:v>
                </c:pt>
                <c:pt idx="5">
                  <c:v>43.6</c:v>
                </c:pt>
                <c:pt idx="6">
                  <c:v>40.6</c:v>
                </c:pt>
                <c:pt idx="7">
                  <c:v>39.5</c:v>
                </c:pt>
                <c:pt idx="8">
                  <c:v>33.4</c:v>
                </c:pt>
                <c:pt idx="9">
                  <c:v>32.6</c:v>
                </c:pt>
                <c:pt idx="10">
                  <c:v>31.2</c:v>
                </c:pt>
                <c:pt idx="11">
                  <c:v>27.9</c:v>
                </c:pt>
                <c:pt idx="12">
                  <c:v>25</c:v>
                </c:pt>
                <c:pt idx="13">
                  <c:v>22.3</c:v>
                </c:pt>
                <c:pt idx="14">
                  <c:v>21.8</c:v>
                </c:pt>
                <c:pt idx="15">
                  <c:v>26.4</c:v>
                </c:pt>
                <c:pt idx="16">
                  <c:v>29</c:v>
                </c:pt>
                <c:pt idx="17">
                  <c:v>32.1</c:v>
                </c:pt>
                <c:pt idx="18">
                  <c:v>35.5</c:v>
                </c:pt>
                <c:pt idx="19">
                  <c:v>38.200000000000003</c:v>
                </c:pt>
              </c:numCache>
            </c:numRef>
          </c:val>
          <c:smooth val="0"/>
          <c:extLst>
            <c:ext xmlns:c16="http://schemas.microsoft.com/office/drawing/2014/chart" uri="{C3380CC4-5D6E-409C-BE32-E72D297353CC}">
              <c16:uniqueId val="{00000000-C372-43DC-AC60-3CBEE09E9AED}"/>
            </c:ext>
          </c:extLst>
        </c:ser>
        <c:dLbls>
          <c:showLegendKey val="0"/>
          <c:showVal val="0"/>
          <c:showCatName val="0"/>
          <c:showSerName val="0"/>
          <c:showPercent val="0"/>
          <c:showBubbleSize val="0"/>
        </c:dLbls>
        <c:smooth val="0"/>
        <c:axId val="399507288"/>
        <c:axId val="399507680"/>
      </c:lineChart>
      <c:catAx>
        <c:axId val="399507288"/>
        <c:scaling>
          <c:orientation val="minMax"/>
        </c:scaling>
        <c:delete val="0"/>
        <c:axPos val="b"/>
        <c:title>
          <c:tx>
            <c:rich>
              <a:bodyPr rot="-5400000" vert="horz"/>
              <a:lstStyle/>
              <a:p>
                <a:pPr algn="ctr">
                  <a:defRPr/>
                </a:pPr>
                <a:r>
                  <a:rPr lang="en-US"/>
                  <a:t>% of GDP</a:t>
                </a:r>
              </a:p>
            </c:rich>
          </c:tx>
          <c:layout>
            <c:manualLayout>
              <c:xMode val="edge"/>
              <c:yMode val="edge"/>
              <c:x val="6.042242321628262E-3"/>
              <c:y val="0.36824321959755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399507680"/>
        <c:crosses val="autoZero"/>
        <c:auto val="1"/>
        <c:lblAlgn val="ctr"/>
        <c:lblOffset val="100"/>
        <c:tickLblSkip val="1"/>
        <c:tickMarkSkip val="1"/>
        <c:noMultiLvlLbl val="0"/>
      </c:catAx>
      <c:valAx>
        <c:axId val="399507680"/>
        <c:scaling>
          <c:orientation val="minMax"/>
          <c:max val="60"/>
          <c:min val="20"/>
        </c:scaling>
        <c:delete val="0"/>
        <c:axPos val="l"/>
        <c:majorGridlines>
          <c:spPr>
            <a:ln w="3175">
              <a:solidFill>
                <a:srgbClr val="969696"/>
              </a:solidFill>
              <a:prstDash val="sysDash"/>
            </a:ln>
          </c:spPr>
        </c:majorGridlines>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507288"/>
        <c:crosses val="autoZero"/>
        <c:crossBetween val="midCat"/>
        <c:majorUnit val="5.5"/>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horizontalDpi="200" verticalDpi="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INTEREST RATES</a:t>
            </a:r>
          </a:p>
        </c:rich>
      </c:tx>
      <c:layout>
        <c:manualLayout>
          <c:xMode val="edge"/>
          <c:yMode val="edge"/>
          <c:x val="7.6359892883212085E-2"/>
          <c:y val="3.560834556697362E-2"/>
        </c:manualLayout>
      </c:layout>
      <c:overlay val="0"/>
      <c:spPr>
        <a:noFill/>
        <a:ln w="25400">
          <a:noFill/>
        </a:ln>
      </c:spPr>
    </c:title>
    <c:autoTitleDeleted val="0"/>
    <c:plotArea>
      <c:layout>
        <c:manualLayout>
          <c:layoutTarget val="inner"/>
          <c:xMode val="edge"/>
          <c:yMode val="edge"/>
          <c:x val="8.263598326359832E-2"/>
          <c:y val="0.14243344079400441"/>
          <c:w val="0.90271966527196656"/>
          <c:h val="0.58457057992537409"/>
        </c:manualLayout>
      </c:layout>
      <c:lineChart>
        <c:grouping val="standard"/>
        <c:varyColors val="0"/>
        <c:ser>
          <c:idx val="0"/>
          <c:order val="0"/>
          <c:tx>
            <c:strRef>
              <c:f>'Interest '!$D$9</c:f>
              <c:strCache>
                <c:ptCount val="1"/>
                <c:pt idx="0">
                  <c:v>Real Interest</c:v>
                </c:pt>
              </c:strCache>
            </c:strRef>
          </c:tx>
          <c:spPr>
            <a:ln w="25400">
              <a:solidFill>
                <a:srgbClr val="FF6600"/>
              </a:solidFill>
              <a:prstDash val="solid"/>
            </a:ln>
          </c:spPr>
          <c:marker>
            <c:symbol val="none"/>
          </c:marker>
          <c:cat>
            <c:strRef>
              <c:f>'Interest '!$E$8:$Z$8</c:f>
              <c:strCach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strCache>
            </c:strRef>
          </c:cat>
          <c:val>
            <c:numRef>
              <c:f>'Interest '!$E$9:$Z$9</c:f>
              <c:numCache>
                <c:formatCode>0.0</c:formatCode>
                <c:ptCount val="22"/>
                <c:pt idx="0">
                  <c:v>6.6833333333332998</c:v>
                </c:pt>
                <c:pt idx="1">
                  <c:v>9.1958333333333009</c:v>
                </c:pt>
                <c:pt idx="2">
                  <c:v>12.195833333333301</c:v>
                </c:pt>
                <c:pt idx="3">
                  <c:v>11.4</c:v>
                </c:pt>
                <c:pt idx="4">
                  <c:v>14.941666666666698</c:v>
                </c:pt>
                <c:pt idx="5">
                  <c:v>12.741666666666667</c:v>
                </c:pt>
                <c:pt idx="6">
                  <c:v>9.1750000000000007</c:v>
                </c:pt>
                <c:pt idx="7">
                  <c:v>8.0458333333333023</c:v>
                </c:pt>
                <c:pt idx="8">
                  <c:v>6.6</c:v>
                </c:pt>
                <c:pt idx="9">
                  <c:v>8.9916666666666352</c:v>
                </c:pt>
                <c:pt idx="10">
                  <c:v>9.9000000000000341</c:v>
                </c:pt>
                <c:pt idx="11">
                  <c:v>7.2249999999999996</c:v>
                </c:pt>
                <c:pt idx="12">
                  <c:v>6.5701017340088459</c:v>
                </c:pt>
                <c:pt idx="13">
                  <c:v>6.0916666666666996</c:v>
                </c:pt>
                <c:pt idx="14">
                  <c:v>3.5999999999999996</c:v>
                </c:pt>
                <c:pt idx="15">
                  <c:v>5.0499999999999652</c:v>
                </c:pt>
                <c:pt idx="16">
                  <c:v>5.5759173483131228</c:v>
                </c:pt>
                <c:pt idx="17">
                  <c:v>3.999527365535541</c:v>
                </c:pt>
                <c:pt idx="18">
                  <c:v>3.0964169967591415</c:v>
                </c:pt>
                <c:pt idx="19">
                  <c:v>2.7484662576687171</c:v>
                </c:pt>
                <c:pt idx="20">
                  <c:v>3</c:v>
                </c:pt>
                <c:pt idx="21">
                  <c:v>4.833333333333333</c:v>
                </c:pt>
              </c:numCache>
            </c:numRef>
          </c:val>
          <c:smooth val="0"/>
          <c:extLst>
            <c:ext xmlns:c16="http://schemas.microsoft.com/office/drawing/2014/chart" uri="{C3380CC4-5D6E-409C-BE32-E72D297353CC}">
              <c16:uniqueId val="{00000000-D2F3-4D3A-B5C2-F81950880F1F}"/>
            </c:ext>
          </c:extLst>
        </c:ser>
        <c:ser>
          <c:idx val="1"/>
          <c:order val="1"/>
          <c:tx>
            <c:strRef>
              <c:f>'Interest '!$D$10</c:f>
              <c:strCache>
                <c:ptCount val="1"/>
                <c:pt idx="0">
                  <c:v>Nominal Interest</c:v>
                </c:pt>
              </c:strCache>
            </c:strRef>
          </c:tx>
          <c:spPr>
            <a:ln w="25400"/>
          </c:spPr>
          <c:marker>
            <c:symbol val="none"/>
          </c:marker>
          <c:cat>
            <c:strRef>
              <c:f>'Interest '!$E$8:$Z$8</c:f>
              <c:strCach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strCache>
            </c:strRef>
          </c:cat>
          <c:val>
            <c:numRef>
              <c:f>'Interest '!$E$10:$Z$10</c:f>
              <c:numCache>
                <c:formatCode>0.0</c:formatCode>
                <c:ptCount val="22"/>
                <c:pt idx="0">
                  <c:v>15.5833333333333</c:v>
                </c:pt>
                <c:pt idx="1">
                  <c:v>17.8958333333333</c:v>
                </c:pt>
                <c:pt idx="2">
                  <c:v>19.5208333333333</c:v>
                </c:pt>
                <c:pt idx="3">
                  <c:v>20</c:v>
                </c:pt>
                <c:pt idx="4">
                  <c:v>21.7916666666667</c:v>
                </c:pt>
                <c:pt idx="5">
                  <c:v>18</c:v>
                </c:pt>
                <c:pt idx="6">
                  <c:v>14.5</c:v>
                </c:pt>
                <c:pt idx="7">
                  <c:v>13.7708333333333</c:v>
                </c:pt>
                <c:pt idx="8">
                  <c:v>15.75</c:v>
                </c:pt>
                <c:pt idx="9">
                  <c:v>14.9583333333333</c:v>
                </c:pt>
                <c:pt idx="10">
                  <c:v>11.2916666666667</c:v>
                </c:pt>
                <c:pt idx="11">
                  <c:v>10.625</c:v>
                </c:pt>
                <c:pt idx="12">
                  <c:v>11.1666666666667</c:v>
                </c:pt>
                <c:pt idx="13">
                  <c:v>13.1666666666667</c:v>
                </c:pt>
                <c:pt idx="14">
                  <c:v>15.125</c:v>
                </c:pt>
                <c:pt idx="15">
                  <c:v>11.7083333333333</c:v>
                </c:pt>
                <c:pt idx="16">
                  <c:v>9.8333333333333304</c:v>
                </c:pt>
                <c:pt idx="17">
                  <c:v>9</c:v>
                </c:pt>
                <c:pt idx="18">
                  <c:v>8.75</c:v>
                </c:pt>
                <c:pt idx="19" formatCode="General">
                  <c:v>8.5</c:v>
                </c:pt>
                <c:pt idx="20" formatCode="General">
                  <c:v>9.1</c:v>
                </c:pt>
                <c:pt idx="21">
                  <c:v>9.4166666666666661</c:v>
                </c:pt>
              </c:numCache>
            </c:numRef>
          </c:val>
          <c:smooth val="0"/>
          <c:extLst>
            <c:ext xmlns:c16="http://schemas.microsoft.com/office/drawing/2014/chart" uri="{C3380CC4-5D6E-409C-BE32-E72D297353CC}">
              <c16:uniqueId val="{00000001-D2F3-4D3A-B5C2-F81950880F1F}"/>
            </c:ext>
          </c:extLst>
        </c:ser>
        <c:dLbls>
          <c:showLegendKey val="0"/>
          <c:showVal val="0"/>
          <c:showCatName val="0"/>
          <c:showSerName val="0"/>
          <c:showPercent val="0"/>
          <c:showBubbleSize val="0"/>
        </c:dLbls>
        <c:smooth val="0"/>
        <c:axId val="399513560"/>
        <c:axId val="399508856"/>
      </c:lineChart>
      <c:catAx>
        <c:axId val="399513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08856"/>
        <c:crossesAt val="-5"/>
        <c:auto val="1"/>
        <c:lblAlgn val="ctr"/>
        <c:lblOffset val="100"/>
        <c:tickLblSkip val="1"/>
        <c:tickMarkSkip val="1"/>
        <c:noMultiLvlLbl val="0"/>
      </c:catAx>
      <c:valAx>
        <c:axId val="39950885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rate (%)</a:t>
                </a:r>
              </a:p>
            </c:rich>
          </c:tx>
          <c:layout>
            <c:manualLayout>
              <c:xMode val="edge"/>
              <c:yMode val="edge"/>
              <c:x val="2.8242712264517231E-2"/>
              <c:y val="0.400594332488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3560"/>
        <c:crosses val="autoZero"/>
        <c:crossBetween val="between"/>
        <c:majorUnit val="4.5"/>
      </c:valAx>
      <c:spPr>
        <a:solidFill>
          <a:srgbClr val="FFFFFF"/>
        </a:solidFill>
        <a:ln w="25400">
          <a:noFill/>
        </a:ln>
      </c:spPr>
    </c:plotArea>
    <c:legend>
      <c:legendPos val="r"/>
      <c:layout>
        <c:manualLayout>
          <c:xMode val="edge"/>
          <c:yMode val="edge"/>
          <c:x val="0.34053083601236239"/>
          <c:y val="0.91270430179278428"/>
          <c:w val="0.26955314017700455"/>
          <c:h val="6.8248079159596631E-2"/>
        </c:manualLayout>
      </c:layout>
      <c:overlay val="0"/>
      <c:spPr>
        <a:solidFill>
          <a:srgbClr val="FFFFFF"/>
        </a:solidFill>
        <a:ln w="25400">
          <a:noFill/>
        </a:ln>
      </c:spPr>
      <c:txPr>
        <a:bodyPr/>
        <a:lstStyle/>
        <a:p>
          <a:pPr>
            <a:defRPr lang="en-US"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paperSize="9" orientation="landscape" horizontalDpi="0"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1000104447791"/>
          <c:y val="6.5138675924788281E-2"/>
          <c:w val="0.877045744763291"/>
          <c:h val="0.66186529037441144"/>
        </c:manualLayout>
      </c:layout>
      <c:lineChart>
        <c:grouping val="standard"/>
        <c:varyColors val="0"/>
        <c:ser>
          <c:idx val="0"/>
          <c:order val="0"/>
          <c:tx>
            <c:strRef>
              <c:f>'Interest '!$C$42</c:f>
              <c:strCache>
                <c:ptCount val="1"/>
                <c:pt idx="0">
                  <c:v>Real interest</c:v>
                </c:pt>
              </c:strCache>
            </c:strRef>
          </c:tx>
          <c:spPr>
            <a:ln w="15875">
              <a:solidFill>
                <a:srgbClr val="FF6600"/>
              </a:solidFill>
              <a:prstDash val="solid"/>
            </a:ln>
          </c:spPr>
          <c:marker>
            <c:symbol val="none"/>
          </c:marker>
          <c:cat>
            <c:multiLvlStrRef>
              <c:f>'Interest '!$E$40:$CF$41</c:f>
              <c:multiLvlStrCache>
                <c:ptCount val="80"/>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lvl>
                <c:lvl>
                  <c:pt idx="0">
                    <c:v>1995</c:v>
                  </c:pt>
                  <c:pt idx="4">
                    <c:v>1996</c:v>
                  </c:pt>
                  <c:pt idx="8">
                    <c:v>1997</c:v>
                  </c:pt>
                  <c:pt idx="12">
                    <c:v>1998</c:v>
                  </c:pt>
                  <c:pt idx="16">
                    <c:v>1999</c:v>
                  </c:pt>
                  <c:pt idx="20">
                    <c:v>2000</c:v>
                  </c:pt>
                  <c:pt idx="24">
                    <c:v>2001</c:v>
                  </c:pt>
                  <c:pt idx="28">
                    <c:v>2002</c:v>
                  </c:pt>
                  <c:pt idx="32">
                    <c:v>2003</c:v>
                  </c:pt>
                  <c:pt idx="36">
                    <c:v>2004</c:v>
                  </c:pt>
                  <c:pt idx="40">
                    <c:v>2005</c:v>
                  </c:pt>
                  <c:pt idx="44">
                    <c:v>2006</c:v>
                  </c:pt>
                  <c:pt idx="48">
                    <c:v>2007</c:v>
                  </c:pt>
                  <c:pt idx="52">
                    <c:v>2008</c:v>
                  </c:pt>
                  <c:pt idx="56">
                    <c:v>2009</c:v>
                  </c:pt>
                  <c:pt idx="60">
                    <c:v>2010</c:v>
                  </c:pt>
                  <c:pt idx="64">
                    <c:v>2011</c:v>
                  </c:pt>
                  <c:pt idx="68">
                    <c:v>2012</c:v>
                  </c:pt>
                  <c:pt idx="72">
                    <c:v>2013</c:v>
                  </c:pt>
                  <c:pt idx="76">
                    <c:v>2014</c:v>
                  </c:pt>
                </c:lvl>
              </c:multiLvlStrCache>
            </c:multiLvlStrRef>
          </c:cat>
          <c:val>
            <c:numRef>
              <c:f>'Interest '!$E$42:$CF$42</c:f>
              <c:numCache>
                <c:formatCode>0.0</c:formatCode>
                <c:ptCount val="80"/>
                <c:pt idx="0">
                  <c:v>7.2843183342609361</c:v>
                </c:pt>
                <c:pt idx="1">
                  <c:v>7.7009850009276359</c:v>
                </c:pt>
                <c:pt idx="2">
                  <c:v>8.7009850009276359</c:v>
                </c:pt>
                <c:pt idx="3">
                  <c:v>8.7009850009276359</c:v>
                </c:pt>
                <c:pt idx="4">
                  <c:v>8.7009850009276359</c:v>
                </c:pt>
                <c:pt idx="5">
                  <c:v>10.367651667594336</c:v>
                </c:pt>
                <c:pt idx="6">
                  <c:v>9.7009850009276359</c:v>
                </c:pt>
                <c:pt idx="7">
                  <c:v>10.117651667594336</c:v>
                </c:pt>
                <c:pt idx="8">
                  <c:v>10.450985000927636</c:v>
                </c:pt>
                <c:pt idx="9">
                  <c:v>10.450985000927636</c:v>
                </c:pt>
                <c:pt idx="10">
                  <c:v>10.450985000927636</c:v>
                </c:pt>
                <c:pt idx="11">
                  <c:v>9.4509850009276359</c:v>
                </c:pt>
                <c:pt idx="12">
                  <c:v>9.1176516675943358</c:v>
                </c:pt>
                <c:pt idx="13">
                  <c:v>9.7843183342609361</c:v>
                </c:pt>
                <c:pt idx="14">
                  <c:v>15.200985000927636</c:v>
                </c:pt>
                <c:pt idx="15">
                  <c:v>13.867651667594336</c:v>
                </c:pt>
                <c:pt idx="16">
                  <c:v>11.200985000927636</c:v>
                </c:pt>
                <c:pt idx="17">
                  <c:v>8.8676516675943358</c:v>
                </c:pt>
                <c:pt idx="18">
                  <c:v>7.0343183342609361</c:v>
                </c:pt>
                <c:pt idx="19">
                  <c:v>5.7009850009276359</c:v>
                </c:pt>
                <c:pt idx="20">
                  <c:v>4.7009850009276359</c:v>
                </c:pt>
                <c:pt idx="21">
                  <c:v>4.7009850009276359</c:v>
                </c:pt>
                <c:pt idx="22">
                  <c:v>4.7009850009276359</c:v>
                </c:pt>
                <c:pt idx="23">
                  <c:v>4.7009850009276359</c:v>
                </c:pt>
                <c:pt idx="24">
                  <c:v>4.7009850009276359</c:v>
                </c:pt>
                <c:pt idx="25">
                  <c:v>4.4509850009276359</c:v>
                </c:pt>
                <c:pt idx="26">
                  <c:v>3.5343183342609361</c:v>
                </c:pt>
                <c:pt idx="27">
                  <c:v>3.2009850009276359</c:v>
                </c:pt>
                <c:pt idx="28">
                  <c:v>4.5343183342609361</c:v>
                </c:pt>
                <c:pt idx="29">
                  <c:v>5.5343183342609361</c:v>
                </c:pt>
                <c:pt idx="30">
                  <c:v>6.5343183342609361</c:v>
                </c:pt>
                <c:pt idx="31">
                  <c:v>7.2009850009276359</c:v>
                </c:pt>
                <c:pt idx="32">
                  <c:v>7.2009850009276359</c:v>
                </c:pt>
                <c:pt idx="33">
                  <c:v>6.7009850009276359</c:v>
                </c:pt>
                <c:pt idx="34">
                  <c:v>4.7009850009276359</c:v>
                </c:pt>
                <c:pt idx="35">
                  <c:v>2.0343183342609361</c:v>
                </c:pt>
                <c:pt idx="36">
                  <c:v>1.7009850009276359</c:v>
                </c:pt>
                <c:pt idx="37">
                  <c:v>1.7009850009276359</c:v>
                </c:pt>
                <c:pt idx="38">
                  <c:v>1.3676516675943358</c:v>
                </c:pt>
                <c:pt idx="39">
                  <c:v>1.2009850009276359</c:v>
                </c:pt>
                <c:pt idx="40">
                  <c:v>1.2009850009276359</c:v>
                </c:pt>
                <c:pt idx="41">
                  <c:v>0.70098500092763594</c:v>
                </c:pt>
                <c:pt idx="42">
                  <c:v>0.70098500092763594</c:v>
                </c:pt>
                <c:pt idx="43">
                  <c:v>0.70098500092763594</c:v>
                </c:pt>
                <c:pt idx="44">
                  <c:v>0.70098500092763594</c:v>
                </c:pt>
                <c:pt idx="45">
                  <c:v>0.86765166759433576</c:v>
                </c:pt>
                <c:pt idx="46">
                  <c:v>1.5343183342609361</c:v>
                </c:pt>
                <c:pt idx="47">
                  <c:v>2.3676516675943358</c:v>
                </c:pt>
                <c:pt idx="48">
                  <c:v>2.7009850009276359</c:v>
                </c:pt>
                <c:pt idx="49">
                  <c:v>2.8676516675943358</c:v>
                </c:pt>
                <c:pt idx="50">
                  <c:v>3.5343183342609361</c:v>
                </c:pt>
                <c:pt idx="51">
                  <c:v>4.3676516675943358</c:v>
                </c:pt>
                <c:pt idx="52">
                  <c:v>4.7009850009276359</c:v>
                </c:pt>
                <c:pt idx="53">
                  <c:v>5.3676516675943358</c:v>
                </c:pt>
                <c:pt idx="54">
                  <c:v>5.7009850009276359</c:v>
                </c:pt>
                <c:pt idx="55">
                  <c:v>5.5343183342609361</c:v>
                </c:pt>
                <c:pt idx="56">
                  <c:v>4.2009850009276359</c:v>
                </c:pt>
                <c:pt idx="57">
                  <c:v>1.8676516675943358</c:v>
                </c:pt>
                <c:pt idx="58">
                  <c:v>0.86765166759433576</c:v>
                </c:pt>
                <c:pt idx="59">
                  <c:v>0.70098500092763594</c:v>
                </c:pt>
                <c:pt idx="60">
                  <c:v>0.53431833426093611</c:v>
                </c:pt>
                <c:pt idx="61">
                  <c:v>0.20098500092763594</c:v>
                </c:pt>
                <c:pt idx="62">
                  <c:v>3.431833426096631E-2</c:v>
                </c:pt>
                <c:pt idx="63">
                  <c:v>-0.63234833240569444</c:v>
                </c:pt>
                <c:pt idx="64">
                  <c:v>-0.79901499907236406</c:v>
                </c:pt>
                <c:pt idx="65">
                  <c:v>-0.79901499907236406</c:v>
                </c:pt>
                <c:pt idx="66">
                  <c:v>-0.79901499907236406</c:v>
                </c:pt>
                <c:pt idx="67">
                  <c:v>-0.79901499907236406</c:v>
                </c:pt>
                <c:pt idx="68">
                  <c:v>-0.79901499907236406</c:v>
                </c:pt>
                <c:pt idx="69">
                  <c:v>-0.79901499907236406</c:v>
                </c:pt>
                <c:pt idx="70">
                  <c:v>-1.2990149990723641</c:v>
                </c:pt>
                <c:pt idx="71">
                  <c:v>-1.2990149990723641</c:v>
                </c:pt>
                <c:pt idx="72">
                  <c:v>-1.2990149990723641</c:v>
                </c:pt>
                <c:pt idx="73">
                  <c:v>-1.2990149990723641</c:v>
                </c:pt>
                <c:pt idx="74">
                  <c:v>-1.2990149990723641</c:v>
                </c:pt>
                <c:pt idx="75">
                  <c:v>-1.2990149990723641</c:v>
                </c:pt>
                <c:pt idx="76">
                  <c:v>-0.79901499907236406</c:v>
                </c:pt>
                <c:pt idx="77">
                  <c:v>-0.79901499907236406</c:v>
                </c:pt>
                <c:pt idx="78">
                  <c:v>-0.54901499907236406</c:v>
                </c:pt>
                <c:pt idx="79">
                  <c:v>-0.54901499907236406</c:v>
                </c:pt>
              </c:numCache>
            </c:numRef>
          </c:val>
          <c:smooth val="0"/>
          <c:extLst>
            <c:ext xmlns:c16="http://schemas.microsoft.com/office/drawing/2014/chart" uri="{C3380CC4-5D6E-409C-BE32-E72D297353CC}">
              <c16:uniqueId val="{00000000-A576-4D8B-BCFC-8BFEAAABF9E7}"/>
            </c:ext>
          </c:extLst>
        </c:ser>
        <c:ser>
          <c:idx val="1"/>
          <c:order val="1"/>
          <c:tx>
            <c:strRef>
              <c:f>'Interest '!$C$43</c:f>
              <c:strCache>
                <c:ptCount val="1"/>
                <c:pt idx="0">
                  <c:v>Nominal interest</c:v>
                </c:pt>
              </c:strCache>
            </c:strRef>
          </c:tx>
          <c:spPr>
            <a:ln w="15875"/>
          </c:spPr>
          <c:marker>
            <c:symbol val="none"/>
          </c:marker>
          <c:cat>
            <c:multiLvlStrRef>
              <c:f>'Interest '!$E$40:$CF$41</c:f>
              <c:multiLvlStrCache>
                <c:ptCount val="80"/>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lvl>
                <c:lvl>
                  <c:pt idx="0">
                    <c:v>1995</c:v>
                  </c:pt>
                  <c:pt idx="4">
                    <c:v>1996</c:v>
                  </c:pt>
                  <c:pt idx="8">
                    <c:v>1997</c:v>
                  </c:pt>
                  <c:pt idx="12">
                    <c:v>1998</c:v>
                  </c:pt>
                  <c:pt idx="16">
                    <c:v>1999</c:v>
                  </c:pt>
                  <c:pt idx="20">
                    <c:v>2000</c:v>
                  </c:pt>
                  <c:pt idx="24">
                    <c:v>2001</c:v>
                  </c:pt>
                  <c:pt idx="28">
                    <c:v>2002</c:v>
                  </c:pt>
                  <c:pt idx="32">
                    <c:v>2003</c:v>
                  </c:pt>
                  <c:pt idx="36">
                    <c:v>2004</c:v>
                  </c:pt>
                  <c:pt idx="40">
                    <c:v>2005</c:v>
                  </c:pt>
                  <c:pt idx="44">
                    <c:v>2006</c:v>
                  </c:pt>
                  <c:pt idx="48">
                    <c:v>2007</c:v>
                  </c:pt>
                  <c:pt idx="52">
                    <c:v>2008</c:v>
                  </c:pt>
                  <c:pt idx="56">
                    <c:v>2009</c:v>
                  </c:pt>
                  <c:pt idx="60">
                    <c:v>2010</c:v>
                  </c:pt>
                  <c:pt idx="64">
                    <c:v>2011</c:v>
                  </c:pt>
                  <c:pt idx="68">
                    <c:v>2012</c:v>
                  </c:pt>
                  <c:pt idx="72">
                    <c:v>2013</c:v>
                  </c:pt>
                  <c:pt idx="76">
                    <c:v>2014</c:v>
                  </c:pt>
                </c:lvl>
              </c:multiLvlStrCache>
            </c:multiLvlStrRef>
          </c:cat>
          <c:val>
            <c:numRef>
              <c:f>'Interest '!$E$43:$CF$43</c:f>
              <c:numCache>
                <c:formatCode>0.0</c:formatCode>
                <c:ptCount val="80"/>
                <c:pt idx="0">
                  <c:v>17.0833333333333</c:v>
                </c:pt>
                <c:pt idx="1">
                  <c:v>17.5</c:v>
                </c:pt>
                <c:pt idx="2">
                  <c:v>18.5</c:v>
                </c:pt>
                <c:pt idx="3">
                  <c:v>18.5</c:v>
                </c:pt>
                <c:pt idx="4">
                  <c:v>18.5</c:v>
                </c:pt>
                <c:pt idx="5">
                  <c:v>20.1666666666667</c:v>
                </c:pt>
                <c:pt idx="6">
                  <c:v>19.5</c:v>
                </c:pt>
                <c:pt idx="7">
                  <c:v>19.9166666666667</c:v>
                </c:pt>
                <c:pt idx="8">
                  <c:v>20.25</c:v>
                </c:pt>
                <c:pt idx="9">
                  <c:v>20.25</c:v>
                </c:pt>
                <c:pt idx="10">
                  <c:v>20.25</c:v>
                </c:pt>
                <c:pt idx="11">
                  <c:v>19.25</c:v>
                </c:pt>
                <c:pt idx="12">
                  <c:v>18.9166666666667</c:v>
                </c:pt>
                <c:pt idx="13">
                  <c:v>19.5833333333333</c:v>
                </c:pt>
                <c:pt idx="14">
                  <c:v>25</c:v>
                </c:pt>
                <c:pt idx="15">
                  <c:v>23.6666666666667</c:v>
                </c:pt>
                <c:pt idx="16">
                  <c:v>21</c:v>
                </c:pt>
                <c:pt idx="17">
                  <c:v>18.6666666666667</c:v>
                </c:pt>
                <c:pt idx="18">
                  <c:v>16.8333333333333</c:v>
                </c:pt>
                <c:pt idx="19">
                  <c:v>15.5</c:v>
                </c:pt>
                <c:pt idx="20">
                  <c:v>14.5</c:v>
                </c:pt>
                <c:pt idx="21">
                  <c:v>14.5</c:v>
                </c:pt>
                <c:pt idx="22">
                  <c:v>14.5</c:v>
                </c:pt>
                <c:pt idx="23">
                  <c:v>14.5</c:v>
                </c:pt>
                <c:pt idx="24">
                  <c:v>14.5</c:v>
                </c:pt>
                <c:pt idx="25">
                  <c:v>14.25</c:v>
                </c:pt>
                <c:pt idx="26">
                  <c:v>13.3333333333333</c:v>
                </c:pt>
                <c:pt idx="27">
                  <c:v>13</c:v>
                </c:pt>
                <c:pt idx="28">
                  <c:v>14.3333333333333</c:v>
                </c:pt>
                <c:pt idx="29">
                  <c:v>15.3333333333333</c:v>
                </c:pt>
                <c:pt idx="30">
                  <c:v>16.3333333333333</c:v>
                </c:pt>
                <c:pt idx="31">
                  <c:v>17</c:v>
                </c:pt>
                <c:pt idx="32">
                  <c:v>17</c:v>
                </c:pt>
                <c:pt idx="33">
                  <c:v>16.5</c:v>
                </c:pt>
                <c:pt idx="34">
                  <c:v>14.5</c:v>
                </c:pt>
                <c:pt idx="35">
                  <c:v>11.8333333333333</c:v>
                </c:pt>
                <c:pt idx="36">
                  <c:v>11.5</c:v>
                </c:pt>
                <c:pt idx="37">
                  <c:v>11.5</c:v>
                </c:pt>
                <c:pt idx="38">
                  <c:v>11.1666666666667</c:v>
                </c:pt>
                <c:pt idx="39">
                  <c:v>11</c:v>
                </c:pt>
                <c:pt idx="40">
                  <c:v>11</c:v>
                </c:pt>
                <c:pt idx="41">
                  <c:v>10.5</c:v>
                </c:pt>
                <c:pt idx="42">
                  <c:v>10.5</c:v>
                </c:pt>
                <c:pt idx="43">
                  <c:v>10.5</c:v>
                </c:pt>
                <c:pt idx="44">
                  <c:v>10.5</c:v>
                </c:pt>
                <c:pt idx="45">
                  <c:v>10.6666666666667</c:v>
                </c:pt>
                <c:pt idx="46">
                  <c:v>11.3333333333333</c:v>
                </c:pt>
                <c:pt idx="47">
                  <c:v>12.1666666666667</c:v>
                </c:pt>
                <c:pt idx="48">
                  <c:v>12.5</c:v>
                </c:pt>
                <c:pt idx="49">
                  <c:v>12.6666666666667</c:v>
                </c:pt>
                <c:pt idx="50">
                  <c:v>13.3333333333333</c:v>
                </c:pt>
                <c:pt idx="51">
                  <c:v>14.1666666666667</c:v>
                </c:pt>
                <c:pt idx="52">
                  <c:v>14.5</c:v>
                </c:pt>
                <c:pt idx="53">
                  <c:v>15.1666666666667</c:v>
                </c:pt>
                <c:pt idx="54">
                  <c:v>15.5</c:v>
                </c:pt>
                <c:pt idx="55">
                  <c:v>15.3333333333333</c:v>
                </c:pt>
                <c:pt idx="56">
                  <c:v>14</c:v>
                </c:pt>
                <c:pt idx="57">
                  <c:v>11.6666666666667</c:v>
                </c:pt>
                <c:pt idx="58">
                  <c:v>10.6666666666667</c:v>
                </c:pt>
                <c:pt idx="59">
                  <c:v>10.5</c:v>
                </c:pt>
                <c:pt idx="60">
                  <c:v>10.3333333333333</c:v>
                </c:pt>
                <c:pt idx="61">
                  <c:v>10</c:v>
                </c:pt>
                <c:pt idx="62">
                  <c:v>9.8333333333333304</c:v>
                </c:pt>
                <c:pt idx="63">
                  <c:v>9.1666666666666696</c:v>
                </c:pt>
                <c:pt idx="64">
                  <c:v>9</c:v>
                </c:pt>
                <c:pt idx="65">
                  <c:v>9</c:v>
                </c:pt>
                <c:pt idx="66">
                  <c:v>9</c:v>
                </c:pt>
                <c:pt idx="67">
                  <c:v>9</c:v>
                </c:pt>
                <c:pt idx="68">
                  <c:v>9</c:v>
                </c:pt>
                <c:pt idx="69">
                  <c:v>9</c:v>
                </c:pt>
                <c:pt idx="70">
                  <c:v>8.5</c:v>
                </c:pt>
                <c:pt idx="71">
                  <c:v>8.5</c:v>
                </c:pt>
                <c:pt idx="72">
                  <c:v>8.5</c:v>
                </c:pt>
                <c:pt idx="73">
                  <c:v>8.5</c:v>
                </c:pt>
                <c:pt idx="74">
                  <c:v>8.5</c:v>
                </c:pt>
                <c:pt idx="75">
                  <c:v>8.5</c:v>
                </c:pt>
                <c:pt idx="76">
                  <c:v>9</c:v>
                </c:pt>
                <c:pt idx="77">
                  <c:v>9</c:v>
                </c:pt>
                <c:pt idx="78">
                  <c:v>9.25</c:v>
                </c:pt>
                <c:pt idx="79">
                  <c:v>9.25</c:v>
                </c:pt>
              </c:numCache>
            </c:numRef>
          </c:val>
          <c:smooth val="0"/>
          <c:extLst>
            <c:ext xmlns:c16="http://schemas.microsoft.com/office/drawing/2014/chart" uri="{C3380CC4-5D6E-409C-BE32-E72D297353CC}">
              <c16:uniqueId val="{00000001-A576-4D8B-BCFC-8BFEAAABF9E7}"/>
            </c:ext>
          </c:extLst>
        </c:ser>
        <c:dLbls>
          <c:showLegendKey val="0"/>
          <c:showVal val="0"/>
          <c:showCatName val="0"/>
          <c:showSerName val="0"/>
          <c:showPercent val="0"/>
          <c:showBubbleSize val="0"/>
        </c:dLbls>
        <c:smooth val="0"/>
        <c:axId val="399510424"/>
        <c:axId val="399512384"/>
      </c:lineChart>
      <c:catAx>
        <c:axId val="399510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512384"/>
        <c:crossesAt val="-4.5"/>
        <c:auto val="1"/>
        <c:lblAlgn val="ctr"/>
        <c:lblOffset val="100"/>
        <c:tickLblSkip val="1"/>
        <c:tickMarkSkip val="1"/>
        <c:noMultiLvlLbl val="0"/>
      </c:catAx>
      <c:valAx>
        <c:axId val="399512384"/>
        <c:scaling>
          <c:orientation val="minMax"/>
        </c:scaling>
        <c:delete val="0"/>
        <c:axPos val="l"/>
        <c:majorGridlines>
          <c:spPr>
            <a:ln w="3175">
              <a:solidFill>
                <a:srgbClr val="969696"/>
              </a:solidFill>
              <a:prstDash val="sysDash"/>
            </a:ln>
          </c:spPr>
        </c:majorGridlines>
        <c:title>
          <c:tx>
            <c:rich>
              <a:bodyPr/>
              <a:lstStyle/>
              <a:p>
                <a:pPr>
                  <a:defRPr/>
                </a:pPr>
                <a:r>
                  <a:rPr lang="en-US"/>
                  <a:t>rate (%)</a:t>
                </a:r>
              </a:p>
            </c:rich>
          </c:tx>
          <c:layout>
            <c:manualLayout>
              <c:xMode val="edge"/>
              <c:yMode val="edge"/>
              <c:x val="2.8242712264517231E-2"/>
              <c:y val="0.400594332488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510424"/>
        <c:crosses val="autoZero"/>
        <c:crossBetween val="between"/>
        <c:majorUnit val="4.5"/>
      </c:valAx>
      <c:spPr>
        <a:solidFill>
          <a:srgbClr val="FFFFFF"/>
        </a:solidFill>
        <a:ln w="25400">
          <a:noFill/>
        </a:ln>
      </c:spPr>
    </c:plotArea>
    <c:legend>
      <c:legendPos val="r"/>
      <c:layout>
        <c:manualLayout>
          <c:xMode val="edge"/>
          <c:yMode val="edge"/>
          <c:x val="0.34053083601236239"/>
          <c:y val="0.91270430179278428"/>
          <c:w val="0.26955314017700455"/>
          <c:h val="6.8248079159596631E-2"/>
        </c:manualLayout>
      </c:layout>
      <c:overlay val="0"/>
      <c:spPr>
        <a:solidFill>
          <a:srgbClr val="FFFFFF"/>
        </a:solidFill>
        <a:ln w="25400">
          <a:noFill/>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paperSize="9" orientation="landscape" horizontalDpi="0"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INFLATION MEASURES</a:t>
            </a:r>
          </a:p>
        </c:rich>
      </c:tx>
      <c:layout>
        <c:manualLayout>
          <c:xMode val="edge"/>
          <c:yMode val="edge"/>
          <c:x val="3.6764703192588732E-2"/>
          <c:y val="2.4539758617129381E-2"/>
        </c:manualLayout>
      </c:layout>
      <c:overlay val="0"/>
      <c:spPr>
        <a:noFill/>
        <a:ln w="25400">
          <a:noFill/>
        </a:ln>
      </c:spPr>
    </c:title>
    <c:autoTitleDeleted val="0"/>
    <c:plotArea>
      <c:layout>
        <c:manualLayout>
          <c:layoutTarget val="inner"/>
          <c:xMode val="edge"/>
          <c:yMode val="edge"/>
          <c:x val="6.25E-2"/>
          <c:y val="0.13190184049080042"/>
          <c:w val="0.92463235294117663"/>
          <c:h val="0.5981595092024431"/>
        </c:manualLayout>
      </c:layout>
      <c:lineChart>
        <c:grouping val="standard"/>
        <c:varyColors val="0"/>
        <c:ser>
          <c:idx val="0"/>
          <c:order val="0"/>
          <c:tx>
            <c:strRef>
              <c:f>[4]Inflation!$C$47</c:f>
              <c:strCache>
                <c:ptCount val="1"/>
                <c:pt idx="0">
                  <c:v>CPI </c:v>
                </c:pt>
              </c:strCache>
            </c:strRef>
          </c:tx>
          <c:spPr>
            <a:ln w="25400">
              <a:solidFill>
                <a:srgbClr val="993300"/>
              </a:solidFill>
              <a:prstDash val="solid"/>
            </a:ln>
          </c:spPr>
          <c:marker>
            <c:symbol val="none"/>
          </c:marker>
          <c:cat>
            <c:multiLvlStrRef>
              <c:f>[4]Inflation!$D$45:$BL$46</c:f>
              <c:multiLvlStrCache>
                <c:ptCount val="61"/>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lvl>
              </c:multiLvlStrCache>
            </c:multiLvlStrRef>
          </c:cat>
          <c:val>
            <c:numRef>
              <c:f>[4]Inflation!$D$47:$BL$47</c:f>
              <c:numCache>
                <c:formatCode>General</c:formatCode>
                <c:ptCount val="61"/>
                <c:pt idx="0">
                  <c:v>9.6700796359499392</c:v>
                </c:pt>
                <c:pt idx="1">
                  <c:v>7.1545603495357799</c:v>
                </c:pt>
                <c:pt idx="2">
                  <c:v>9.1299677765843299</c:v>
                </c:pt>
                <c:pt idx="3">
                  <c:v>9.7987288135593307</c:v>
                </c:pt>
                <c:pt idx="4">
                  <c:v>9.9585062240664008</c:v>
                </c:pt>
                <c:pt idx="5">
                  <c:v>10.6523955147808</c:v>
                </c:pt>
                <c:pt idx="6">
                  <c:v>7.72637795275591</c:v>
                </c:pt>
                <c:pt idx="7">
                  <c:v>6.5605402797877401</c:v>
                </c:pt>
                <c:pt idx="8">
                  <c:v>6.50943396226414</c:v>
                </c:pt>
                <c:pt idx="9">
                  <c:v>6.0801473975126799</c:v>
                </c:pt>
                <c:pt idx="10">
                  <c:v>7.6290543627226999</c:v>
                </c:pt>
                <c:pt idx="11">
                  <c:v>9.1444092349479202</c:v>
                </c:pt>
                <c:pt idx="12">
                  <c:v>9.6102745792736908</c:v>
                </c:pt>
                <c:pt idx="13">
                  <c:v>9.3790707772470601</c:v>
                </c:pt>
                <c:pt idx="14">
                  <c:v>8.6162988115449899</c:v>
                </c:pt>
                <c:pt idx="15">
                  <c:v>6.8851099128992104</c:v>
                </c:pt>
                <c:pt idx="16">
                  <c:v>5.4949494949495099</c:v>
                </c:pt>
                <c:pt idx="17">
                  <c:v>5.1210797935688896</c:v>
                </c:pt>
                <c:pt idx="18">
                  <c:v>7.73739742086752</c:v>
                </c:pt>
                <c:pt idx="19">
                  <c:v>9.0803259604191098</c:v>
                </c:pt>
                <c:pt idx="20">
                  <c:v>8.4641899655304194</c:v>
                </c:pt>
                <c:pt idx="21">
                  <c:v>7.2885196374622403</c:v>
                </c:pt>
                <c:pt idx="22">
                  <c:v>3.3369604642727602</c:v>
                </c:pt>
                <c:pt idx="23">
                  <c:v>1.9565990750622699</c:v>
                </c:pt>
                <c:pt idx="24">
                  <c:v>2.7895480225988898</c:v>
                </c:pt>
                <c:pt idx="25">
                  <c:v>4.9278423090461203</c:v>
                </c:pt>
                <c:pt idx="26">
                  <c:v>6.5988065988066102</c:v>
                </c:pt>
                <c:pt idx="27">
                  <c:v>7.0132588974179901</c:v>
                </c:pt>
                <c:pt idx="28">
                  <c:v>7.4201305393335497</c:v>
                </c:pt>
                <c:pt idx="29">
                  <c:v>6.4072458906407199</c:v>
                </c:pt>
                <c:pt idx="30">
                  <c:v>4.7744484688837598</c:v>
                </c:pt>
                <c:pt idx="31">
                  <c:v>4.3038800130420496</c:v>
                </c:pt>
                <c:pt idx="32">
                  <c:v>5.6923568915893901</c:v>
                </c:pt>
                <c:pt idx="33">
                  <c:v>7.7238335435056698</c:v>
                </c:pt>
                <c:pt idx="34">
                  <c:v>10.4022627278441</c:v>
                </c:pt>
                <c:pt idx="35">
                  <c:v>12.7539856205064</c:v>
                </c:pt>
                <c:pt idx="36">
                  <c:v>10.680786686838101</c:v>
                </c:pt>
                <c:pt idx="37">
                  <c:v>7.7846063798653802</c:v>
                </c:pt>
                <c:pt idx="38">
                  <c:v>4.6968403074295502</c:v>
                </c:pt>
                <c:pt idx="39">
                  <c:v>0.74854449681173596</c:v>
                </c:pt>
                <c:pt idx="40">
                  <c:v>0.43739748496444802</c:v>
                </c:pt>
                <c:pt idx="41">
                  <c:v>0.67879446103720598</c:v>
                </c:pt>
                <c:pt idx="42">
                  <c:v>1.2778684067427899</c:v>
                </c:pt>
                <c:pt idx="43">
                  <c:v>3.1645569620253098</c:v>
                </c:pt>
                <c:pt idx="44">
                  <c:v>2.8579205225911801</c:v>
                </c:pt>
                <c:pt idx="45">
                  <c:v>3.1823085221143299</c:v>
                </c:pt>
                <c:pt idx="46">
                  <c:v>3.8926174496644199</c:v>
                </c:pt>
                <c:pt idx="47">
                  <c:v>3.6543078154174502</c:v>
                </c:pt>
                <c:pt idx="48">
                  <c:v>3.75760783275999</c:v>
                </c:pt>
                <c:pt idx="49">
                  <c:v>4.02509147935183</c:v>
                </c:pt>
                <c:pt idx="50">
                  <c:v>5.2196382428940504</c:v>
                </c:pt>
                <c:pt idx="51">
                  <c:v>5.4554812146165697</c:v>
                </c:pt>
                <c:pt idx="52">
                  <c:v>5.9</c:v>
                </c:pt>
                <c:pt idx="53">
                  <c:v>7</c:v>
                </c:pt>
                <c:pt idx="54">
                  <c:v>7</c:v>
                </c:pt>
                <c:pt idx="55">
                  <c:v>8.4</c:v>
                </c:pt>
                <c:pt idx="56">
                  <c:v>9.1999999999999993</c:v>
                </c:pt>
                <c:pt idx="57">
                  <c:v>11.648661343354183</c:v>
                </c:pt>
                <c:pt idx="58">
                  <c:v>13.429752066115697</c:v>
                </c:pt>
                <c:pt idx="59">
                  <c:v>11.13109961771983</c:v>
                </c:pt>
                <c:pt idx="60">
                  <c:v>8.4</c:v>
                </c:pt>
              </c:numCache>
            </c:numRef>
          </c:val>
          <c:smooth val="0"/>
          <c:extLst>
            <c:ext xmlns:c16="http://schemas.microsoft.com/office/drawing/2014/chart" uri="{C3380CC4-5D6E-409C-BE32-E72D297353CC}">
              <c16:uniqueId val="{00000000-07B0-4D89-B19A-784C093948DC}"/>
            </c:ext>
          </c:extLst>
        </c:ser>
        <c:ser>
          <c:idx val="1"/>
          <c:order val="1"/>
          <c:tx>
            <c:strRef>
              <c:f>[4]Inflation!$C$48</c:f>
              <c:strCache>
                <c:ptCount val="1"/>
                <c:pt idx="0">
                  <c:v>CPIX</c:v>
                </c:pt>
              </c:strCache>
            </c:strRef>
          </c:tx>
          <c:spPr>
            <a:ln w="25400">
              <a:solidFill>
                <a:srgbClr val="FF6600"/>
              </a:solidFill>
              <a:prstDash val="solid"/>
            </a:ln>
          </c:spPr>
          <c:marker>
            <c:symbol val="none"/>
          </c:marker>
          <c:cat>
            <c:multiLvlStrRef>
              <c:f>[4]Inflation!$D$45:$BL$46</c:f>
              <c:multiLvlStrCache>
                <c:ptCount val="61"/>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lvl>
              </c:multiLvlStrCache>
            </c:multiLvlStrRef>
          </c:cat>
          <c:val>
            <c:numRef>
              <c:f>[4]Inflation!$D$48:$BK$48</c:f>
              <c:numCache>
                <c:formatCode>General</c:formatCode>
                <c:ptCount val="60"/>
                <c:pt idx="16">
                  <c:v>6.6</c:v>
                </c:pt>
                <c:pt idx="17">
                  <c:v>7</c:v>
                </c:pt>
                <c:pt idx="18">
                  <c:v>7.2</c:v>
                </c:pt>
                <c:pt idx="19">
                  <c:v>7.4</c:v>
                </c:pt>
                <c:pt idx="20">
                  <c:v>7.3</c:v>
                </c:pt>
                <c:pt idx="21">
                  <c:v>7</c:v>
                </c:pt>
                <c:pt idx="22">
                  <c:v>6.8</c:v>
                </c:pt>
                <c:pt idx="23">
                  <c:v>6.7</c:v>
                </c:pt>
                <c:pt idx="24">
                  <c:v>7.2</c:v>
                </c:pt>
                <c:pt idx="25">
                  <c:v>7.9</c:v>
                </c:pt>
                <c:pt idx="26">
                  <c:v>8</c:v>
                </c:pt>
                <c:pt idx="27">
                  <c:v>7.8</c:v>
                </c:pt>
                <c:pt idx="28">
                  <c:v>7.6</c:v>
                </c:pt>
                <c:pt idx="29">
                  <c:v>6.5</c:v>
                </c:pt>
                <c:pt idx="30">
                  <c:v>6.1</c:v>
                </c:pt>
                <c:pt idx="31">
                  <c:v>6.2</c:v>
                </c:pt>
                <c:pt idx="32">
                  <c:v>7.4</c:v>
                </c:pt>
                <c:pt idx="33">
                  <c:v>8.6999999999999993</c:v>
                </c:pt>
                <c:pt idx="34">
                  <c:v>9.9</c:v>
                </c:pt>
                <c:pt idx="35">
                  <c:v>11.1</c:v>
                </c:pt>
                <c:pt idx="36">
                  <c:v>9.5</c:v>
                </c:pt>
                <c:pt idx="37">
                  <c:v>7.5</c:v>
                </c:pt>
                <c:pt idx="38">
                  <c:v>6.1</c:v>
                </c:pt>
                <c:pt idx="39">
                  <c:v>4.2</c:v>
                </c:pt>
                <c:pt idx="40">
                  <c:v>4.5</c:v>
                </c:pt>
                <c:pt idx="41">
                  <c:v>4.5999999999999996</c:v>
                </c:pt>
                <c:pt idx="42">
                  <c:v>3.9</c:v>
                </c:pt>
                <c:pt idx="43">
                  <c:v>4.4000000000000004</c:v>
                </c:pt>
                <c:pt idx="44">
                  <c:v>3.4</c:v>
                </c:pt>
                <c:pt idx="45">
                  <c:v>3.7</c:v>
                </c:pt>
                <c:pt idx="46">
                  <c:v>4.5999999999999996</c:v>
                </c:pt>
                <c:pt idx="47">
                  <c:v>4.0999999999999996</c:v>
                </c:pt>
                <c:pt idx="48">
                  <c:v>4.2</c:v>
                </c:pt>
                <c:pt idx="49">
                  <c:v>4.2</c:v>
                </c:pt>
                <c:pt idx="50">
                  <c:v>5</c:v>
                </c:pt>
                <c:pt idx="51">
                  <c:v>5</c:v>
                </c:pt>
                <c:pt idx="52">
                  <c:v>5.2</c:v>
                </c:pt>
                <c:pt idx="53">
                  <c:v>6.4</c:v>
                </c:pt>
                <c:pt idx="54">
                  <c:v>6.5</c:v>
                </c:pt>
                <c:pt idx="55">
                  <c:v>7.9</c:v>
                </c:pt>
                <c:pt idx="56">
                  <c:v>8.6999999999999993</c:v>
                </c:pt>
                <c:pt idx="57">
                  <c:v>10.971786833855557</c:v>
                </c:pt>
                <c:pt idx="58">
                  <c:v>13.217886891714127</c:v>
                </c:pt>
                <c:pt idx="59">
                  <c:v>11.603875134553521</c:v>
                </c:pt>
              </c:numCache>
            </c:numRef>
          </c:val>
          <c:smooth val="0"/>
          <c:extLst>
            <c:ext xmlns:c16="http://schemas.microsoft.com/office/drawing/2014/chart" uri="{C3380CC4-5D6E-409C-BE32-E72D297353CC}">
              <c16:uniqueId val="{00000001-07B0-4D89-B19A-784C093948DC}"/>
            </c:ext>
          </c:extLst>
        </c:ser>
        <c:dLbls>
          <c:showLegendKey val="0"/>
          <c:showVal val="0"/>
          <c:showCatName val="0"/>
          <c:showSerName val="0"/>
          <c:showPercent val="0"/>
          <c:showBubbleSize val="0"/>
        </c:dLbls>
        <c:smooth val="0"/>
        <c:axId val="399689392"/>
        <c:axId val="399691352"/>
      </c:lineChart>
      <c:catAx>
        <c:axId val="399689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91352"/>
        <c:crosses val="autoZero"/>
        <c:auto val="1"/>
        <c:lblAlgn val="ctr"/>
        <c:lblOffset val="100"/>
        <c:tickLblSkip val="1"/>
        <c:tickMarkSkip val="1"/>
        <c:noMultiLvlLbl val="0"/>
      </c:catAx>
      <c:valAx>
        <c:axId val="399691352"/>
        <c:scaling>
          <c:orientation val="minMax"/>
        </c:scaling>
        <c:delete val="0"/>
        <c:axPos val="l"/>
        <c:majorGridlines>
          <c:spPr>
            <a:ln w="3175">
              <a:solidFill>
                <a:srgbClr val="C0C0C0"/>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rate</a:t>
                </a:r>
              </a:p>
            </c:rich>
          </c:tx>
          <c:layout>
            <c:manualLayout>
              <c:xMode val="edge"/>
              <c:yMode val="edge"/>
              <c:x val="1.4705844696242237E-2"/>
              <c:y val="0.3957055368078990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89392"/>
        <c:crosses val="autoZero"/>
        <c:crossBetween val="between"/>
        <c:majorUnit val="1.5"/>
      </c:valAx>
      <c:spPr>
        <a:solidFill>
          <a:srgbClr val="FFFFFF"/>
        </a:solidFill>
        <a:ln w="25400">
          <a:noFill/>
        </a:ln>
      </c:spPr>
    </c:plotArea>
    <c:legend>
      <c:legendPos val="r"/>
      <c:layout>
        <c:manualLayout>
          <c:xMode val="edge"/>
          <c:yMode val="edge"/>
          <c:x val="0.47518386421209546"/>
          <c:y val="0.92944773207696862"/>
          <c:w val="0.10386027966016442"/>
          <c:h val="6.1349722589024158E-2"/>
        </c:manualLayout>
      </c:layout>
      <c:overlay val="0"/>
      <c:spPr>
        <a:solidFill>
          <a:srgbClr val="FFFFFF"/>
        </a:solidFill>
        <a:ln w="25400">
          <a:noFill/>
        </a:ln>
      </c:spPr>
      <c:txPr>
        <a:bodyPr/>
        <a:lstStyle/>
        <a:p>
          <a:pPr>
            <a:defRPr lang="en-US"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INFLATION MEASURES</a:t>
            </a:r>
          </a:p>
        </c:rich>
      </c:tx>
      <c:layout>
        <c:manualLayout>
          <c:xMode val="edge"/>
          <c:yMode val="edge"/>
          <c:x val="3.6764639154443522E-2"/>
          <c:y val="2.4539758617129381E-2"/>
        </c:manualLayout>
      </c:layout>
      <c:overlay val="0"/>
      <c:spPr>
        <a:noFill/>
        <a:ln w="25400">
          <a:noFill/>
        </a:ln>
      </c:spPr>
    </c:title>
    <c:autoTitleDeleted val="0"/>
    <c:plotArea>
      <c:layout>
        <c:manualLayout>
          <c:layoutTarget val="inner"/>
          <c:xMode val="edge"/>
          <c:yMode val="edge"/>
          <c:x val="6.6662296765453752E-2"/>
          <c:y val="0.12362019964895693"/>
          <c:w val="0.92463235294117663"/>
          <c:h val="0.67851531472900795"/>
        </c:manualLayout>
      </c:layout>
      <c:lineChart>
        <c:grouping val="standard"/>
        <c:varyColors val="0"/>
        <c:ser>
          <c:idx val="0"/>
          <c:order val="0"/>
          <c:tx>
            <c:strRef>
              <c:f>'Inflation '!$C$45</c:f>
              <c:strCache>
                <c:ptCount val="1"/>
                <c:pt idx="0">
                  <c:v>CPI </c:v>
                </c:pt>
              </c:strCache>
            </c:strRef>
          </c:tx>
          <c:spPr>
            <a:ln w="25400">
              <a:solidFill>
                <a:srgbClr val="FF6600"/>
              </a:solidFill>
              <a:prstDash val="solid"/>
            </a:ln>
          </c:spPr>
          <c:marker>
            <c:symbol val="none"/>
          </c:marker>
          <c:cat>
            <c:strRef>
              <c:f>'Inflation '!$E$7:$Z$7</c:f>
              <c:strCach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strCache>
            </c:strRef>
          </c:cat>
          <c:val>
            <c:numRef>
              <c:f>'Inflation '!$E$8:$Z$8</c:f>
              <c:numCache>
                <c:formatCode>0.0</c:formatCode>
                <c:ptCount val="22"/>
                <c:pt idx="0">
                  <c:v>8.9</c:v>
                </c:pt>
                <c:pt idx="1">
                  <c:v>8.6999999999999993</c:v>
                </c:pt>
                <c:pt idx="2">
                  <c:v>7.3249999999999993</c:v>
                </c:pt>
                <c:pt idx="3">
                  <c:v>8.6</c:v>
                </c:pt>
                <c:pt idx="4">
                  <c:v>6.8500000000000005</c:v>
                </c:pt>
                <c:pt idx="5">
                  <c:v>5.2583333333333337</c:v>
                </c:pt>
                <c:pt idx="6">
                  <c:v>5.3250000000000002</c:v>
                </c:pt>
                <c:pt idx="7">
                  <c:v>5.7249999999999988</c:v>
                </c:pt>
                <c:pt idx="8">
                  <c:v>9.15</c:v>
                </c:pt>
                <c:pt idx="9">
                  <c:v>5.9666666666666659</c:v>
                </c:pt>
                <c:pt idx="10">
                  <c:v>1.3916666666666666</c:v>
                </c:pt>
                <c:pt idx="11">
                  <c:v>3.4</c:v>
                </c:pt>
                <c:pt idx="12">
                  <c:v>4.5965649326578539</c:v>
                </c:pt>
                <c:pt idx="13">
                  <c:v>7.0750000000000002</c:v>
                </c:pt>
                <c:pt idx="14">
                  <c:v>11.525</c:v>
                </c:pt>
                <c:pt idx="15">
                  <c:v>6.658333333333335</c:v>
                </c:pt>
                <c:pt idx="16">
                  <c:v>4.2574159850202076</c:v>
                </c:pt>
                <c:pt idx="17">
                  <c:v>5.000472634464459</c:v>
                </c:pt>
                <c:pt idx="18">
                  <c:v>5.6535830032408585</c:v>
                </c:pt>
                <c:pt idx="19">
                  <c:v>5.7515337423312829</c:v>
                </c:pt>
                <c:pt idx="20">
                  <c:v>6.1</c:v>
                </c:pt>
                <c:pt idx="21">
                  <c:v>4.583333333333333</c:v>
                </c:pt>
              </c:numCache>
            </c:numRef>
          </c:val>
          <c:smooth val="0"/>
          <c:extLst>
            <c:ext xmlns:c16="http://schemas.microsoft.com/office/drawing/2014/chart" uri="{C3380CC4-5D6E-409C-BE32-E72D297353CC}">
              <c16:uniqueId val="{00000000-C24A-442F-9C49-66148448424A}"/>
            </c:ext>
          </c:extLst>
        </c:ser>
        <c:dLbls>
          <c:showLegendKey val="0"/>
          <c:showVal val="0"/>
          <c:showCatName val="0"/>
          <c:showSerName val="0"/>
          <c:showPercent val="0"/>
          <c:showBubbleSize val="0"/>
        </c:dLbls>
        <c:smooth val="0"/>
        <c:axId val="399690960"/>
        <c:axId val="399688216"/>
      </c:lineChart>
      <c:catAx>
        <c:axId val="399690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88216"/>
        <c:crossesAt val="-3"/>
        <c:auto val="1"/>
        <c:lblAlgn val="ctr"/>
        <c:lblOffset val="100"/>
        <c:tickLblSkip val="1"/>
        <c:tickMarkSkip val="1"/>
        <c:noMultiLvlLbl val="0"/>
      </c:catAx>
      <c:valAx>
        <c:axId val="39968821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rate (%)</a:t>
                </a:r>
              </a:p>
            </c:rich>
          </c:tx>
          <c:layout>
            <c:manualLayout>
              <c:xMode val="edge"/>
              <c:yMode val="edge"/>
              <c:x val="1.4705822359040966E-2"/>
              <c:y val="0.39570553680789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90960"/>
        <c:crosses val="autoZero"/>
        <c:crossBetween val="between"/>
        <c:majorUnit val="1.5"/>
      </c:valAx>
      <c:spPr>
        <a:solidFill>
          <a:srgbClr val="FFFFFF"/>
        </a:solidFill>
        <a:ln w="25400">
          <a:noFill/>
        </a:ln>
      </c:spPr>
    </c:plotArea>
    <c:legend>
      <c:legendPos val="r"/>
      <c:layout>
        <c:manualLayout>
          <c:xMode val="edge"/>
          <c:yMode val="edge"/>
          <c:x val="0.47518392476911836"/>
          <c:y val="0.92944773207696862"/>
          <c:w val="7.3909052982895282E-2"/>
          <c:h val="4.0558920664404682E-2"/>
        </c:manualLayout>
      </c:layout>
      <c:overlay val="0"/>
      <c:spPr>
        <a:solidFill>
          <a:srgbClr val="FFFFFF"/>
        </a:solidFill>
        <a:ln w="25400">
          <a:noFill/>
        </a:ln>
      </c:spPr>
      <c:txPr>
        <a:bodyPr/>
        <a:lstStyle/>
        <a:p>
          <a:pPr>
            <a:defRPr lang="en-US"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2078697948267"/>
          <c:y val="8.6068597791534709E-2"/>
          <c:w val="0.87261154424156184"/>
          <c:h val="0.64399299343602145"/>
        </c:manualLayout>
      </c:layout>
      <c:lineChart>
        <c:grouping val="standard"/>
        <c:varyColors val="0"/>
        <c:ser>
          <c:idx val="0"/>
          <c:order val="0"/>
          <c:tx>
            <c:strRef>
              <c:f>'Inflation '!$C$45</c:f>
              <c:strCache>
                <c:ptCount val="1"/>
                <c:pt idx="0">
                  <c:v>CPI </c:v>
                </c:pt>
              </c:strCache>
            </c:strRef>
          </c:tx>
          <c:spPr>
            <a:ln w="15875">
              <a:solidFill>
                <a:srgbClr val="993300"/>
              </a:solidFill>
              <a:prstDash val="solid"/>
            </a:ln>
          </c:spPr>
          <c:marker>
            <c:symbol val="none"/>
          </c:marker>
          <c:cat>
            <c:multiLvlStrRef>
              <c:f>'Inflation '!$D$43:$CI$44</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'Inflation '!$D$45:$CI$45</c:f>
              <c:numCache>
                <c:formatCode>0.0</c:formatCode>
                <c:ptCount val="84"/>
                <c:pt idx="0">
                  <c:v>9.6690745326061922</c:v>
                </c:pt>
                <c:pt idx="1">
                  <c:v>7.1544990447711898</c:v>
                </c:pt>
                <c:pt idx="2">
                  <c:v>9.1298236892189308</c:v>
                </c:pt>
                <c:pt idx="3">
                  <c:v>9.7990149990723641</c:v>
                </c:pt>
                <c:pt idx="4">
                  <c:v>9.9593442253082856</c:v>
                </c:pt>
                <c:pt idx="5">
                  <c:v>10.65216088388572</c:v>
                </c:pt>
                <c:pt idx="6">
                  <c:v>7.7265495256930494</c:v>
                </c:pt>
                <c:pt idx="7">
                  <c:v>6.5617362329769779</c:v>
                </c:pt>
                <c:pt idx="8">
                  <c:v>6.5085679673837493</c:v>
                </c:pt>
                <c:pt idx="9">
                  <c:v>6.0804774256866922</c:v>
                </c:pt>
                <c:pt idx="10">
                  <c:v>7.6291228387665333</c:v>
                </c:pt>
                <c:pt idx="11">
                  <c:v>9.1451219295645814</c:v>
                </c:pt>
                <c:pt idx="12">
                  <c:v>9.6107740626719895</c:v>
                </c:pt>
                <c:pt idx="13">
                  <c:v>9.3789086252066056</c:v>
                </c:pt>
                <c:pt idx="14">
                  <c:v>8.6163234263308741</c:v>
                </c:pt>
                <c:pt idx="15">
                  <c:v>6.8816620113169469</c:v>
                </c:pt>
                <c:pt idx="16">
                  <c:v>6.5767284991568031</c:v>
                </c:pt>
                <c:pt idx="17">
                  <c:v>6.9565217391304168</c:v>
                </c:pt>
                <c:pt idx="18">
                  <c:v>7.2505091649695208</c:v>
                </c:pt>
                <c:pt idx="19">
                  <c:v>7.4074074074073737</c:v>
                </c:pt>
                <c:pt idx="20">
                  <c:v>7.2784810126582</c:v>
                </c:pt>
                <c:pt idx="21">
                  <c:v>7.00735578784355</c:v>
                </c:pt>
                <c:pt idx="22">
                  <c:v>6.7603494113178675</c:v>
                </c:pt>
                <c:pt idx="23">
                  <c:v>6.7091454272864004</c:v>
                </c:pt>
                <c:pt idx="24">
                  <c:v>7.1902654867256555</c:v>
                </c:pt>
                <c:pt idx="25">
                  <c:v>7.8509406657019554</c:v>
                </c:pt>
                <c:pt idx="26">
                  <c:v>8.0398434720736276</c:v>
                </c:pt>
                <c:pt idx="27">
                  <c:v>7.7976817702845036</c:v>
                </c:pt>
                <c:pt idx="28">
                  <c:v>7.602339181286899</c:v>
                </c:pt>
                <c:pt idx="29">
                  <c:v>6.5414290506544459</c:v>
                </c:pt>
                <c:pt idx="30">
                  <c:v>6.0915377016796501</c:v>
                </c:pt>
                <c:pt idx="31">
                  <c:v>6.2235255783646082</c:v>
                </c:pt>
                <c:pt idx="32">
                  <c:v>7.4168797953960697</c:v>
                </c:pt>
                <c:pt idx="33">
                  <c:v>8.7216624685135145</c:v>
                </c:pt>
                <c:pt idx="34">
                  <c:v>9.9317194289264332</c:v>
                </c:pt>
                <c:pt idx="35">
                  <c:v>11.134969325153342</c:v>
                </c:pt>
                <c:pt idx="36">
                  <c:v>9.5238095238098239</c:v>
                </c:pt>
                <c:pt idx="37">
                  <c:v>7.5296843324648144</c:v>
                </c:pt>
                <c:pt idx="38">
                  <c:v>6.0700169395815573</c:v>
                </c:pt>
                <c:pt idx="39">
                  <c:v>4.1954181617438469</c:v>
                </c:pt>
                <c:pt idx="40">
                  <c:v>4.4565217391298928</c:v>
                </c:pt>
                <c:pt idx="41">
                  <c:v>4.6054403447347125</c:v>
                </c:pt>
                <c:pt idx="42">
                  <c:v>3.8860793186055398</c:v>
                </c:pt>
                <c:pt idx="43">
                  <c:v>4.3708609271523313</c:v>
                </c:pt>
                <c:pt idx="44">
                  <c:v>3.4339229968782359</c:v>
                </c:pt>
                <c:pt idx="45">
                  <c:v>3.7332646755918963</c:v>
                </c:pt>
                <c:pt idx="46">
                  <c:v>4.5605944145526545</c:v>
                </c:pt>
                <c:pt idx="47">
                  <c:v>4.0609137055842792</c:v>
                </c:pt>
                <c:pt idx="48">
                  <c:v>4.2002012072437367</c:v>
                </c:pt>
                <c:pt idx="49">
                  <c:v>4.2194092827006591</c:v>
                </c:pt>
                <c:pt idx="50">
                  <c:v>4.9742710120071365</c:v>
                </c:pt>
                <c:pt idx="51">
                  <c:v>4.9756097560975654</c:v>
                </c:pt>
                <c:pt idx="52">
                  <c:v>5.2377504223990012</c:v>
                </c:pt>
                <c:pt idx="53">
                  <c:v>6.3586568230530771</c:v>
                </c:pt>
                <c:pt idx="54">
                  <c:v>6.489262371615534</c:v>
                </c:pt>
                <c:pt idx="55">
                  <c:v>7.9228624535311098</c:v>
                </c:pt>
                <c:pt idx="56">
                  <c:v>9.4036697247708911</c:v>
                </c:pt>
                <c:pt idx="57">
                  <c:v>10.971786833855557</c:v>
                </c:pt>
                <c:pt idx="58">
                  <c:v>13.217886891714127</c:v>
                </c:pt>
                <c:pt idx="59">
                  <c:v>11.603875134553521</c:v>
                </c:pt>
                <c:pt idx="60">
                  <c:v>8.377192982456183</c:v>
                </c:pt>
                <c:pt idx="61">
                  <c:v>7.7711357813833315</c:v>
                </c:pt>
                <c:pt idx="62">
                  <c:v>6.4182194616977606</c:v>
                </c:pt>
                <c:pt idx="63">
                  <c:v>6.0805258833197318</c:v>
                </c:pt>
                <c:pt idx="64">
                  <c:v>5.6657223796034328</c:v>
                </c:pt>
                <c:pt idx="65">
                  <c:v>4.5166402535657735</c:v>
                </c:pt>
                <c:pt idx="66">
                  <c:v>3.463035019455174</c:v>
                </c:pt>
                <c:pt idx="67">
                  <c:v>3.4469403563129664</c:v>
                </c:pt>
                <c:pt idx="68">
                  <c:v>3.8299502106472261</c:v>
                </c:pt>
                <c:pt idx="69">
                  <c:v>4.624715693707393</c:v>
                </c:pt>
                <c:pt idx="70">
                  <c:v>5.4531778864234326</c:v>
                </c:pt>
                <c:pt idx="71">
                  <c:v>6.0651441407711282</c:v>
                </c:pt>
                <c:pt idx="72">
                  <c:v>6.1232017705643349</c:v>
                </c:pt>
                <c:pt idx="73">
                  <c:v>5.7608695652173969</c:v>
                </c:pt>
                <c:pt idx="74">
                  <c:v>5.0998573466476849</c:v>
                </c:pt>
                <c:pt idx="75">
                  <c:v>5.6477232615602668</c:v>
                </c:pt>
                <c:pt idx="76">
                  <c:v>5.7003823427184575</c:v>
                </c:pt>
                <c:pt idx="77">
                  <c:v>5.6526207605344325</c:v>
                </c:pt>
                <c:pt idx="78">
                  <c:v>6.2436375975572167</c:v>
                </c:pt>
                <c:pt idx="79">
                  <c:v>5.4126294687607546</c:v>
                </c:pt>
                <c:pt idx="80">
                  <c:v>5.9191055573824203</c:v>
                </c:pt>
                <c:pt idx="81">
                  <c:v>6.4526588845651656</c:v>
                </c:pt>
                <c:pt idx="82">
                  <c:v>6.228042159054592</c:v>
                </c:pt>
                <c:pt idx="83">
                  <c:v>5.7369255150551357</c:v>
                </c:pt>
              </c:numCache>
            </c:numRef>
          </c:val>
          <c:smooth val="0"/>
          <c:extLst>
            <c:ext xmlns:c16="http://schemas.microsoft.com/office/drawing/2014/chart" uri="{C3380CC4-5D6E-409C-BE32-E72D297353CC}">
              <c16:uniqueId val="{00000000-E919-4DCD-A56E-18F6D94A6B3E}"/>
            </c:ext>
          </c:extLst>
        </c:ser>
        <c:dLbls>
          <c:showLegendKey val="0"/>
          <c:showVal val="0"/>
          <c:showCatName val="0"/>
          <c:showSerName val="0"/>
          <c:showPercent val="0"/>
          <c:showBubbleSize val="0"/>
        </c:dLbls>
        <c:smooth val="0"/>
        <c:axId val="399687432"/>
        <c:axId val="399688608"/>
      </c:lineChart>
      <c:catAx>
        <c:axId val="399687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688608"/>
        <c:crossesAt val="-3"/>
        <c:auto val="1"/>
        <c:lblAlgn val="ctr"/>
        <c:lblOffset val="100"/>
        <c:tickLblSkip val="1"/>
        <c:tickMarkSkip val="1"/>
        <c:noMultiLvlLbl val="0"/>
      </c:catAx>
      <c:valAx>
        <c:axId val="399688608"/>
        <c:scaling>
          <c:orientation val="minMax"/>
        </c:scaling>
        <c:delete val="0"/>
        <c:axPos val="l"/>
        <c:majorGridlines>
          <c:spPr>
            <a:ln w="3175">
              <a:solidFill>
                <a:srgbClr val="969696"/>
              </a:solidFill>
              <a:prstDash val="sysDash"/>
            </a:ln>
          </c:spPr>
        </c:majorGridlines>
        <c:title>
          <c:tx>
            <c:rich>
              <a:bodyPr/>
              <a:lstStyle/>
              <a:p>
                <a:pPr>
                  <a:defRPr/>
                </a:pPr>
                <a:r>
                  <a:rPr lang="en-US"/>
                  <a:t>rate (%)</a:t>
                </a:r>
              </a:p>
            </c:rich>
          </c:tx>
          <c:layout>
            <c:manualLayout>
              <c:xMode val="edge"/>
              <c:yMode val="edge"/>
              <c:x val="1.4705822359040966E-2"/>
              <c:y val="0.39570553680789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687432"/>
        <c:crosses val="autoZero"/>
        <c:crossBetween val="between"/>
        <c:majorUnit val="1.5"/>
      </c:valAx>
      <c:spPr>
        <a:solidFill>
          <a:srgbClr val="FFFFFF"/>
        </a:solidFill>
        <a:ln w="25400">
          <a:noFill/>
        </a:ln>
      </c:spPr>
    </c:plotArea>
    <c:legend>
      <c:legendPos val="r"/>
      <c:layout>
        <c:manualLayout>
          <c:xMode val="edge"/>
          <c:yMode val="edge"/>
          <c:x val="0.47518392476911836"/>
          <c:y val="0.92944773207696862"/>
          <c:w val="0.10386024506651176"/>
          <c:h val="6.1349722589024158E-2"/>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977" r="0.75000000000000977"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493185926173414E-2"/>
          <c:y val="6.2683993294612494E-2"/>
          <c:w val="0.91675495008878893"/>
          <c:h val="0.73291607031611317"/>
        </c:manualLayout>
      </c:layout>
      <c:lineChart>
        <c:grouping val="standard"/>
        <c:varyColors val="0"/>
        <c:ser>
          <c:idx val="0"/>
          <c:order val="0"/>
          <c:spPr>
            <a:ln w="25400">
              <a:solidFill>
                <a:srgbClr val="FF6600"/>
              </a:solidFill>
              <a:prstDash val="solid"/>
            </a:ln>
          </c:spPr>
          <c:marker>
            <c:symbol val="none"/>
          </c:marker>
          <c:cat>
            <c:strRef>
              <c:f>'GDP '!$F$7:$AA$7</c:f>
              <c:strCach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strCache>
            </c:strRef>
          </c:cat>
          <c:val>
            <c:numRef>
              <c:f>'GDP '!$F$9:$AA$9</c:f>
              <c:numCache>
                <c:formatCode>0.0</c:formatCode>
                <c:ptCount val="22"/>
                <c:pt idx="0">
                  <c:v>3.2340992465965446</c:v>
                </c:pt>
                <c:pt idx="1">
                  <c:v>3.1156957193492651</c:v>
                </c:pt>
                <c:pt idx="2">
                  <c:v>4.3066962105868072</c:v>
                </c:pt>
                <c:pt idx="3">
                  <c:v>2.646764319423383</c:v>
                </c:pt>
                <c:pt idx="4">
                  <c:v>0.51738274304229037</c:v>
                </c:pt>
                <c:pt idx="5">
                  <c:v>2.3581285988405085</c:v>
                </c:pt>
                <c:pt idx="6">
                  <c:v>4.1545885216350342</c:v>
                </c:pt>
                <c:pt idx="7">
                  <c:v>2.7354231498118367</c:v>
                </c:pt>
                <c:pt idx="8">
                  <c:v>3.6678376110939013</c:v>
                </c:pt>
                <c:pt idx="9">
                  <c:v>2.9490744246935492</c:v>
                </c:pt>
                <c:pt idx="10">
                  <c:v>4.5545699205685519</c:v>
                </c:pt>
                <c:pt idx="11">
                  <c:v>5.2771117349823538</c:v>
                </c:pt>
                <c:pt idx="12">
                  <c:v>5.6036647889724067</c:v>
                </c:pt>
                <c:pt idx="13">
                  <c:v>5.360465139616144</c:v>
                </c:pt>
                <c:pt idx="14">
                  <c:v>3.1910516450526449</c:v>
                </c:pt>
                <c:pt idx="15">
                  <c:v>-1.5381008639149374</c:v>
                </c:pt>
                <c:pt idx="16">
                  <c:v>3.039777062767457</c:v>
                </c:pt>
                <c:pt idx="17">
                  <c:v>3.3</c:v>
                </c:pt>
                <c:pt idx="18">
                  <c:v>2.21987486452353</c:v>
                </c:pt>
                <c:pt idx="19">
                  <c:v>2.2999999999999998</c:v>
                </c:pt>
                <c:pt idx="20">
                  <c:v>1.6</c:v>
                </c:pt>
                <c:pt idx="21">
                  <c:v>1.3</c:v>
                </c:pt>
              </c:numCache>
            </c:numRef>
          </c:val>
          <c:smooth val="0"/>
          <c:extLst>
            <c:ext xmlns:c16="http://schemas.microsoft.com/office/drawing/2014/chart" uri="{C3380CC4-5D6E-409C-BE32-E72D297353CC}">
              <c16:uniqueId val="{00000000-6F93-4874-9D43-695190D07D1A}"/>
            </c:ext>
          </c:extLst>
        </c:ser>
        <c:dLbls>
          <c:showLegendKey val="0"/>
          <c:showVal val="0"/>
          <c:showCatName val="0"/>
          <c:showSerName val="0"/>
          <c:showPercent val="0"/>
          <c:showBubbleSize val="0"/>
        </c:dLbls>
        <c:smooth val="0"/>
        <c:axId val="397415248"/>
        <c:axId val="397413680"/>
      </c:lineChart>
      <c:catAx>
        <c:axId val="3974152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7413680"/>
        <c:crossesAt val="-8"/>
        <c:auto val="1"/>
        <c:lblAlgn val="ctr"/>
        <c:lblOffset val="100"/>
        <c:tickLblSkip val="1"/>
        <c:tickMarkSkip val="1"/>
        <c:noMultiLvlLbl val="0"/>
      </c:catAx>
      <c:valAx>
        <c:axId val="397413680"/>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a:t>
                </a:r>
              </a:p>
            </c:rich>
          </c:tx>
          <c:layout>
            <c:manualLayout>
              <c:xMode val="edge"/>
              <c:yMode val="edge"/>
              <c:x val="1.6198698635339393E-2"/>
              <c:y val="0.4654101837270341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741524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paperSize="9" orientation="landscape" horizontalDpi="1200" verticalDpi="12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BOND POINTS SPREAD</a:t>
            </a:r>
          </a:p>
        </c:rich>
      </c:tx>
      <c:layout>
        <c:manualLayout>
          <c:xMode val="edge"/>
          <c:yMode val="edge"/>
          <c:x val="4.3325571657628403E-2"/>
          <c:y val="3.2608794271086483E-2"/>
        </c:manualLayout>
      </c:layout>
      <c:overlay val="0"/>
      <c:spPr>
        <a:noFill/>
        <a:ln w="25400">
          <a:noFill/>
        </a:ln>
      </c:spPr>
    </c:title>
    <c:autoTitleDeleted val="0"/>
    <c:plotArea>
      <c:layout>
        <c:manualLayout>
          <c:layoutTarget val="inner"/>
          <c:xMode val="edge"/>
          <c:yMode val="edge"/>
          <c:x val="7.2599531615925514E-2"/>
          <c:y val="0.15217445147776687"/>
          <c:w val="0.91100702576112358"/>
          <c:h val="0.61232100713672544"/>
        </c:manualLayout>
      </c:layout>
      <c:lineChart>
        <c:grouping val="standard"/>
        <c:varyColors val="0"/>
        <c:ser>
          <c:idx val="0"/>
          <c:order val="0"/>
          <c:tx>
            <c:strRef>
              <c:f>'Bondpoints Spread '!$D$8</c:f>
              <c:strCache>
                <c:ptCount val="1"/>
                <c:pt idx="0">
                  <c:v>Bond Points Spread</c:v>
                </c:pt>
              </c:strCache>
            </c:strRef>
          </c:tx>
          <c:spPr>
            <a:ln w="25400">
              <a:solidFill>
                <a:srgbClr val="FF6600"/>
              </a:solidFill>
              <a:prstDash val="solid"/>
            </a:ln>
          </c:spPr>
          <c:marker>
            <c:symbol val="none"/>
          </c:marker>
          <c:cat>
            <c:numRef>
              <c:f>'Bondpoints Spread '!$E$7:$V$7</c:f>
              <c:numCache>
                <c:formatCode>yyyy</c:formatCode>
                <c:ptCount val="18"/>
                <c:pt idx="0">
                  <c:v>36160</c:v>
                </c:pt>
                <c:pt idx="1">
                  <c:v>36525</c:v>
                </c:pt>
                <c:pt idx="2">
                  <c:v>36891</c:v>
                </c:pt>
                <c:pt idx="3">
                  <c:v>37256</c:v>
                </c:pt>
                <c:pt idx="4">
                  <c:v>37621</c:v>
                </c:pt>
                <c:pt idx="5">
                  <c:v>37986</c:v>
                </c:pt>
                <c:pt idx="6">
                  <c:v>38352</c:v>
                </c:pt>
                <c:pt idx="7">
                  <c:v>38717</c:v>
                </c:pt>
                <c:pt idx="8">
                  <c:v>39082</c:v>
                </c:pt>
                <c:pt idx="9">
                  <c:v>39447</c:v>
                </c:pt>
                <c:pt idx="10">
                  <c:v>39813</c:v>
                </c:pt>
                <c:pt idx="11">
                  <c:v>40178</c:v>
                </c:pt>
                <c:pt idx="12">
                  <c:v>40543</c:v>
                </c:pt>
                <c:pt idx="13">
                  <c:v>40908</c:v>
                </c:pt>
                <c:pt idx="14">
                  <c:v>41274</c:v>
                </c:pt>
                <c:pt idx="15">
                  <c:v>41275</c:v>
                </c:pt>
                <c:pt idx="16">
                  <c:v>41641</c:v>
                </c:pt>
                <c:pt idx="17">
                  <c:v>42007</c:v>
                </c:pt>
              </c:numCache>
            </c:numRef>
          </c:cat>
          <c:val>
            <c:numRef>
              <c:f>'Bondpoints Spread '!$E$8:$V$8</c:f>
              <c:numCache>
                <c:formatCode>0</c:formatCode>
                <c:ptCount val="18"/>
                <c:pt idx="0">
                  <c:v>412</c:v>
                </c:pt>
                <c:pt idx="1">
                  <c:v>424.75</c:v>
                </c:pt>
                <c:pt idx="2">
                  <c:v>333</c:v>
                </c:pt>
                <c:pt idx="3">
                  <c:v>305.5</c:v>
                </c:pt>
                <c:pt idx="4">
                  <c:v>266</c:v>
                </c:pt>
                <c:pt idx="5">
                  <c:v>178</c:v>
                </c:pt>
                <c:pt idx="6">
                  <c:v>147</c:v>
                </c:pt>
                <c:pt idx="7">
                  <c:v>99.25</c:v>
                </c:pt>
                <c:pt idx="8">
                  <c:v>92.25</c:v>
                </c:pt>
                <c:pt idx="9">
                  <c:v>105.25</c:v>
                </c:pt>
                <c:pt idx="10">
                  <c:v>339.25</c:v>
                </c:pt>
                <c:pt idx="11">
                  <c:v>308.75</c:v>
                </c:pt>
                <c:pt idx="12">
                  <c:v>186</c:v>
                </c:pt>
                <c:pt idx="13">
                  <c:v>193</c:v>
                </c:pt>
                <c:pt idx="14">
                  <c:v>206.75</c:v>
                </c:pt>
                <c:pt idx="15">
                  <c:v>231</c:v>
                </c:pt>
                <c:pt idx="16">
                  <c:v>223.25</c:v>
                </c:pt>
                <c:pt idx="17">
                  <c:v>288.75</c:v>
                </c:pt>
              </c:numCache>
            </c:numRef>
          </c:val>
          <c:smooth val="0"/>
          <c:extLst>
            <c:ext xmlns:c16="http://schemas.microsoft.com/office/drawing/2014/chart" uri="{C3380CC4-5D6E-409C-BE32-E72D297353CC}">
              <c16:uniqueId val="{00000000-4BA7-42F2-AD3F-AF31D7619910}"/>
            </c:ext>
          </c:extLst>
        </c:ser>
        <c:dLbls>
          <c:showLegendKey val="0"/>
          <c:showVal val="0"/>
          <c:showCatName val="0"/>
          <c:showSerName val="0"/>
          <c:showPercent val="0"/>
          <c:showBubbleSize val="0"/>
        </c:dLbls>
        <c:smooth val="0"/>
        <c:axId val="399685472"/>
        <c:axId val="399691744"/>
      </c:lineChart>
      <c:catAx>
        <c:axId val="399685472"/>
        <c:scaling>
          <c:orientation val="minMax"/>
        </c:scaling>
        <c:delete val="0"/>
        <c:axPos val="b"/>
        <c:numFmt formatCode="yyyy"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91744"/>
        <c:crosses val="autoZero"/>
        <c:auto val="0"/>
        <c:lblAlgn val="ctr"/>
        <c:lblOffset val="100"/>
        <c:tickLblSkip val="1"/>
        <c:tickMarkSkip val="1"/>
        <c:noMultiLvlLbl val="1"/>
      </c:catAx>
      <c:valAx>
        <c:axId val="399691744"/>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basis points</a:t>
                </a:r>
              </a:p>
            </c:rich>
          </c:tx>
          <c:layout>
            <c:manualLayout>
              <c:xMode val="edge"/>
              <c:yMode val="edge"/>
              <c:x val="1.522248434898945E-2"/>
              <c:y val="0.344204011535595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8547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Expenditure on R&amp;D </a:t>
            </a:r>
          </a:p>
        </c:rich>
      </c:tx>
      <c:layout>
        <c:manualLayout>
          <c:xMode val="edge"/>
          <c:yMode val="edge"/>
          <c:x val="4.4707971615384055E-2"/>
          <c:y val="1.1721611721611722E-2"/>
        </c:manualLayout>
      </c:layout>
      <c:overlay val="0"/>
    </c:title>
    <c:autoTitleDeleted val="0"/>
    <c:plotArea>
      <c:layout>
        <c:manualLayout>
          <c:layoutTarget val="inner"/>
          <c:xMode val="edge"/>
          <c:yMode val="edge"/>
          <c:x val="0.12635752570839937"/>
          <c:y val="9.7545960601078743E-2"/>
          <c:w val="0.78791312394154656"/>
          <c:h val="0.67555017161317321"/>
        </c:manualLayout>
      </c:layout>
      <c:barChart>
        <c:barDir val="col"/>
        <c:grouping val="stacked"/>
        <c:varyColors val="0"/>
        <c:ser>
          <c:idx val="0"/>
          <c:order val="0"/>
          <c:tx>
            <c:strRef>
              <c:f>'R&amp;D '!$D$59</c:f>
              <c:strCache>
                <c:ptCount val="1"/>
                <c:pt idx="0">
                  <c:v>Business enterprise</c:v>
                </c:pt>
              </c:strCache>
            </c:strRef>
          </c:tx>
          <c:spPr>
            <a:solidFill>
              <a:srgbClr val="FCD5B5"/>
            </a:solidFill>
          </c:spPr>
          <c:invertIfNegative val="0"/>
          <c:cat>
            <c:strRef>
              <c:f>'R&amp;D '!$F$58:$AA$58</c:f>
              <c:strCache>
                <c:ptCount val="22"/>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strCache>
            </c:strRef>
          </c:cat>
          <c:val>
            <c:numRef>
              <c:f>'R&amp;D '!$F$59:$AA$59</c:f>
              <c:numCache>
                <c:formatCode>#\ ###\ ###</c:formatCode>
                <c:ptCount val="22"/>
                <c:pt idx="0">
                  <c:v>1336227000</c:v>
                </c:pt>
                <c:pt idx="4">
                  <c:v>2216000000</c:v>
                </c:pt>
                <c:pt idx="8">
                  <c:v>4023576000</c:v>
                </c:pt>
                <c:pt idx="10">
                  <c:v>5591325000</c:v>
                </c:pt>
                <c:pt idx="11">
                  <c:v>6766361000</c:v>
                </c:pt>
                <c:pt idx="13">
                  <c:v>8243776000</c:v>
                </c:pt>
                <c:pt idx="14">
                  <c:v>9243165000</c:v>
                </c:pt>
                <c:pt idx="15">
                  <c:v>10738456000</c:v>
                </c:pt>
                <c:pt idx="16">
                  <c:v>12332012000</c:v>
                </c:pt>
                <c:pt idx="17">
                  <c:v>11139237000</c:v>
                </c:pt>
                <c:pt idx="18">
                  <c:v>10059010000</c:v>
                </c:pt>
                <c:pt idx="19">
                  <c:v>10464022000</c:v>
                </c:pt>
                <c:pt idx="20">
                  <c:v>10570726000</c:v>
                </c:pt>
                <c:pt idx="21">
                  <c:v>11782848000</c:v>
                </c:pt>
              </c:numCache>
            </c:numRef>
          </c:val>
          <c:extLst>
            <c:ext xmlns:c16="http://schemas.microsoft.com/office/drawing/2014/chart" uri="{C3380CC4-5D6E-409C-BE32-E72D297353CC}">
              <c16:uniqueId val="{00000000-6E02-4A38-B325-5B82CFE4984E}"/>
            </c:ext>
          </c:extLst>
        </c:ser>
        <c:ser>
          <c:idx val="1"/>
          <c:order val="1"/>
          <c:tx>
            <c:strRef>
              <c:f>'R&amp;D '!$D$60</c:f>
              <c:strCache>
                <c:ptCount val="1"/>
                <c:pt idx="0">
                  <c:v>Government</c:v>
                </c:pt>
              </c:strCache>
            </c:strRef>
          </c:tx>
          <c:spPr>
            <a:solidFill>
              <a:srgbClr val="F8A662"/>
            </a:solidFill>
          </c:spPr>
          <c:invertIfNegative val="0"/>
          <c:cat>
            <c:strRef>
              <c:f>'R&amp;D '!$F$58:$AA$58</c:f>
              <c:strCache>
                <c:ptCount val="22"/>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strCache>
            </c:strRef>
          </c:cat>
          <c:val>
            <c:numRef>
              <c:f>'R&amp;D '!$F$60:$AA$60</c:f>
              <c:numCache>
                <c:formatCode>#\ ###\ ###</c:formatCode>
                <c:ptCount val="22"/>
                <c:pt idx="0">
                  <c:v>810618000</c:v>
                </c:pt>
                <c:pt idx="4">
                  <c:v>1380000000</c:v>
                </c:pt>
                <c:pt idx="8">
                  <c:v>203110000</c:v>
                </c:pt>
                <c:pt idx="10">
                  <c:v>465367000</c:v>
                </c:pt>
                <c:pt idx="11">
                  <c:v>515331000</c:v>
                </c:pt>
                <c:pt idx="13">
                  <c:v>844640000</c:v>
                </c:pt>
                <c:pt idx="14">
                  <c:v>1021355000</c:v>
                </c:pt>
                <c:pt idx="15">
                  <c:v>1154399000</c:v>
                </c:pt>
                <c:pt idx="16">
                  <c:v>1139676000</c:v>
                </c:pt>
                <c:pt idx="17">
                  <c:v>1067302000</c:v>
                </c:pt>
                <c:pt idx="18">
                  <c:v>1011340000</c:v>
                </c:pt>
                <c:pt idx="19">
                  <c:v>1235669000</c:v>
                </c:pt>
                <c:pt idx="20">
                  <c:v>1437509000</c:v>
                </c:pt>
                <c:pt idx="21">
                  <c:v>1697151000</c:v>
                </c:pt>
              </c:numCache>
            </c:numRef>
          </c:val>
          <c:extLst>
            <c:ext xmlns:c16="http://schemas.microsoft.com/office/drawing/2014/chart" uri="{C3380CC4-5D6E-409C-BE32-E72D297353CC}">
              <c16:uniqueId val="{00000001-6E02-4A38-B325-5B82CFE4984E}"/>
            </c:ext>
          </c:extLst>
        </c:ser>
        <c:ser>
          <c:idx val="2"/>
          <c:order val="2"/>
          <c:tx>
            <c:strRef>
              <c:f>'R&amp;D '!$D$61</c:f>
              <c:strCache>
                <c:ptCount val="1"/>
                <c:pt idx="0">
                  <c:v>Higher education</c:v>
                </c:pt>
              </c:strCache>
            </c:strRef>
          </c:tx>
          <c:spPr>
            <a:solidFill>
              <a:srgbClr val="E46C0A"/>
            </a:solidFill>
          </c:spPr>
          <c:invertIfNegative val="0"/>
          <c:cat>
            <c:strRef>
              <c:f>'R&amp;D '!$F$58:$AA$58</c:f>
              <c:strCache>
                <c:ptCount val="22"/>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strCache>
            </c:strRef>
          </c:cat>
          <c:val>
            <c:numRef>
              <c:f>'R&amp;D '!$F$61:$AA$61</c:f>
              <c:numCache>
                <c:formatCode>#\ ###\ ###</c:formatCode>
                <c:ptCount val="22"/>
                <c:pt idx="0">
                  <c:v>415648000</c:v>
                </c:pt>
                <c:pt idx="4">
                  <c:v>496000000</c:v>
                </c:pt>
                <c:pt idx="8">
                  <c:v>1896156000</c:v>
                </c:pt>
                <c:pt idx="10">
                  <c:v>2071351000</c:v>
                </c:pt>
                <c:pt idx="11">
                  <c:v>2533971000</c:v>
                </c:pt>
                <c:pt idx="13">
                  <c:v>2732215000</c:v>
                </c:pt>
                <c:pt idx="14">
                  <c:v>3298808000</c:v>
                </c:pt>
                <c:pt idx="15">
                  <c:v>3621862000</c:v>
                </c:pt>
                <c:pt idx="16">
                  <c:v>4191366000</c:v>
                </c:pt>
                <c:pt idx="17">
                  <c:v>5101224000</c:v>
                </c:pt>
                <c:pt idx="18">
                  <c:v>5424602000</c:v>
                </c:pt>
                <c:pt idx="19">
                  <c:v>6609216000</c:v>
                </c:pt>
                <c:pt idx="20">
                  <c:v>7333153000</c:v>
                </c:pt>
                <c:pt idx="21">
                  <c:v>7292853000</c:v>
                </c:pt>
              </c:numCache>
            </c:numRef>
          </c:val>
          <c:extLst>
            <c:ext xmlns:c16="http://schemas.microsoft.com/office/drawing/2014/chart" uri="{C3380CC4-5D6E-409C-BE32-E72D297353CC}">
              <c16:uniqueId val="{00000002-6E02-4A38-B325-5B82CFE4984E}"/>
            </c:ext>
          </c:extLst>
        </c:ser>
        <c:ser>
          <c:idx val="3"/>
          <c:order val="3"/>
          <c:tx>
            <c:strRef>
              <c:f>'R&amp;D '!$D$62</c:f>
              <c:strCache>
                <c:ptCount val="1"/>
                <c:pt idx="0">
                  <c:v>Not-for-profit</c:v>
                </c:pt>
              </c:strCache>
            </c:strRef>
          </c:tx>
          <c:spPr>
            <a:solidFill>
              <a:srgbClr val="984807"/>
            </a:solidFill>
          </c:spPr>
          <c:invertIfNegative val="0"/>
          <c:cat>
            <c:strRef>
              <c:f>'R&amp;D '!$F$58:$AA$58</c:f>
              <c:strCache>
                <c:ptCount val="22"/>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strCache>
            </c:strRef>
          </c:cat>
          <c:val>
            <c:numRef>
              <c:f>'R&amp;D '!$F$62:$AA$62</c:f>
              <c:numCache>
                <c:formatCode>#\ ###\ ###</c:formatCode>
                <c:ptCount val="22"/>
                <c:pt idx="0">
                  <c:v>31615000</c:v>
                </c:pt>
                <c:pt idx="4">
                  <c:v>11000000</c:v>
                </c:pt>
                <c:pt idx="8">
                  <c:v>70778000</c:v>
                </c:pt>
                <c:pt idx="10">
                  <c:v>209023000</c:v>
                </c:pt>
                <c:pt idx="11">
                  <c:v>198268000</c:v>
                </c:pt>
                <c:pt idx="13">
                  <c:v>226514000</c:v>
                </c:pt>
                <c:pt idx="14">
                  <c:v>212538000</c:v>
                </c:pt>
                <c:pt idx="15">
                  <c:v>223202000</c:v>
                </c:pt>
                <c:pt idx="16">
                  <c:v>240649000</c:v>
                </c:pt>
                <c:pt idx="17">
                  <c:v>188840000</c:v>
                </c:pt>
                <c:pt idx="18">
                  <c:v>162830000</c:v>
                </c:pt>
                <c:pt idx="19">
                  <c:v>170605000</c:v>
                </c:pt>
                <c:pt idx="20">
                  <c:v>503833000</c:v>
                </c:pt>
                <c:pt idx="21">
                  <c:v>583165000</c:v>
                </c:pt>
              </c:numCache>
            </c:numRef>
          </c:val>
          <c:extLst>
            <c:ext xmlns:c16="http://schemas.microsoft.com/office/drawing/2014/chart" uri="{C3380CC4-5D6E-409C-BE32-E72D297353CC}">
              <c16:uniqueId val="{00000003-6E02-4A38-B325-5B82CFE4984E}"/>
            </c:ext>
          </c:extLst>
        </c:ser>
        <c:ser>
          <c:idx val="4"/>
          <c:order val="4"/>
          <c:tx>
            <c:strRef>
              <c:f>'R&amp;D '!$D$63</c:f>
              <c:strCache>
                <c:ptCount val="1"/>
                <c:pt idx="0">
                  <c:v>Science councils</c:v>
                </c:pt>
              </c:strCache>
            </c:strRef>
          </c:tx>
          <c:spPr>
            <a:solidFill>
              <a:srgbClr val="C83C14"/>
            </a:solidFill>
          </c:spPr>
          <c:invertIfNegative val="0"/>
          <c:cat>
            <c:strRef>
              <c:f>'R&amp;D '!$F$58:$AA$58</c:f>
              <c:strCache>
                <c:ptCount val="22"/>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strCache>
            </c:strRef>
          </c:cat>
          <c:val>
            <c:numRef>
              <c:f>'R&amp;D '!$F$63:$AA$63</c:f>
              <c:numCache>
                <c:formatCode>#\ ###\ ###</c:formatCode>
                <c:ptCount val="22"/>
                <c:pt idx="8">
                  <c:v>1294454000</c:v>
                </c:pt>
                <c:pt idx="10">
                  <c:v>1745493000</c:v>
                </c:pt>
                <c:pt idx="11">
                  <c:v>1996050000</c:v>
                </c:pt>
                <c:pt idx="13">
                  <c:v>2102094000</c:v>
                </c:pt>
                <c:pt idx="14">
                  <c:v>2744718000</c:v>
                </c:pt>
                <c:pt idx="15">
                  <c:v>2886094000</c:v>
                </c:pt>
                <c:pt idx="16">
                  <c:v>3137343000</c:v>
                </c:pt>
                <c:pt idx="17">
                  <c:v>3458074000</c:v>
                </c:pt>
                <c:pt idx="18">
                  <c:v>3596023000</c:v>
                </c:pt>
                <c:pt idx="19">
                  <c:v>3729680000</c:v>
                </c:pt>
                <c:pt idx="20">
                  <c:v>4025998000</c:v>
                </c:pt>
                <c:pt idx="21">
                  <c:v>4304556000</c:v>
                </c:pt>
              </c:numCache>
            </c:numRef>
          </c:val>
          <c:extLst>
            <c:ext xmlns:c16="http://schemas.microsoft.com/office/drawing/2014/chart" uri="{C3380CC4-5D6E-409C-BE32-E72D297353CC}">
              <c16:uniqueId val="{00000004-6E02-4A38-B325-5B82CFE4984E}"/>
            </c:ext>
          </c:extLst>
        </c:ser>
        <c:dLbls>
          <c:showLegendKey val="0"/>
          <c:showVal val="0"/>
          <c:showCatName val="0"/>
          <c:showSerName val="0"/>
          <c:showPercent val="0"/>
          <c:showBubbleSize val="0"/>
        </c:dLbls>
        <c:gapWidth val="75"/>
        <c:overlap val="100"/>
        <c:axId val="399685864"/>
        <c:axId val="399692528"/>
      </c:barChart>
      <c:lineChart>
        <c:grouping val="standard"/>
        <c:varyColors val="0"/>
        <c:ser>
          <c:idx val="5"/>
          <c:order val="5"/>
          <c:tx>
            <c:strRef>
              <c:f>'R&amp;D '!$D$65</c:f>
              <c:strCache>
                <c:ptCount val="1"/>
                <c:pt idx="0">
                  <c:v>% of GDP</c:v>
                </c:pt>
              </c:strCache>
            </c:strRef>
          </c:tx>
          <c:spPr>
            <a:ln w="25400">
              <a:solidFill>
                <a:srgbClr val="FF6600"/>
              </a:solidFill>
            </a:ln>
          </c:spPr>
          <c:marker>
            <c:spPr>
              <a:ln>
                <a:solidFill>
                  <a:srgbClr val="FF6600"/>
                </a:solidFill>
              </a:ln>
            </c:spPr>
          </c:marker>
          <c:cat>
            <c:strRef>
              <c:f>'R&amp;D '!$F$58:$AA$58</c:f>
              <c:strCache>
                <c:ptCount val="22"/>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strCache>
            </c:strRef>
          </c:cat>
          <c:val>
            <c:numRef>
              <c:f>'R&amp;D '!$F$65:$AA$65</c:f>
              <c:numCache>
                <c:formatCode>General</c:formatCode>
                <c:ptCount val="22"/>
                <c:pt idx="0">
                  <c:v>0.75</c:v>
                </c:pt>
                <c:pt idx="4">
                  <c:v>0.69</c:v>
                </c:pt>
                <c:pt idx="8">
                  <c:v>0.76</c:v>
                </c:pt>
                <c:pt idx="10">
                  <c:v>0.81</c:v>
                </c:pt>
                <c:pt idx="11">
                  <c:v>0.87</c:v>
                </c:pt>
                <c:pt idx="13">
                  <c:v>0.92</c:v>
                </c:pt>
                <c:pt idx="14">
                  <c:v>0.95</c:v>
                </c:pt>
                <c:pt idx="15">
                  <c:v>0.93</c:v>
                </c:pt>
                <c:pt idx="16">
                  <c:v>0.92</c:v>
                </c:pt>
                <c:pt idx="17">
                  <c:v>0.87</c:v>
                </c:pt>
                <c:pt idx="18">
                  <c:v>0.76</c:v>
                </c:pt>
                <c:pt idx="19">
                  <c:v>0.76</c:v>
                </c:pt>
                <c:pt idx="20">
                  <c:v>0.73</c:v>
                </c:pt>
                <c:pt idx="21">
                  <c:v>0.73</c:v>
                </c:pt>
              </c:numCache>
            </c:numRef>
          </c:val>
          <c:smooth val="0"/>
          <c:extLst>
            <c:ext xmlns:c16="http://schemas.microsoft.com/office/drawing/2014/chart" uri="{C3380CC4-5D6E-409C-BE32-E72D297353CC}">
              <c16:uniqueId val="{00000005-6E02-4A38-B325-5B82CFE4984E}"/>
            </c:ext>
          </c:extLst>
        </c:ser>
        <c:dLbls>
          <c:showLegendKey val="0"/>
          <c:showVal val="0"/>
          <c:showCatName val="0"/>
          <c:showSerName val="0"/>
          <c:showPercent val="0"/>
          <c:showBubbleSize val="0"/>
        </c:dLbls>
        <c:marker val="1"/>
        <c:smooth val="0"/>
        <c:axId val="399692920"/>
        <c:axId val="399686256"/>
      </c:lineChart>
      <c:catAx>
        <c:axId val="399685864"/>
        <c:scaling>
          <c:orientation val="minMax"/>
        </c:scaling>
        <c:delete val="0"/>
        <c:axPos val="b"/>
        <c:numFmt formatCode="General" sourceLinked="1"/>
        <c:majorTickMark val="none"/>
        <c:minorTickMark val="none"/>
        <c:tickLblPos val="nextTo"/>
        <c:txPr>
          <a:bodyPr rot="5400000" vert="horz"/>
          <a:lstStyle/>
          <a:p>
            <a:pPr>
              <a:defRPr lang="en-US" sz="1000"/>
            </a:pPr>
            <a:endParaRPr lang="en-US"/>
          </a:p>
        </c:txPr>
        <c:crossAx val="399692528"/>
        <c:crosses val="autoZero"/>
        <c:auto val="1"/>
        <c:lblAlgn val="ctr"/>
        <c:lblOffset val="100"/>
        <c:noMultiLvlLbl val="0"/>
      </c:catAx>
      <c:valAx>
        <c:axId val="399692528"/>
        <c:scaling>
          <c:orientation val="minMax"/>
          <c:max val="22000000000"/>
          <c:min val="0"/>
        </c:scaling>
        <c:delete val="0"/>
        <c:axPos val="l"/>
        <c:majorGridlines>
          <c:spPr>
            <a:ln>
              <a:solidFill>
                <a:schemeClr val="bg1">
                  <a:lumMod val="75000"/>
                </a:schemeClr>
              </a:solidFill>
              <a:prstDash val="sysDash"/>
            </a:ln>
          </c:spPr>
        </c:majorGridlines>
        <c:title>
          <c:tx>
            <c:rich>
              <a:bodyPr rot="-5400000" vert="horz"/>
              <a:lstStyle/>
              <a:p>
                <a:pPr>
                  <a:defRPr lang="en-US" b="0"/>
                </a:pPr>
                <a:r>
                  <a:rPr lang="en-US" b="0"/>
                  <a:t>R'billions</a:t>
                </a:r>
              </a:p>
            </c:rich>
          </c:tx>
          <c:overlay val="0"/>
        </c:title>
        <c:numFmt formatCode="General" sourceLinked="0"/>
        <c:majorTickMark val="out"/>
        <c:minorTickMark val="none"/>
        <c:tickLblPos val="nextTo"/>
        <c:spPr>
          <a:ln w="9525">
            <a:solidFill>
              <a:schemeClr val="bg1">
                <a:lumMod val="75000"/>
              </a:schemeClr>
            </a:solidFill>
          </a:ln>
        </c:spPr>
        <c:txPr>
          <a:bodyPr/>
          <a:lstStyle/>
          <a:p>
            <a:pPr>
              <a:defRPr lang="en-US" sz="1000"/>
            </a:pPr>
            <a:endParaRPr lang="en-US"/>
          </a:p>
        </c:txPr>
        <c:crossAx val="399685864"/>
        <c:crosses val="autoZero"/>
        <c:crossBetween val="between"/>
        <c:majorUnit val="2000000000"/>
        <c:dispUnits>
          <c:builtInUnit val="billions"/>
        </c:dispUnits>
      </c:valAx>
      <c:catAx>
        <c:axId val="399692920"/>
        <c:scaling>
          <c:orientation val="minMax"/>
        </c:scaling>
        <c:delete val="1"/>
        <c:axPos val="b"/>
        <c:numFmt formatCode="General" sourceLinked="1"/>
        <c:majorTickMark val="out"/>
        <c:minorTickMark val="none"/>
        <c:tickLblPos val="nextTo"/>
        <c:crossAx val="399686256"/>
        <c:crosses val="autoZero"/>
        <c:auto val="1"/>
        <c:lblAlgn val="ctr"/>
        <c:lblOffset val="100"/>
        <c:noMultiLvlLbl val="0"/>
      </c:catAx>
      <c:valAx>
        <c:axId val="399686256"/>
        <c:scaling>
          <c:orientation val="minMax"/>
          <c:max val="0.95000000000000062"/>
          <c:min val="0.55000000000000004"/>
        </c:scaling>
        <c:delete val="0"/>
        <c:axPos val="r"/>
        <c:title>
          <c:tx>
            <c:rich>
              <a:bodyPr rot="-5400000" vert="horz"/>
              <a:lstStyle/>
              <a:p>
                <a:pPr>
                  <a:defRPr lang="en-US" b="0"/>
                </a:pPr>
                <a:r>
                  <a:rPr lang="en-US" b="0"/>
                  <a:t>% of GDP</a:t>
                </a:r>
              </a:p>
            </c:rich>
          </c:tx>
          <c:overlay val="0"/>
        </c:title>
        <c:numFmt formatCode="General" sourceLinked="1"/>
        <c:majorTickMark val="out"/>
        <c:minorTickMark val="none"/>
        <c:tickLblPos val="nextTo"/>
        <c:txPr>
          <a:bodyPr/>
          <a:lstStyle/>
          <a:p>
            <a:pPr>
              <a:defRPr lang="en-US" sz="1000"/>
            </a:pPr>
            <a:endParaRPr lang="en-US"/>
          </a:p>
        </c:txPr>
        <c:crossAx val="399692920"/>
        <c:crosses val="max"/>
        <c:crossBetween val="between"/>
        <c:majorUnit val="0.1"/>
      </c:valAx>
    </c:plotArea>
    <c:legend>
      <c:legendPos val="b"/>
      <c:overlay val="0"/>
      <c:txPr>
        <a:bodyPr/>
        <a:lstStyle/>
        <a:p>
          <a:pPr>
            <a:defRPr lang="en-US"/>
          </a:pPr>
          <a:endParaRPr lang="en-US"/>
        </a:p>
      </c:txPr>
    </c:legend>
    <c:plotVisOnly val="1"/>
    <c:dispBlanksAs val="gap"/>
    <c:showDLblsOverMax val="0"/>
  </c:chart>
  <c:txPr>
    <a:bodyPr/>
    <a:lstStyle/>
    <a:p>
      <a:pPr>
        <a:defRPr sz="900"/>
      </a:pPr>
      <a:endParaRPr lang="en-US"/>
    </a:p>
  </c:txPr>
  <c:printSettings>
    <c:headerFooter/>
    <c:pageMargins b="0.75000000000000844" l="0.70000000000000062" r="0.70000000000000062" t="0.75000000000000844" header="0.30000000000000032" footer="0.30000000000000032"/>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56383577052869"/>
          <c:y val="3.9541200041410138E-2"/>
          <c:w val="0.81370672415948009"/>
          <c:h val="0.7335546948742776"/>
        </c:manualLayout>
      </c:layout>
      <c:barChart>
        <c:barDir val="col"/>
        <c:grouping val="stacked"/>
        <c:varyColors val="0"/>
        <c:ser>
          <c:idx val="0"/>
          <c:order val="0"/>
          <c:tx>
            <c:strRef>
              <c:f>'R&amp;D '!$D$59</c:f>
              <c:strCache>
                <c:ptCount val="1"/>
                <c:pt idx="0">
                  <c:v>Business enterprise</c:v>
                </c:pt>
              </c:strCache>
            </c:strRef>
          </c:tx>
          <c:spPr>
            <a:solidFill>
              <a:schemeClr val="accent2"/>
            </a:solidFill>
          </c:spPr>
          <c:invertIfNegative val="0"/>
          <c:cat>
            <c:strRef>
              <c:f>'R&amp;D '!$F$58:$AA$58</c:f>
              <c:strCache>
                <c:ptCount val="22"/>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strCache>
            </c:strRef>
          </c:cat>
          <c:val>
            <c:numRef>
              <c:f>'R&amp;D '!$F$59:$AA$59</c:f>
              <c:numCache>
                <c:formatCode>#\ ###\ ###</c:formatCode>
                <c:ptCount val="22"/>
                <c:pt idx="0">
                  <c:v>1336227000</c:v>
                </c:pt>
                <c:pt idx="4">
                  <c:v>2216000000</c:v>
                </c:pt>
                <c:pt idx="8">
                  <c:v>4023576000</c:v>
                </c:pt>
                <c:pt idx="10">
                  <c:v>5591325000</c:v>
                </c:pt>
                <c:pt idx="11">
                  <c:v>6766361000</c:v>
                </c:pt>
                <c:pt idx="13">
                  <c:v>8243776000</c:v>
                </c:pt>
                <c:pt idx="14">
                  <c:v>9243165000</c:v>
                </c:pt>
                <c:pt idx="15">
                  <c:v>10738456000</c:v>
                </c:pt>
                <c:pt idx="16">
                  <c:v>12332012000</c:v>
                </c:pt>
                <c:pt idx="17">
                  <c:v>11139237000</c:v>
                </c:pt>
                <c:pt idx="18">
                  <c:v>10059010000</c:v>
                </c:pt>
                <c:pt idx="19">
                  <c:v>10464022000</c:v>
                </c:pt>
                <c:pt idx="20">
                  <c:v>10570726000</c:v>
                </c:pt>
                <c:pt idx="21">
                  <c:v>11782848000</c:v>
                </c:pt>
              </c:numCache>
            </c:numRef>
          </c:val>
          <c:extLst>
            <c:ext xmlns:c16="http://schemas.microsoft.com/office/drawing/2014/chart" uri="{C3380CC4-5D6E-409C-BE32-E72D297353CC}">
              <c16:uniqueId val="{00000000-3F3E-4225-B944-77D34A972648}"/>
            </c:ext>
          </c:extLst>
        </c:ser>
        <c:ser>
          <c:idx val="1"/>
          <c:order val="1"/>
          <c:tx>
            <c:strRef>
              <c:f>'R&amp;D '!$D$60</c:f>
              <c:strCache>
                <c:ptCount val="1"/>
                <c:pt idx="0">
                  <c:v>Government</c:v>
                </c:pt>
              </c:strCache>
            </c:strRef>
          </c:tx>
          <c:spPr>
            <a:solidFill>
              <a:srgbClr val="F2FC8E"/>
            </a:solidFill>
          </c:spPr>
          <c:invertIfNegative val="0"/>
          <c:cat>
            <c:strRef>
              <c:f>'R&amp;D '!$F$58:$AA$58</c:f>
              <c:strCache>
                <c:ptCount val="22"/>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strCache>
            </c:strRef>
          </c:cat>
          <c:val>
            <c:numRef>
              <c:f>'R&amp;D '!$F$60:$AA$60</c:f>
              <c:numCache>
                <c:formatCode>#\ ###\ ###</c:formatCode>
                <c:ptCount val="22"/>
                <c:pt idx="0">
                  <c:v>810618000</c:v>
                </c:pt>
                <c:pt idx="4">
                  <c:v>1380000000</c:v>
                </c:pt>
                <c:pt idx="8">
                  <c:v>203110000</c:v>
                </c:pt>
                <c:pt idx="10">
                  <c:v>465367000</c:v>
                </c:pt>
                <c:pt idx="11">
                  <c:v>515331000</c:v>
                </c:pt>
                <c:pt idx="13">
                  <c:v>844640000</c:v>
                </c:pt>
                <c:pt idx="14">
                  <c:v>1021355000</c:v>
                </c:pt>
                <c:pt idx="15">
                  <c:v>1154399000</c:v>
                </c:pt>
                <c:pt idx="16">
                  <c:v>1139676000</c:v>
                </c:pt>
                <c:pt idx="17">
                  <c:v>1067302000</c:v>
                </c:pt>
                <c:pt idx="18">
                  <c:v>1011340000</c:v>
                </c:pt>
                <c:pt idx="19">
                  <c:v>1235669000</c:v>
                </c:pt>
                <c:pt idx="20">
                  <c:v>1437509000</c:v>
                </c:pt>
                <c:pt idx="21">
                  <c:v>1697151000</c:v>
                </c:pt>
              </c:numCache>
            </c:numRef>
          </c:val>
          <c:extLst>
            <c:ext xmlns:c16="http://schemas.microsoft.com/office/drawing/2014/chart" uri="{C3380CC4-5D6E-409C-BE32-E72D297353CC}">
              <c16:uniqueId val="{00000001-3F3E-4225-B944-77D34A972648}"/>
            </c:ext>
          </c:extLst>
        </c:ser>
        <c:ser>
          <c:idx val="2"/>
          <c:order val="2"/>
          <c:tx>
            <c:strRef>
              <c:f>'R&amp;D '!$D$61</c:f>
              <c:strCache>
                <c:ptCount val="1"/>
                <c:pt idx="0">
                  <c:v>Higher education</c:v>
                </c:pt>
              </c:strCache>
            </c:strRef>
          </c:tx>
          <c:invertIfNegative val="0"/>
          <c:cat>
            <c:strRef>
              <c:f>'R&amp;D '!$F$58:$AA$58</c:f>
              <c:strCache>
                <c:ptCount val="22"/>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strCache>
            </c:strRef>
          </c:cat>
          <c:val>
            <c:numRef>
              <c:f>'R&amp;D '!$F$61:$AA$61</c:f>
              <c:numCache>
                <c:formatCode>#\ ###\ ###</c:formatCode>
                <c:ptCount val="22"/>
                <c:pt idx="0">
                  <c:v>415648000</c:v>
                </c:pt>
                <c:pt idx="4">
                  <c:v>496000000</c:v>
                </c:pt>
                <c:pt idx="8">
                  <c:v>1896156000</c:v>
                </c:pt>
                <c:pt idx="10">
                  <c:v>2071351000</c:v>
                </c:pt>
                <c:pt idx="11">
                  <c:v>2533971000</c:v>
                </c:pt>
                <c:pt idx="13">
                  <c:v>2732215000</c:v>
                </c:pt>
                <c:pt idx="14">
                  <c:v>3298808000</c:v>
                </c:pt>
                <c:pt idx="15">
                  <c:v>3621862000</c:v>
                </c:pt>
                <c:pt idx="16">
                  <c:v>4191366000</c:v>
                </c:pt>
                <c:pt idx="17">
                  <c:v>5101224000</c:v>
                </c:pt>
                <c:pt idx="18">
                  <c:v>5424602000</c:v>
                </c:pt>
                <c:pt idx="19">
                  <c:v>6609216000</c:v>
                </c:pt>
                <c:pt idx="20">
                  <c:v>7333153000</c:v>
                </c:pt>
                <c:pt idx="21">
                  <c:v>7292853000</c:v>
                </c:pt>
              </c:numCache>
            </c:numRef>
          </c:val>
          <c:extLst>
            <c:ext xmlns:c16="http://schemas.microsoft.com/office/drawing/2014/chart" uri="{C3380CC4-5D6E-409C-BE32-E72D297353CC}">
              <c16:uniqueId val="{00000002-3F3E-4225-B944-77D34A972648}"/>
            </c:ext>
          </c:extLst>
        </c:ser>
        <c:ser>
          <c:idx val="3"/>
          <c:order val="3"/>
          <c:tx>
            <c:strRef>
              <c:f>'R&amp;D '!$D$62</c:f>
              <c:strCache>
                <c:ptCount val="1"/>
                <c:pt idx="0">
                  <c:v>Not-for-profit</c:v>
                </c:pt>
              </c:strCache>
            </c:strRef>
          </c:tx>
          <c:spPr>
            <a:solidFill>
              <a:schemeClr val="accent6">
                <a:lumMod val="75000"/>
              </a:schemeClr>
            </a:solidFill>
          </c:spPr>
          <c:invertIfNegative val="0"/>
          <c:cat>
            <c:strRef>
              <c:f>'R&amp;D '!$F$58:$AA$58</c:f>
              <c:strCache>
                <c:ptCount val="22"/>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strCache>
            </c:strRef>
          </c:cat>
          <c:val>
            <c:numRef>
              <c:f>'R&amp;D '!$F$62:$AA$62</c:f>
              <c:numCache>
                <c:formatCode>#\ ###\ ###</c:formatCode>
                <c:ptCount val="22"/>
                <c:pt idx="0">
                  <c:v>31615000</c:v>
                </c:pt>
                <c:pt idx="4">
                  <c:v>11000000</c:v>
                </c:pt>
                <c:pt idx="8">
                  <c:v>70778000</c:v>
                </c:pt>
                <c:pt idx="10">
                  <c:v>209023000</c:v>
                </c:pt>
                <c:pt idx="11">
                  <c:v>198268000</c:v>
                </c:pt>
                <c:pt idx="13">
                  <c:v>226514000</c:v>
                </c:pt>
                <c:pt idx="14">
                  <c:v>212538000</c:v>
                </c:pt>
                <c:pt idx="15">
                  <c:v>223202000</c:v>
                </c:pt>
                <c:pt idx="16">
                  <c:v>240649000</c:v>
                </c:pt>
                <c:pt idx="17">
                  <c:v>188840000</c:v>
                </c:pt>
                <c:pt idx="18">
                  <c:v>162830000</c:v>
                </c:pt>
                <c:pt idx="19">
                  <c:v>170605000</c:v>
                </c:pt>
                <c:pt idx="20">
                  <c:v>503833000</c:v>
                </c:pt>
                <c:pt idx="21">
                  <c:v>583165000</c:v>
                </c:pt>
              </c:numCache>
            </c:numRef>
          </c:val>
          <c:extLst>
            <c:ext xmlns:c16="http://schemas.microsoft.com/office/drawing/2014/chart" uri="{C3380CC4-5D6E-409C-BE32-E72D297353CC}">
              <c16:uniqueId val="{00000003-3F3E-4225-B944-77D34A972648}"/>
            </c:ext>
          </c:extLst>
        </c:ser>
        <c:ser>
          <c:idx val="4"/>
          <c:order val="4"/>
          <c:tx>
            <c:strRef>
              <c:f>'R&amp;D '!$D$63</c:f>
              <c:strCache>
                <c:ptCount val="1"/>
                <c:pt idx="0">
                  <c:v>Science councils</c:v>
                </c:pt>
              </c:strCache>
            </c:strRef>
          </c:tx>
          <c:spPr>
            <a:solidFill>
              <a:srgbClr val="C00000"/>
            </a:solidFill>
          </c:spPr>
          <c:invertIfNegative val="0"/>
          <c:cat>
            <c:strRef>
              <c:f>'R&amp;D '!$F$58:$AA$58</c:f>
              <c:strCache>
                <c:ptCount val="22"/>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strCache>
            </c:strRef>
          </c:cat>
          <c:val>
            <c:numRef>
              <c:f>'R&amp;D '!$F$63:$AA$63</c:f>
              <c:numCache>
                <c:formatCode>#\ ###\ ###</c:formatCode>
                <c:ptCount val="22"/>
                <c:pt idx="8">
                  <c:v>1294454000</c:v>
                </c:pt>
                <c:pt idx="10">
                  <c:v>1745493000</c:v>
                </c:pt>
                <c:pt idx="11">
                  <c:v>1996050000</c:v>
                </c:pt>
                <c:pt idx="13">
                  <c:v>2102094000</c:v>
                </c:pt>
                <c:pt idx="14">
                  <c:v>2744718000</c:v>
                </c:pt>
                <c:pt idx="15">
                  <c:v>2886094000</c:v>
                </c:pt>
                <c:pt idx="16">
                  <c:v>3137343000</c:v>
                </c:pt>
                <c:pt idx="17">
                  <c:v>3458074000</c:v>
                </c:pt>
                <c:pt idx="18">
                  <c:v>3596023000</c:v>
                </c:pt>
                <c:pt idx="19">
                  <c:v>3729680000</c:v>
                </c:pt>
                <c:pt idx="20">
                  <c:v>4025998000</c:v>
                </c:pt>
                <c:pt idx="21">
                  <c:v>4304556000</c:v>
                </c:pt>
              </c:numCache>
            </c:numRef>
          </c:val>
          <c:extLst>
            <c:ext xmlns:c16="http://schemas.microsoft.com/office/drawing/2014/chart" uri="{C3380CC4-5D6E-409C-BE32-E72D297353CC}">
              <c16:uniqueId val="{00000004-3F3E-4225-B944-77D34A972648}"/>
            </c:ext>
          </c:extLst>
        </c:ser>
        <c:dLbls>
          <c:showLegendKey val="0"/>
          <c:showVal val="0"/>
          <c:showCatName val="0"/>
          <c:showSerName val="0"/>
          <c:showPercent val="0"/>
          <c:showBubbleSize val="0"/>
        </c:dLbls>
        <c:gapWidth val="75"/>
        <c:overlap val="100"/>
        <c:axId val="399687824"/>
        <c:axId val="399690176"/>
      </c:barChart>
      <c:lineChart>
        <c:grouping val="standard"/>
        <c:varyColors val="0"/>
        <c:ser>
          <c:idx val="5"/>
          <c:order val="5"/>
          <c:tx>
            <c:strRef>
              <c:f>'R&amp;D '!$D$65</c:f>
              <c:strCache>
                <c:ptCount val="1"/>
                <c:pt idx="0">
                  <c:v>% of GDP</c:v>
                </c:pt>
              </c:strCache>
            </c:strRef>
          </c:tx>
          <c:spPr>
            <a:ln w="25400"/>
          </c:spPr>
          <c:cat>
            <c:strRef>
              <c:f>'R&amp;D '!$F$58:$AA$58</c:f>
              <c:strCache>
                <c:ptCount val="22"/>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strCache>
            </c:strRef>
          </c:cat>
          <c:val>
            <c:numRef>
              <c:f>'R&amp;D '!$F$65:$AA$65</c:f>
              <c:numCache>
                <c:formatCode>General</c:formatCode>
                <c:ptCount val="22"/>
                <c:pt idx="0">
                  <c:v>0.75</c:v>
                </c:pt>
                <c:pt idx="4">
                  <c:v>0.69</c:v>
                </c:pt>
                <c:pt idx="8">
                  <c:v>0.76</c:v>
                </c:pt>
                <c:pt idx="10">
                  <c:v>0.81</c:v>
                </c:pt>
                <c:pt idx="11">
                  <c:v>0.87</c:v>
                </c:pt>
                <c:pt idx="13">
                  <c:v>0.92</c:v>
                </c:pt>
                <c:pt idx="14">
                  <c:v>0.95</c:v>
                </c:pt>
                <c:pt idx="15">
                  <c:v>0.93</c:v>
                </c:pt>
                <c:pt idx="16">
                  <c:v>0.92</c:v>
                </c:pt>
                <c:pt idx="17">
                  <c:v>0.87</c:v>
                </c:pt>
                <c:pt idx="18">
                  <c:v>0.76</c:v>
                </c:pt>
                <c:pt idx="19">
                  <c:v>0.76</c:v>
                </c:pt>
                <c:pt idx="20">
                  <c:v>0.73</c:v>
                </c:pt>
                <c:pt idx="21">
                  <c:v>0.73</c:v>
                </c:pt>
              </c:numCache>
            </c:numRef>
          </c:val>
          <c:smooth val="0"/>
          <c:extLst>
            <c:ext xmlns:c16="http://schemas.microsoft.com/office/drawing/2014/chart" uri="{C3380CC4-5D6E-409C-BE32-E72D297353CC}">
              <c16:uniqueId val="{00000005-3F3E-4225-B944-77D34A972648}"/>
            </c:ext>
          </c:extLst>
        </c:ser>
        <c:dLbls>
          <c:showLegendKey val="0"/>
          <c:showVal val="0"/>
          <c:showCatName val="0"/>
          <c:showSerName val="0"/>
          <c:showPercent val="0"/>
          <c:showBubbleSize val="0"/>
        </c:dLbls>
        <c:marker val="1"/>
        <c:smooth val="0"/>
        <c:axId val="399689000"/>
        <c:axId val="401316104"/>
      </c:lineChart>
      <c:catAx>
        <c:axId val="399687824"/>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399690176"/>
        <c:crosses val="autoZero"/>
        <c:auto val="1"/>
        <c:lblAlgn val="ctr"/>
        <c:lblOffset val="100"/>
        <c:noMultiLvlLbl val="0"/>
      </c:catAx>
      <c:valAx>
        <c:axId val="399690176"/>
        <c:scaling>
          <c:orientation val="minMax"/>
          <c:max val="22000000000"/>
          <c:min val="0"/>
        </c:scaling>
        <c:delete val="0"/>
        <c:axPos val="l"/>
        <c:majorGridlines>
          <c:spPr>
            <a:ln>
              <a:solidFill>
                <a:schemeClr val="bg1">
                  <a:lumMod val="75000"/>
                </a:schemeClr>
              </a:solidFill>
              <a:prstDash val="sysDash"/>
            </a:ln>
          </c:spPr>
        </c:majorGridlines>
        <c:title>
          <c:tx>
            <c:rich>
              <a:bodyPr rot="-5400000" vert="horz"/>
              <a:lstStyle/>
              <a:p>
                <a:pPr>
                  <a:defRPr b="0"/>
                </a:pPr>
                <a:r>
                  <a:rPr lang="en-US" b="0"/>
                  <a:t>R'billions</a:t>
                </a:r>
              </a:p>
            </c:rich>
          </c:tx>
          <c:layout>
            <c:manualLayout>
              <c:xMode val="edge"/>
              <c:yMode val="edge"/>
              <c:x val="2.9198068991376083E-2"/>
              <c:y val="0.34198165774521805"/>
            </c:manualLayout>
          </c:layout>
          <c:overlay val="0"/>
        </c:title>
        <c:numFmt formatCode="General" sourceLinked="0"/>
        <c:majorTickMark val="out"/>
        <c:minorTickMark val="none"/>
        <c:tickLblPos val="nextTo"/>
        <c:spPr>
          <a:ln w="9525">
            <a:solidFill>
              <a:schemeClr val="bg1">
                <a:lumMod val="75000"/>
              </a:schemeClr>
            </a:solidFill>
          </a:ln>
        </c:spPr>
        <c:crossAx val="399687824"/>
        <c:crosses val="autoZero"/>
        <c:crossBetween val="between"/>
        <c:majorUnit val="2000000000"/>
        <c:dispUnits>
          <c:builtInUnit val="billions"/>
        </c:dispUnits>
      </c:valAx>
      <c:catAx>
        <c:axId val="399689000"/>
        <c:scaling>
          <c:orientation val="minMax"/>
        </c:scaling>
        <c:delete val="1"/>
        <c:axPos val="b"/>
        <c:numFmt formatCode="General" sourceLinked="1"/>
        <c:majorTickMark val="out"/>
        <c:minorTickMark val="none"/>
        <c:tickLblPos val="nextTo"/>
        <c:crossAx val="401316104"/>
        <c:crosses val="autoZero"/>
        <c:auto val="1"/>
        <c:lblAlgn val="ctr"/>
        <c:lblOffset val="100"/>
        <c:noMultiLvlLbl val="0"/>
      </c:catAx>
      <c:valAx>
        <c:axId val="401316104"/>
        <c:scaling>
          <c:orientation val="minMax"/>
          <c:max val="0.95000000000000062"/>
          <c:min val="0.55000000000000004"/>
        </c:scaling>
        <c:delete val="0"/>
        <c:axPos val="r"/>
        <c:title>
          <c:tx>
            <c:rich>
              <a:bodyPr rot="-5400000" vert="horz"/>
              <a:lstStyle/>
              <a:p>
                <a:pPr>
                  <a:defRPr b="0"/>
                </a:pPr>
                <a:r>
                  <a:rPr lang="en-US" b="0"/>
                  <a:t>% of GDP</a:t>
                </a:r>
              </a:p>
            </c:rich>
          </c:tx>
          <c:overlay val="0"/>
        </c:title>
        <c:numFmt formatCode="General" sourceLinked="1"/>
        <c:majorTickMark val="out"/>
        <c:minorTickMark val="none"/>
        <c:tickLblPos val="nextTo"/>
        <c:crossAx val="399689000"/>
        <c:crosses val="max"/>
        <c:crossBetween val="between"/>
        <c:majorUnit val="0.1"/>
      </c:valAx>
    </c:plotArea>
    <c:legend>
      <c:legendPos val="b"/>
      <c:overlay val="0"/>
    </c:legend>
    <c:plotVisOnly val="1"/>
    <c:dispBlanksAs val="gap"/>
    <c:showDLblsOverMax val="0"/>
  </c:chart>
  <c:txPr>
    <a:bodyPr/>
    <a:lstStyle/>
    <a:p>
      <a:pPr>
        <a:defRPr sz="800">
          <a:latin typeface="Arial Narrow" panose="020B0606020202030204" pitchFamily="34" charset="0"/>
        </a:defRPr>
      </a:pPr>
      <a:endParaRPr lang="en-US"/>
    </a:p>
  </c:txPr>
  <c:printSettings>
    <c:headerFooter/>
    <c:pageMargins b="0.75000000000000844" l="0.70000000000000062" r="0.70000000000000062" t="0.75000000000000844" header="0.30000000000000032" footer="0.30000000000000032"/>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4.7355805730895213E-2"/>
          <c:y val="2.3148178985179721E-2"/>
        </c:manualLayout>
      </c:layout>
      <c:overlay val="0"/>
    </c:title>
    <c:autoTitleDeleted val="0"/>
    <c:plotArea>
      <c:layout/>
      <c:lineChart>
        <c:grouping val="standard"/>
        <c:varyColors val="0"/>
        <c:ser>
          <c:idx val="0"/>
          <c:order val="0"/>
          <c:tx>
            <c:strRef>
              <c:f>Patents!$D$9</c:f>
              <c:strCache>
                <c:ptCount val="1"/>
                <c:pt idx="0">
                  <c:v>Certificates</c:v>
                </c:pt>
              </c:strCache>
            </c:strRef>
          </c:tx>
          <c:spPr>
            <a:ln w="22225">
              <a:solidFill>
                <a:srgbClr val="FF6600"/>
              </a:solidFill>
            </a:ln>
          </c:spPr>
          <c:marker>
            <c:symbol val="none"/>
          </c:marker>
          <c:cat>
            <c:numRef>
              <c:f>Patents!$E$7:$O$7</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Patents!$E$9:$O$9</c:f>
              <c:numCache>
                <c:formatCode>###\ ###\ ###\ ###\ ###</c:formatCode>
                <c:ptCount val="11"/>
                <c:pt idx="1">
                  <c:v>5806</c:v>
                </c:pt>
                <c:pt idx="2">
                  <c:v>6709</c:v>
                </c:pt>
                <c:pt idx="3">
                  <c:v>5432</c:v>
                </c:pt>
                <c:pt idx="4">
                  <c:v>6513</c:v>
                </c:pt>
                <c:pt idx="5">
                  <c:v>7285</c:v>
                </c:pt>
                <c:pt idx="6">
                  <c:v>7740</c:v>
                </c:pt>
                <c:pt idx="7">
                  <c:v>10042</c:v>
                </c:pt>
              </c:numCache>
            </c:numRef>
          </c:val>
          <c:smooth val="0"/>
          <c:extLst>
            <c:ext xmlns:c16="http://schemas.microsoft.com/office/drawing/2014/chart" uri="{C3380CC4-5D6E-409C-BE32-E72D297353CC}">
              <c16:uniqueId val="{00000000-3EAD-4218-AF3C-A69CB121CE12}"/>
            </c:ext>
          </c:extLst>
        </c:ser>
        <c:dLbls>
          <c:showLegendKey val="0"/>
          <c:showVal val="0"/>
          <c:showCatName val="0"/>
          <c:showSerName val="0"/>
          <c:showPercent val="0"/>
          <c:showBubbleSize val="0"/>
        </c:dLbls>
        <c:smooth val="0"/>
        <c:axId val="401314144"/>
        <c:axId val="401317672"/>
      </c:lineChart>
      <c:catAx>
        <c:axId val="401314144"/>
        <c:scaling>
          <c:orientation val="minMax"/>
        </c:scaling>
        <c:delete val="0"/>
        <c:axPos val="b"/>
        <c:numFmt formatCode="General" sourceLinked="1"/>
        <c:majorTickMark val="out"/>
        <c:minorTickMark val="none"/>
        <c:tickLblPos val="nextTo"/>
        <c:crossAx val="401317672"/>
        <c:crosses val="autoZero"/>
        <c:auto val="1"/>
        <c:lblAlgn val="ctr"/>
        <c:lblOffset val="100"/>
        <c:noMultiLvlLbl val="0"/>
      </c:catAx>
      <c:valAx>
        <c:axId val="401317672"/>
        <c:scaling>
          <c:orientation val="minMax"/>
        </c:scaling>
        <c:delete val="0"/>
        <c:axPos val="l"/>
        <c:majorGridlines>
          <c:spPr>
            <a:ln>
              <a:prstDash val="dash"/>
            </a:ln>
          </c:spPr>
        </c:majorGridlines>
        <c:numFmt formatCode="###\,###\,###" sourceLinked="0"/>
        <c:majorTickMark val="out"/>
        <c:minorTickMark val="none"/>
        <c:tickLblPos val="nextTo"/>
        <c:crossAx val="401314144"/>
        <c:crosses val="autoZero"/>
        <c:crossBetween val="between"/>
      </c:valAx>
    </c:plotArea>
    <c:plotVisOnly val="1"/>
    <c:dispBlanksAs val="gap"/>
    <c:showDLblsOverMax val="0"/>
  </c:chart>
  <c:txPr>
    <a:bodyPr/>
    <a:lstStyle/>
    <a:p>
      <a:pPr>
        <a:defRPr sz="800">
          <a:latin typeface="Arial Narrow" pitchFamily="34" charset="0"/>
        </a:defRPr>
      </a:pPr>
      <a:endParaRPr lang="en-US"/>
    </a:p>
  </c:txPr>
  <c:printSettings>
    <c:headerFooter/>
    <c:pageMargins b="0.75000000000000422" l="0.70000000000000062" r="0.70000000000000062" t="0.7500000000000042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Patents applicants by top fields of technology  (1996 to 2012)</a:t>
            </a:r>
          </a:p>
        </c:rich>
      </c:tx>
      <c:layout>
        <c:manualLayout>
          <c:xMode val="edge"/>
          <c:yMode val="edge"/>
          <c:x val="0.40234544295729763"/>
          <c:y val="2.8344669682247168E-2"/>
        </c:manualLayout>
      </c:layout>
      <c:overlay val="0"/>
    </c:title>
    <c:autoTitleDeleted val="0"/>
    <c:plotArea>
      <c:layout/>
      <c:pieChart>
        <c:varyColors val="1"/>
        <c:ser>
          <c:idx val="0"/>
          <c:order val="0"/>
          <c:tx>
            <c:strRef>
              <c:f>Patents!$E$33</c:f>
              <c:strCache>
                <c:ptCount val="1"/>
                <c:pt idx="0">
                  <c:v>Share</c:v>
                </c:pt>
              </c:strCache>
            </c:strRef>
          </c:tx>
          <c:dPt>
            <c:idx val="0"/>
            <c:bubble3D val="0"/>
            <c:extLst>
              <c:ext xmlns:c16="http://schemas.microsoft.com/office/drawing/2014/chart" uri="{C3380CC4-5D6E-409C-BE32-E72D297353CC}">
                <c16:uniqueId val="{00000000-3D40-4D73-B8B5-6D825595BBB4}"/>
              </c:ext>
            </c:extLst>
          </c:dPt>
          <c:dPt>
            <c:idx val="1"/>
            <c:bubble3D val="0"/>
            <c:extLst>
              <c:ext xmlns:c16="http://schemas.microsoft.com/office/drawing/2014/chart" uri="{C3380CC4-5D6E-409C-BE32-E72D297353CC}">
                <c16:uniqueId val="{00000001-3D40-4D73-B8B5-6D825595BBB4}"/>
              </c:ext>
            </c:extLst>
          </c:dPt>
          <c:dPt>
            <c:idx val="2"/>
            <c:bubble3D val="0"/>
            <c:extLst>
              <c:ext xmlns:c16="http://schemas.microsoft.com/office/drawing/2014/chart" uri="{C3380CC4-5D6E-409C-BE32-E72D297353CC}">
                <c16:uniqueId val="{00000002-3D40-4D73-B8B5-6D825595BBB4}"/>
              </c:ext>
            </c:extLst>
          </c:dPt>
          <c:dPt>
            <c:idx val="3"/>
            <c:bubble3D val="0"/>
            <c:extLst>
              <c:ext xmlns:c16="http://schemas.microsoft.com/office/drawing/2014/chart" uri="{C3380CC4-5D6E-409C-BE32-E72D297353CC}">
                <c16:uniqueId val="{00000003-3D40-4D73-B8B5-6D825595BBB4}"/>
              </c:ext>
            </c:extLst>
          </c:dPt>
          <c:dPt>
            <c:idx val="4"/>
            <c:bubble3D val="0"/>
            <c:extLst>
              <c:ext xmlns:c16="http://schemas.microsoft.com/office/drawing/2014/chart" uri="{C3380CC4-5D6E-409C-BE32-E72D297353CC}">
                <c16:uniqueId val="{00000004-3D40-4D73-B8B5-6D825595BBB4}"/>
              </c:ext>
            </c:extLst>
          </c:dPt>
          <c:dPt>
            <c:idx val="5"/>
            <c:bubble3D val="0"/>
            <c:extLst>
              <c:ext xmlns:c16="http://schemas.microsoft.com/office/drawing/2014/chart" uri="{C3380CC4-5D6E-409C-BE32-E72D297353CC}">
                <c16:uniqueId val="{00000005-3D40-4D73-B8B5-6D825595BBB4}"/>
              </c:ext>
            </c:extLst>
          </c:dPt>
          <c:dPt>
            <c:idx val="6"/>
            <c:bubble3D val="0"/>
            <c:extLst>
              <c:ext xmlns:c16="http://schemas.microsoft.com/office/drawing/2014/chart" uri="{C3380CC4-5D6E-409C-BE32-E72D297353CC}">
                <c16:uniqueId val="{00000006-3D40-4D73-B8B5-6D825595BBB4}"/>
              </c:ext>
            </c:extLst>
          </c:dPt>
          <c:dPt>
            <c:idx val="7"/>
            <c:bubble3D val="0"/>
            <c:extLst>
              <c:ext xmlns:c16="http://schemas.microsoft.com/office/drawing/2014/chart" uri="{C3380CC4-5D6E-409C-BE32-E72D297353CC}">
                <c16:uniqueId val="{00000007-3D40-4D73-B8B5-6D825595BBB4}"/>
              </c:ext>
            </c:extLst>
          </c:dPt>
          <c:dPt>
            <c:idx val="8"/>
            <c:bubble3D val="0"/>
            <c:extLst>
              <c:ext xmlns:c16="http://schemas.microsoft.com/office/drawing/2014/chart" uri="{C3380CC4-5D6E-409C-BE32-E72D297353CC}">
                <c16:uniqueId val="{00000008-3D40-4D73-B8B5-6D825595BBB4}"/>
              </c:ext>
            </c:extLst>
          </c:dPt>
          <c:dPt>
            <c:idx val="9"/>
            <c:bubble3D val="0"/>
            <c:extLst>
              <c:ext xmlns:c16="http://schemas.microsoft.com/office/drawing/2014/chart" uri="{C3380CC4-5D6E-409C-BE32-E72D297353CC}">
                <c16:uniqueId val="{00000009-3D40-4D73-B8B5-6D825595BBB4}"/>
              </c:ext>
            </c:extLst>
          </c:dPt>
          <c:dPt>
            <c:idx val="10"/>
            <c:bubble3D val="0"/>
            <c:extLst>
              <c:ext xmlns:c16="http://schemas.microsoft.com/office/drawing/2014/chart" uri="{C3380CC4-5D6E-409C-BE32-E72D297353CC}">
                <c16:uniqueId val="{0000000A-3D40-4D73-B8B5-6D825595BBB4}"/>
              </c:ext>
            </c:extLst>
          </c:dPt>
          <c:cat>
            <c:strRef>
              <c:f>Patents!$D$34:$D$44</c:f>
              <c:strCache>
                <c:ptCount val="11"/>
                <c:pt idx="0">
                  <c:v>Civil engineering</c:v>
                </c:pt>
                <c:pt idx="1">
                  <c:v>Materials, metallurgy</c:v>
                </c:pt>
                <c:pt idx="2">
                  <c:v>Basic materials chemistry </c:v>
                </c:pt>
                <c:pt idx="3">
                  <c:v>Chemical engineering</c:v>
                </c:pt>
                <c:pt idx="4">
                  <c:v>Medical technology</c:v>
                </c:pt>
                <c:pt idx="5">
                  <c:v>Handling</c:v>
                </c:pt>
                <c:pt idx="6">
                  <c:v>Furniture, games</c:v>
                </c:pt>
                <c:pt idx="7">
                  <c:v>Other special machines</c:v>
                </c:pt>
                <c:pt idx="8">
                  <c:v>Transport</c:v>
                </c:pt>
                <c:pt idx="9">
                  <c:v>Electrical machinery, apparatus, energy</c:v>
                </c:pt>
                <c:pt idx="10">
                  <c:v>Others</c:v>
                </c:pt>
              </c:strCache>
            </c:strRef>
          </c:cat>
          <c:val>
            <c:numRef>
              <c:f>Patents!$E$34:$E$44</c:f>
              <c:numCache>
                <c:formatCode>General</c:formatCode>
                <c:ptCount val="11"/>
                <c:pt idx="0">
                  <c:v>6.86</c:v>
                </c:pt>
                <c:pt idx="1">
                  <c:v>6.71</c:v>
                </c:pt>
                <c:pt idx="2">
                  <c:v>6.4</c:v>
                </c:pt>
                <c:pt idx="3">
                  <c:v>6.17</c:v>
                </c:pt>
                <c:pt idx="4">
                  <c:v>5.54</c:v>
                </c:pt>
                <c:pt idx="5">
                  <c:v>4.92</c:v>
                </c:pt>
                <c:pt idx="6">
                  <c:v>4.47</c:v>
                </c:pt>
                <c:pt idx="7">
                  <c:v>4.53</c:v>
                </c:pt>
                <c:pt idx="8">
                  <c:v>3.78</c:v>
                </c:pt>
                <c:pt idx="9">
                  <c:v>3.62</c:v>
                </c:pt>
                <c:pt idx="10">
                  <c:v>47</c:v>
                </c:pt>
              </c:numCache>
            </c:numRef>
          </c:val>
          <c:extLst>
            <c:ext xmlns:c16="http://schemas.microsoft.com/office/drawing/2014/chart" uri="{C3380CC4-5D6E-409C-BE32-E72D297353CC}">
              <c16:uniqueId val="{0000000B-3D40-4D73-B8B5-6D825595BBB4}"/>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legend>
    <c:plotVisOnly val="1"/>
    <c:dispBlanksAs val="gap"/>
    <c:showDLblsOverMax val="0"/>
  </c:chart>
  <c:txPr>
    <a:bodyPr/>
    <a:lstStyle/>
    <a:p>
      <a:pPr>
        <a:defRPr sz="800">
          <a:latin typeface="Arial Narrow" pitchFamily="34" charset="0"/>
        </a:defRPr>
      </a:pPr>
      <a:endParaRPr lang="en-US"/>
    </a:p>
  </c:txPr>
  <c:printSettings>
    <c:headerFooter/>
    <c:pageMargins b="0.750000000000001" l="0.70000000000000062" r="0.70000000000000062" t="0.75000000000000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'[4]Foreign Trade'!$A$53</c:f>
              <c:strCache>
                <c:ptCount val="1"/>
                <c:pt idx="0">
                  <c:v>Exports (constant 2000 prices) R'billions</c:v>
                </c:pt>
              </c:strCache>
            </c:strRef>
          </c:tx>
          <c:cat>
            <c:numRef>
              <c:f>'[4]Foreign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'[4]Foreign Trade'!$B$53:$P$53</c:f>
              <c:numCache>
                <c:formatCode>General</c:formatCode>
                <c:ptCount val="15"/>
                <c:pt idx="0">
                  <c:v>160.21498</c:v>
                </c:pt>
                <c:pt idx="1">
                  <c:v>176.84388000000001</c:v>
                </c:pt>
                <c:pt idx="2">
                  <c:v>181.23876999999999</c:v>
                </c:pt>
                <c:pt idx="3">
                  <c:v>201.06291000000002</c:v>
                </c:pt>
                <c:pt idx="4">
                  <c:v>215.54748000000001</c:v>
                </c:pt>
                <c:pt idx="5">
                  <c:v>226.96107999999998</c:v>
                </c:pt>
                <c:pt idx="6">
                  <c:v>234.32900000000001</c:v>
                </c:pt>
                <c:pt idx="7">
                  <c:v>237.28399999999999</c:v>
                </c:pt>
                <c:pt idx="8">
                  <c:v>257.01100000000002</c:v>
                </c:pt>
                <c:pt idx="9">
                  <c:v>263.161</c:v>
                </c:pt>
                <c:pt idx="10">
                  <c:v>265.76400000000001</c:v>
                </c:pt>
                <c:pt idx="11">
                  <c:v>266.05500000000001</c:v>
                </c:pt>
                <c:pt idx="12">
                  <c:v>273.69400000000002</c:v>
                </c:pt>
                <c:pt idx="13">
                  <c:v>295.58</c:v>
                </c:pt>
                <c:pt idx="14">
                  <c:v>312.173</c:v>
                </c:pt>
              </c:numCache>
            </c:numRef>
          </c:val>
          <c:smooth val="0"/>
          <c:extLst>
            <c:ext xmlns:c16="http://schemas.microsoft.com/office/drawing/2014/chart" uri="{C3380CC4-5D6E-409C-BE32-E72D297353CC}">
              <c16:uniqueId val="{00000000-8087-4BEB-980B-F02091580EA6}"/>
            </c:ext>
          </c:extLst>
        </c:ser>
        <c:ser>
          <c:idx val="2"/>
          <c:order val="2"/>
          <c:tx>
            <c:strRef>
              <c:f>'[4]Foreign Trade'!$A$55</c:f>
              <c:strCache>
                <c:ptCount val="1"/>
                <c:pt idx="0">
                  <c:v>Volume of Trade (2000=base)</c:v>
                </c:pt>
              </c:strCache>
            </c:strRef>
          </c:tx>
          <c:cat>
            <c:numRef>
              <c:f>'[4]Foreign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'[4]Foreign Trade'!$B$55:$P$55</c:f>
              <c:numCache>
                <c:formatCode>General</c:formatCode>
                <c:ptCount val="15"/>
                <c:pt idx="0">
                  <c:v>62.34</c:v>
                </c:pt>
                <c:pt idx="1">
                  <c:v>68.81</c:v>
                </c:pt>
                <c:pt idx="2">
                  <c:v>70.52</c:v>
                </c:pt>
                <c:pt idx="3">
                  <c:v>78.23</c:v>
                </c:pt>
                <c:pt idx="4">
                  <c:v>83.87</c:v>
                </c:pt>
                <c:pt idx="5">
                  <c:v>87.14</c:v>
                </c:pt>
                <c:pt idx="6">
                  <c:v>91.17</c:v>
                </c:pt>
                <c:pt idx="7">
                  <c:v>85.65</c:v>
                </c:pt>
                <c:pt idx="8">
                  <c:v>100</c:v>
                </c:pt>
                <c:pt idx="9">
                  <c:v>102.31</c:v>
                </c:pt>
                <c:pt idx="10">
                  <c:v>103.41</c:v>
                </c:pt>
                <c:pt idx="11">
                  <c:v>103.52</c:v>
                </c:pt>
                <c:pt idx="12">
                  <c:v>106.49</c:v>
                </c:pt>
                <c:pt idx="13">
                  <c:v>115.01</c:v>
                </c:pt>
                <c:pt idx="14">
                  <c:v>121.46</c:v>
                </c:pt>
              </c:numCache>
            </c:numRef>
          </c:val>
          <c:smooth val="0"/>
          <c:extLst>
            <c:ext xmlns:c16="http://schemas.microsoft.com/office/drawing/2014/chart" uri="{C3380CC4-5D6E-409C-BE32-E72D297353CC}">
              <c16:uniqueId val="{00000001-8087-4BEB-980B-F02091580EA6}"/>
            </c:ext>
          </c:extLst>
        </c:ser>
        <c:dLbls>
          <c:showLegendKey val="0"/>
          <c:showVal val="0"/>
          <c:showCatName val="0"/>
          <c:showSerName val="0"/>
          <c:showPercent val="0"/>
          <c:showBubbleSize val="0"/>
        </c:dLbls>
        <c:marker val="1"/>
        <c:smooth val="0"/>
        <c:axId val="401320416"/>
        <c:axId val="401316496"/>
      </c:lineChart>
      <c:lineChart>
        <c:grouping val="standard"/>
        <c:varyColors val="0"/>
        <c:ser>
          <c:idx val="1"/>
          <c:order val="1"/>
          <c:tx>
            <c:strRef>
              <c:f>'[4]Foreign Trade'!$A$54</c:f>
              <c:strCache>
                <c:ptCount val="1"/>
                <c:pt idx="0">
                  <c:v>Ratio of exports to GDP </c:v>
                </c:pt>
              </c:strCache>
            </c:strRef>
          </c:tx>
          <c:cat>
            <c:numRef>
              <c:f>'[4]Foreign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'[4]Foreign Trade'!$B$54:$P$54</c:f>
              <c:numCache>
                <c:formatCode>General</c:formatCode>
                <c:ptCount val="15"/>
                <c:pt idx="0">
                  <c:v>21.34</c:v>
                </c:pt>
                <c:pt idx="1">
                  <c:v>22.48</c:v>
                </c:pt>
                <c:pt idx="2">
                  <c:v>22.1</c:v>
                </c:pt>
                <c:pt idx="3">
                  <c:v>22.77</c:v>
                </c:pt>
                <c:pt idx="4">
                  <c:v>24.73</c:v>
                </c:pt>
                <c:pt idx="5">
                  <c:v>24.6</c:v>
                </c:pt>
                <c:pt idx="6">
                  <c:v>25.65</c:v>
                </c:pt>
                <c:pt idx="7">
                  <c:v>25.33</c:v>
                </c:pt>
                <c:pt idx="8">
                  <c:v>27.87</c:v>
                </c:pt>
                <c:pt idx="9">
                  <c:v>30.13</c:v>
                </c:pt>
                <c:pt idx="10">
                  <c:v>32.99</c:v>
                </c:pt>
                <c:pt idx="11">
                  <c:v>28.06</c:v>
                </c:pt>
                <c:pt idx="12">
                  <c:v>26.71</c:v>
                </c:pt>
                <c:pt idx="13">
                  <c:v>27.45</c:v>
                </c:pt>
                <c:pt idx="14">
                  <c:v>29.63</c:v>
                </c:pt>
              </c:numCache>
            </c:numRef>
          </c:val>
          <c:smooth val="0"/>
          <c:extLst>
            <c:ext xmlns:c16="http://schemas.microsoft.com/office/drawing/2014/chart" uri="{C3380CC4-5D6E-409C-BE32-E72D297353CC}">
              <c16:uniqueId val="{00000002-8087-4BEB-980B-F02091580EA6}"/>
            </c:ext>
          </c:extLst>
        </c:ser>
        <c:dLbls>
          <c:showLegendKey val="0"/>
          <c:showVal val="0"/>
          <c:showCatName val="0"/>
          <c:showSerName val="0"/>
          <c:showPercent val="0"/>
          <c:showBubbleSize val="0"/>
        </c:dLbls>
        <c:marker val="1"/>
        <c:smooth val="0"/>
        <c:axId val="401318456"/>
        <c:axId val="401319240"/>
      </c:lineChart>
      <c:catAx>
        <c:axId val="401320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75" b="0" i="0" u="none" strike="noStrike" baseline="0">
                <a:solidFill>
                  <a:srgbClr val="000000"/>
                </a:solidFill>
                <a:latin typeface="Arial"/>
                <a:ea typeface="Arial"/>
                <a:cs typeface="Arial"/>
              </a:defRPr>
            </a:pPr>
            <a:endParaRPr lang="en-US"/>
          </a:p>
        </c:txPr>
        <c:crossAx val="401316496"/>
        <c:crosses val="autoZero"/>
        <c:auto val="1"/>
        <c:lblAlgn val="ctr"/>
        <c:lblOffset val="100"/>
        <c:tickMarkSkip val="1"/>
        <c:noMultiLvlLbl val="0"/>
      </c:catAx>
      <c:valAx>
        <c:axId val="4013164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20416"/>
        <c:crosses val="autoZero"/>
        <c:crossBetween val="between"/>
      </c:valAx>
      <c:catAx>
        <c:axId val="401318456"/>
        <c:scaling>
          <c:orientation val="minMax"/>
        </c:scaling>
        <c:delete val="1"/>
        <c:axPos val="b"/>
        <c:numFmt formatCode="General" sourceLinked="1"/>
        <c:majorTickMark val="out"/>
        <c:minorTickMark val="none"/>
        <c:tickLblPos val="nextTo"/>
        <c:crossAx val="401319240"/>
        <c:crosses val="autoZero"/>
        <c:auto val="1"/>
        <c:lblAlgn val="ctr"/>
        <c:lblOffset val="100"/>
        <c:noMultiLvlLbl val="0"/>
      </c:catAx>
      <c:valAx>
        <c:axId val="40131924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8456"/>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'[4]Foreign Trade'!$B$74</c:f>
              <c:strCache>
                <c:ptCount val="1"/>
                <c:pt idx="0">
                  <c:v>Ratio of exports to GDP (%)</c:v>
                </c:pt>
              </c:strCache>
            </c:strRef>
          </c:tx>
          <c:cat>
            <c:numRef>
              <c:f>'[4]Foreign Trade'!$C$73:$Q$73</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'[4]Foreign Trade'!$C$74:$Q$74</c:f>
              <c:numCache>
                <c:formatCode>General</c:formatCode>
                <c:ptCount val="15"/>
                <c:pt idx="0">
                  <c:v>21.34</c:v>
                </c:pt>
                <c:pt idx="1">
                  <c:v>22.48</c:v>
                </c:pt>
                <c:pt idx="2">
                  <c:v>22.1</c:v>
                </c:pt>
                <c:pt idx="3">
                  <c:v>22.77</c:v>
                </c:pt>
                <c:pt idx="4">
                  <c:v>24.73</c:v>
                </c:pt>
                <c:pt idx="5">
                  <c:v>24.6</c:v>
                </c:pt>
                <c:pt idx="6">
                  <c:v>25.65</c:v>
                </c:pt>
                <c:pt idx="7">
                  <c:v>25.33</c:v>
                </c:pt>
                <c:pt idx="8">
                  <c:v>27.87</c:v>
                </c:pt>
                <c:pt idx="9">
                  <c:v>30.13</c:v>
                </c:pt>
                <c:pt idx="10">
                  <c:v>32.99</c:v>
                </c:pt>
                <c:pt idx="11">
                  <c:v>28.06</c:v>
                </c:pt>
                <c:pt idx="12">
                  <c:v>26.71</c:v>
                </c:pt>
                <c:pt idx="13">
                  <c:v>27.45</c:v>
                </c:pt>
                <c:pt idx="14">
                  <c:v>29.63</c:v>
                </c:pt>
              </c:numCache>
            </c:numRef>
          </c:val>
          <c:smooth val="0"/>
          <c:extLst>
            <c:ext xmlns:c16="http://schemas.microsoft.com/office/drawing/2014/chart" uri="{C3380CC4-5D6E-409C-BE32-E72D297353CC}">
              <c16:uniqueId val="{00000000-8548-47D7-A708-98FA5FB3A303}"/>
            </c:ext>
          </c:extLst>
        </c:ser>
        <c:ser>
          <c:idx val="1"/>
          <c:order val="1"/>
          <c:tx>
            <c:strRef>
              <c:f>'[4]Foreign Trade'!$B$75</c:f>
              <c:strCache>
                <c:ptCount val="1"/>
                <c:pt idx="0">
                  <c:v>Trade balance to GDP ratio</c:v>
                </c:pt>
              </c:strCache>
            </c:strRef>
          </c:tx>
          <c:cat>
            <c:numRef>
              <c:f>'[4]Foreign Trade'!$C$73:$Q$73</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'[4]Foreign Trade'!$C$75:$Q$75</c:f>
              <c:numCache>
                <c:formatCode>General</c:formatCode>
                <c:ptCount val="15"/>
                <c:pt idx="0">
                  <c:v>1.5</c:v>
                </c:pt>
                <c:pt idx="1">
                  <c:v>2.13</c:v>
                </c:pt>
                <c:pt idx="2">
                  <c:v>0.01</c:v>
                </c:pt>
                <c:pt idx="3">
                  <c:v>-1.65</c:v>
                </c:pt>
                <c:pt idx="4">
                  <c:v>-1.1499999999999999</c:v>
                </c:pt>
                <c:pt idx="5">
                  <c:v>-1.49</c:v>
                </c:pt>
                <c:pt idx="6">
                  <c:v>-1.76</c:v>
                </c:pt>
                <c:pt idx="7">
                  <c:v>-0.51</c:v>
                </c:pt>
                <c:pt idx="8">
                  <c:v>-0.13</c:v>
                </c:pt>
                <c:pt idx="9">
                  <c:v>0.28000000000000003</c:v>
                </c:pt>
                <c:pt idx="10">
                  <c:v>0.83</c:v>
                </c:pt>
                <c:pt idx="11">
                  <c:v>-1.08</c:v>
                </c:pt>
                <c:pt idx="12">
                  <c:v>-3.2</c:v>
                </c:pt>
                <c:pt idx="13">
                  <c:v>-4.03</c:v>
                </c:pt>
                <c:pt idx="14">
                  <c:v>-6.45</c:v>
                </c:pt>
              </c:numCache>
            </c:numRef>
          </c:val>
          <c:smooth val="0"/>
          <c:extLst>
            <c:ext xmlns:c16="http://schemas.microsoft.com/office/drawing/2014/chart" uri="{C3380CC4-5D6E-409C-BE32-E72D297353CC}">
              <c16:uniqueId val="{00000001-8548-47D7-A708-98FA5FB3A303}"/>
            </c:ext>
          </c:extLst>
        </c:ser>
        <c:dLbls>
          <c:showLegendKey val="0"/>
          <c:showVal val="0"/>
          <c:showCatName val="0"/>
          <c:showSerName val="0"/>
          <c:showPercent val="0"/>
          <c:showBubbleSize val="0"/>
        </c:dLbls>
        <c:marker val="1"/>
        <c:smooth val="0"/>
        <c:axId val="401319632"/>
        <c:axId val="401316888"/>
      </c:lineChart>
      <c:lineChart>
        <c:grouping val="standard"/>
        <c:varyColors val="0"/>
        <c:ser>
          <c:idx val="2"/>
          <c:order val="2"/>
          <c:tx>
            <c:strRef>
              <c:f>'[4]Foreign Trade'!$B$76</c:f>
              <c:strCache>
                <c:ptCount val="1"/>
                <c:pt idx="0">
                  <c:v>ZAR/US$</c:v>
                </c:pt>
              </c:strCache>
            </c:strRef>
          </c:tx>
          <c:val>
            <c:numRef>
              <c:f>'[4]Foreign Trade'!$C$76:$Q$76</c:f>
              <c:numCache>
                <c:formatCode>General</c:formatCode>
                <c:ptCount val="15"/>
                <c:pt idx="0">
                  <c:v>2.8516000000000004</c:v>
                </c:pt>
                <c:pt idx="1">
                  <c:v>3.2667000000000002</c:v>
                </c:pt>
                <c:pt idx="2">
                  <c:v>3.5497000000000001</c:v>
                </c:pt>
                <c:pt idx="3">
                  <c:v>3.6269999999999998</c:v>
                </c:pt>
                <c:pt idx="4">
                  <c:v>4.2964000000000002</c:v>
                </c:pt>
                <c:pt idx="5">
                  <c:v>4.6073000000000004</c:v>
                </c:pt>
                <c:pt idx="6">
                  <c:v>5.5316000000000001</c:v>
                </c:pt>
                <c:pt idx="7">
                  <c:v>6.1130999999999993</c:v>
                </c:pt>
                <c:pt idx="8">
                  <c:v>6.9352999999999998</c:v>
                </c:pt>
                <c:pt idx="9">
                  <c:v>8.6030999999999995</c:v>
                </c:pt>
                <c:pt idx="10">
                  <c:v>10.516500000000001</c:v>
                </c:pt>
                <c:pt idx="11">
                  <c:v>7.5647000000000002</c:v>
                </c:pt>
                <c:pt idx="12">
                  <c:v>6.4499000000000004</c:v>
                </c:pt>
                <c:pt idx="13">
                  <c:v>6.3623000000000003</c:v>
                </c:pt>
                <c:pt idx="14">
                  <c:v>6.7671999999999999</c:v>
                </c:pt>
              </c:numCache>
            </c:numRef>
          </c:val>
          <c:smooth val="0"/>
          <c:extLst>
            <c:ext xmlns:c16="http://schemas.microsoft.com/office/drawing/2014/chart" uri="{C3380CC4-5D6E-409C-BE32-E72D297353CC}">
              <c16:uniqueId val="{00000002-8548-47D7-A708-98FA5FB3A303}"/>
            </c:ext>
          </c:extLst>
        </c:ser>
        <c:dLbls>
          <c:showLegendKey val="0"/>
          <c:showVal val="0"/>
          <c:showCatName val="0"/>
          <c:showSerName val="0"/>
          <c:showPercent val="0"/>
          <c:showBubbleSize val="0"/>
        </c:dLbls>
        <c:marker val="1"/>
        <c:smooth val="0"/>
        <c:axId val="401320024"/>
        <c:axId val="401320808"/>
      </c:lineChart>
      <c:catAx>
        <c:axId val="401319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6888"/>
        <c:crosses val="autoZero"/>
        <c:auto val="1"/>
        <c:lblAlgn val="ctr"/>
        <c:lblOffset val="100"/>
        <c:tickMarkSkip val="1"/>
        <c:noMultiLvlLbl val="0"/>
      </c:catAx>
      <c:valAx>
        <c:axId val="4013168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9632"/>
        <c:crosses val="autoZero"/>
        <c:crossBetween val="between"/>
      </c:valAx>
      <c:catAx>
        <c:axId val="401320024"/>
        <c:scaling>
          <c:orientation val="minMax"/>
        </c:scaling>
        <c:delete val="1"/>
        <c:axPos val="b"/>
        <c:majorTickMark val="out"/>
        <c:minorTickMark val="none"/>
        <c:tickLblPos val="nextTo"/>
        <c:crossAx val="401320808"/>
        <c:crosses val="autoZero"/>
        <c:auto val="1"/>
        <c:lblAlgn val="ctr"/>
        <c:lblOffset val="100"/>
        <c:noMultiLvlLbl val="0"/>
      </c:catAx>
      <c:valAx>
        <c:axId val="401320808"/>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20024"/>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'Foreign Trade'!$D$123</c:f>
              <c:strCache>
                <c:ptCount val="1"/>
                <c:pt idx="0">
                  <c:v>Merchandise Imports (% of GDP) </c:v>
                </c:pt>
              </c:strCache>
            </c:strRef>
          </c:tx>
          <c:marker>
            <c:symbol val="none"/>
          </c:marker>
          <c:cat>
            <c:multiLvlStrRef>
              <c:f>'Foreign Trade'!$U$121:$CY$122</c:f>
              <c:multiLvlStrCache>
                <c:ptCount val="83"/>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'Foreign Trade'!$U$123:$CY$123</c:f>
              <c:numCache>
                <c:formatCode>0.0</c:formatCode>
                <c:ptCount val="83"/>
                <c:pt idx="0">
                  <c:v>14.263418577950587</c:v>
                </c:pt>
                <c:pt idx="1">
                  <c:v>14.746592888615636</c:v>
                </c:pt>
                <c:pt idx="2">
                  <c:v>16.801768904562273</c:v>
                </c:pt>
                <c:pt idx="3">
                  <c:v>16.687923743035508</c:v>
                </c:pt>
                <c:pt idx="4">
                  <c:v>17.773807780905592</c:v>
                </c:pt>
                <c:pt idx="5">
                  <c:v>17.944480445430752</c:v>
                </c:pt>
                <c:pt idx="6">
                  <c:v>17.412025636995512</c:v>
                </c:pt>
                <c:pt idx="7">
                  <c:v>17.42581832153321</c:v>
                </c:pt>
                <c:pt idx="8">
                  <c:v>17.510038169830963</c:v>
                </c:pt>
                <c:pt idx="9">
                  <c:v>18.526482283739661</c:v>
                </c:pt>
                <c:pt idx="10">
                  <c:v>19.495465592580853</c:v>
                </c:pt>
                <c:pt idx="11">
                  <c:v>19.172426540772637</c:v>
                </c:pt>
                <c:pt idx="12">
                  <c:v>18.367557299681199</c:v>
                </c:pt>
                <c:pt idx="13">
                  <c:v>18.029394690102716</c:v>
                </c:pt>
                <c:pt idx="14">
                  <c:v>19.45032277296497</c:v>
                </c:pt>
                <c:pt idx="15">
                  <c:v>19.787848663176707</c:v>
                </c:pt>
                <c:pt idx="16">
                  <c:v>19.124995930592181</c:v>
                </c:pt>
                <c:pt idx="17">
                  <c:v>18.070323288649455</c:v>
                </c:pt>
                <c:pt idx="18">
                  <c:v>21.659955753656195</c:v>
                </c:pt>
                <c:pt idx="19">
                  <c:v>20.246511990970781</c:v>
                </c:pt>
                <c:pt idx="20">
                  <c:v>17.686328829025744</c:v>
                </c:pt>
                <c:pt idx="21">
                  <c:v>17.433413152045439</c:v>
                </c:pt>
                <c:pt idx="22">
                  <c:v>17.802757751473166</c:v>
                </c:pt>
                <c:pt idx="23">
                  <c:v>18.82459395688727</c:v>
                </c:pt>
                <c:pt idx="24">
                  <c:v>19.771484401200148</c:v>
                </c:pt>
                <c:pt idx="25">
                  <c:v>19.231601789877821</c:v>
                </c:pt>
                <c:pt idx="26">
                  <c:v>19.773784951144034</c:v>
                </c:pt>
                <c:pt idx="27">
                  <c:v>21.203027796394579</c:v>
                </c:pt>
                <c:pt idx="28">
                  <c:v>20.81968067274806</c:v>
                </c:pt>
                <c:pt idx="29">
                  <c:v>21.170367702026951</c:v>
                </c:pt>
                <c:pt idx="30">
                  <c:v>20.26189913107163</c:v>
                </c:pt>
                <c:pt idx="31">
                  <c:v>22.288528170615713</c:v>
                </c:pt>
                <c:pt idx="32">
                  <c:v>24.01068113408817</c:v>
                </c:pt>
                <c:pt idx="33">
                  <c:v>23.411910835236998</c:v>
                </c:pt>
                <c:pt idx="34">
                  <c:v>22.520406517180191</c:v>
                </c:pt>
                <c:pt idx="35">
                  <c:v>23.113174152928352</c:v>
                </c:pt>
                <c:pt idx="36">
                  <c:v>20.402369813903189</c:v>
                </c:pt>
                <c:pt idx="37">
                  <c:v>19.895686611667003</c:v>
                </c:pt>
                <c:pt idx="38">
                  <c:v>19.884091168022834</c:v>
                </c:pt>
                <c:pt idx="39">
                  <c:v>19.715241543646627</c:v>
                </c:pt>
                <c:pt idx="40">
                  <c:v>19.392974485578161</c:v>
                </c:pt>
                <c:pt idx="41">
                  <c:v>21.785363403844254</c:v>
                </c:pt>
                <c:pt idx="42">
                  <c:v>21.309168638171375</c:v>
                </c:pt>
                <c:pt idx="43">
                  <c:v>21.873306800862242</c:v>
                </c:pt>
                <c:pt idx="44">
                  <c:v>20.512435908810357</c:v>
                </c:pt>
                <c:pt idx="45">
                  <c:v>22.070297526751688</c:v>
                </c:pt>
                <c:pt idx="46">
                  <c:v>23.121537375261163</c:v>
                </c:pt>
                <c:pt idx="47">
                  <c:v>22.143450515976081</c:v>
                </c:pt>
                <c:pt idx="48">
                  <c:v>22.548713133512972</c:v>
                </c:pt>
                <c:pt idx="49">
                  <c:v>24.950401574680424</c:v>
                </c:pt>
                <c:pt idx="50">
                  <c:v>25.895490593177129</c:v>
                </c:pt>
                <c:pt idx="51">
                  <c:v>29.344604830950701</c:v>
                </c:pt>
                <c:pt idx="52">
                  <c:v>26.610244958115164</c:v>
                </c:pt>
                <c:pt idx="53">
                  <c:v>27.435914311099413</c:v>
                </c:pt>
                <c:pt idx="54">
                  <c:v>27.660327764843167</c:v>
                </c:pt>
                <c:pt idx="55">
                  <c:v>26.671676073535817</c:v>
                </c:pt>
                <c:pt idx="56">
                  <c:v>29.462094819336997</c:v>
                </c:pt>
                <c:pt idx="57">
                  <c:v>32.393499552903442</c:v>
                </c:pt>
                <c:pt idx="58">
                  <c:v>33.406501039075373</c:v>
                </c:pt>
                <c:pt idx="59">
                  <c:v>30.180155761551109</c:v>
                </c:pt>
                <c:pt idx="60">
                  <c:v>25.730666879393894</c:v>
                </c:pt>
                <c:pt idx="61">
                  <c:v>21.249792361924232</c:v>
                </c:pt>
                <c:pt idx="62">
                  <c:v>20.564345747643291</c:v>
                </c:pt>
                <c:pt idx="63">
                  <c:v>22.057612090004291</c:v>
                </c:pt>
                <c:pt idx="64">
                  <c:v>22.365665056130794</c:v>
                </c:pt>
                <c:pt idx="65">
                  <c:v>22.338568107761837</c:v>
                </c:pt>
                <c:pt idx="66">
                  <c:v>22.721010826827513</c:v>
                </c:pt>
                <c:pt idx="67">
                  <c:v>21.275510651469741</c:v>
                </c:pt>
                <c:pt idx="68">
                  <c:v>22.696340529552568</c:v>
                </c:pt>
                <c:pt idx="69">
                  <c:v>23.962228229060571</c:v>
                </c:pt>
                <c:pt idx="70">
                  <c:v>24.997231228055835</c:v>
                </c:pt>
                <c:pt idx="71">
                  <c:v>26.556315358630091</c:v>
                </c:pt>
                <c:pt idx="72">
                  <c:v>26.077037922144452</c:v>
                </c:pt>
                <c:pt idx="73">
                  <c:v>26.45944407396162</c:v>
                </c:pt>
                <c:pt idx="74">
                  <c:v>26.089156749989932</c:v>
                </c:pt>
                <c:pt idx="75">
                  <c:v>26.386230996191063</c:v>
                </c:pt>
                <c:pt idx="76">
                  <c:v>27.614466132618219</c:v>
                </c:pt>
                <c:pt idx="77">
                  <c:v>28.512244382224711</c:v>
                </c:pt>
                <c:pt idx="78">
                  <c:v>29.448844459996305</c:v>
                </c:pt>
                <c:pt idx="79">
                  <c:v>27.700989440503211</c:v>
                </c:pt>
                <c:pt idx="80">
                  <c:v>29.402143113695427</c:v>
                </c:pt>
                <c:pt idx="81">
                  <c:v>28.494982453254448</c:v>
                </c:pt>
                <c:pt idx="82">
                  <c:v>28.08707891546387</c:v>
                </c:pt>
              </c:numCache>
            </c:numRef>
          </c:val>
          <c:smooth val="0"/>
          <c:extLst>
            <c:ext xmlns:c16="http://schemas.microsoft.com/office/drawing/2014/chart" uri="{C3380CC4-5D6E-409C-BE32-E72D297353CC}">
              <c16:uniqueId val="{00000000-10B5-4330-860B-1FFE79A5D9CD}"/>
            </c:ext>
          </c:extLst>
        </c:ser>
        <c:ser>
          <c:idx val="1"/>
          <c:order val="1"/>
          <c:tx>
            <c:strRef>
              <c:f>'Foreign Trade'!$D$124</c:f>
              <c:strCache>
                <c:ptCount val="1"/>
                <c:pt idx="0">
                  <c:v>Merchandise Exports (% of GDP) </c:v>
                </c:pt>
              </c:strCache>
            </c:strRef>
          </c:tx>
          <c:marker>
            <c:symbol val="none"/>
          </c:marker>
          <c:cat>
            <c:multiLvlStrRef>
              <c:f>'Foreign Trade'!$U$121:$CY$122</c:f>
              <c:multiLvlStrCache>
                <c:ptCount val="83"/>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'Foreign Trade'!$U$124:$CY$124</c:f>
              <c:numCache>
                <c:formatCode>0.0</c:formatCode>
                <c:ptCount val="83"/>
                <c:pt idx="0">
                  <c:v>13.607883095477721</c:v>
                </c:pt>
                <c:pt idx="1">
                  <c:v>12.899067527410596</c:v>
                </c:pt>
                <c:pt idx="2">
                  <c:v>13.802216779576899</c:v>
                </c:pt>
                <c:pt idx="3">
                  <c:v>15.881049875813922</c:v>
                </c:pt>
                <c:pt idx="4">
                  <c:v>14.932459604561132</c:v>
                </c:pt>
                <c:pt idx="5">
                  <c:v>14.508357256893786</c:v>
                </c:pt>
                <c:pt idx="6">
                  <c:v>16.136812140898694</c:v>
                </c:pt>
                <c:pt idx="7">
                  <c:v>15.773349604697257</c:v>
                </c:pt>
                <c:pt idx="8">
                  <c:v>15.493811860737949</c:v>
                </c:pt>
                <c:pt idx="9">
                  <c:v>15.482671223304918</c:v>
                </c:pt>
                <c:pt idx="10">
                  <c:v>17.301918809554888</c:v>
                </c:pt>
                <c:pt idx="11">
                  <c:v>17.123567859447959</c:v>
                </c:pt>
                <c:pt idx="12">
                  <c:v>15.585218780600938</c:v>
                </c:pt>
                <c:pt idx="13">
                  <c:v>15.949809457571979</c:v>
                </c:pt>
                <c:pt idx="14">
                  <c:v>17.553196724884383</c:v>
                </c:pt>
                <c:pt idx="15">
                  <c:v>17.951489382794922</c:v>
                </c:pt>
                <c:pt idx="16">
                  <c:v>18.010385128756063</c:v>
                </c:pt>
                <c:pt idx="17">
                  <c:v>17.218389175054739</c:v>
                </c:pt>
                <c:pt idx="18">
                  <c:v>18.757708848616158</c:v>
                </c:pt>
                <c:pt idx="19">
                  <c:v>17.044696933827961</c:v>
                </c:pt>
                <c:pt idx="20">
                  <c:v>18.590479378398058</c:v>
                </c:pt>
                <c:pt idx="21">
                  <c:v>17.153945380435783</c:v>
                </c:pt>
                <c:pt idx="22">
                  <c:v>17.699295042725396</c:v>
                </c:pt>
                <c:pt idx="23">
                  <c:v>18.70753441916936</c:v>
                </c:pt>
                <c:pt idx="24">
                  <c:v>19.465634348212969</c:v>
                </c:pt>
                <c:pt idx="25">
                  <c:v>19.842658754731815</c:v>
                </c:pt>
                <c:pt idx="26">
                  <c:v>19.767383028088954</c:v>
                </c:pt>
                <c:pt idx="27">
                  <c:v>22.850564441304748</c:v>
                </c:pt>
                <c:pt idx="28">
                  <c:v>22.513446211712338</c:v>
                </c:pt>
                <c:pt idx="29">
                  <c:v>23.7059933145086</c:v>
                </c:pt>
                <c:pt idx="30">
                  <c:v>21.102791403788498</c:v>
                </c:pt>
                <c:pt idx="31">
                  <c:v>23.122012664323606</c:v>
                </c:pt>
                <c:pt idx="32">
                  <c:v>24.502034048924365</c:v>
                </c:pt>
                <c:pt idx="33">
                  <c:v>24.434811420655482</c:v>
                </c:pt>
                <c:pt idx="34">
                  <c:v>22.654702371350218</c:v>
                </c:pt>
                <c:pt idx="35">
                  <c:v>23.646502451894261</c:v>
                </c:pt>
                <c:pt idx="36">
                  <c:v>20.661631108878133</c:v>
                </c:pt>
                <c:pt idx="37">
                  <c:v>19.570155060030121</c:v>
                </c:pt>
                <c:pt idx="38">
                  <c:v>19.95889523832367</c:v>
                </c:pt>
                <c:pt idx="39">
                  <c:v>18.120406663848922</c:v>
                </c:pt>
                <c:pt idx="40">
                  <c:v>18.606924115825365</c:v>
                </c:pt>
                <c:pt idx="41">
                  <c:v>19.264561401582927</c:v>
                </c:pt>
                <c:pt idx="42">
                  <c:v>19.410750586080685</c:v>
                </c:pt>
                <c:pt idx="43">
                  <c:v>19.044324299039918</c:v>
                </c:pt>
                <c:pt idx="44">
                  <c:v>18.490176567118546</c:v>
                </c:pt>
                <c:pt idx="45">
                  <c:v>21.156090877841169</c:v>
                </c:pt>
                <c:pt idx="46">
                  <c:v>20.993235606686795</c:v>
                </c:pt>
                <c:pt idx="47">
                  <c:v>20.141135234946152</c:v>
                </c:pt>
                <c:pt idx="48">
                  <c:v>20.249979236646855</c:v>
                </c:pt>
                <c:pt idx="49">
                  <c:v>21.896953287301244</c:v>
                </c:pt>
                <c:pt idx="50">
                  <c:v>23.563933446840931</c:v>
                </c:pt>
                <c:pt idx="51">
                  <c:v>24.182705746270848</c:v>
                </c:pt>
                <c:pt idx="52">
                  <c:v>25.137606807684783</c:v>
                </c:pt>
                <c:pt idx="53">
                  <c:v>24.00820343274366</c:v>
                </c:pt>
                <c:pt idx="54">
                  <c:v>23.689780904742751</c:v>
                </c:pt>
                <c:pt idx="55">
                  <c:v>24.533929668466847</c:v>
                </c:pt>
                <c:pt idx="56">
                  <c:v>26.848880723659292</c:v>
                </c:pt>
                <c:pt idx="57">
                  <c:v>29.436180750670221</c:v>
                </c:pt>
                <c:pt idx="58">
                  <c:v>30.115902287955265</c:v>
                </c:pt>
                <c:pt idx="59">
                  <c:v>28.380897936923304</c:v>
                </c:pt>
                <c:pt idx="60">
                  <c:v>23.644835535264651</c:v>
                </c:pt>
                <c:pt idx="61">
                  <c:v>20.923338600943783</c:v>
                </c:pt>
                <c:pt idx="62">
                  <c:v>20.205675869786312</c:v>
                </c:pt>
                <c:pt idx="63">
                  <c:v>20.878455813731161</c:v>
                </c:pt>
                <c:pt idx="64">
                  <c:v>21.574813973234015</c:v>
                </c:pt>
                <c:pt idx="65">
                  <c:v>22.050441492567369</c:v>
                </c:pt>
                <c:pt idx="66">
                  <c:v>22.624711309301109</c:v>
                </c:pt>
                <c:pt idx="67">
                  <c:v>22.410860693472326</c:v>
                </c:pt>
                <c:pt idx="68">
                  <c:v>23.033237267684026</c:v>
                </c:pt>
                <c:pt idx="69">
                  <c:v>23.697201527931576</c:v>
                </c:pt>
                <c:pt idx="70">
                  <c:v>24.160336946360978</c:v>
                </c:pt>
                <c:pt idx="71">
                  <c:v>24.205805783139581</c:v>
                </c:pt>
                <c:pt idx="72">
                  <c:v>23.510631821240175</c:v>
                </c:pt>
                <c:pt idx="73">
                  <c:v>23.48515853353048</c:v>
                </c:pt>
                <c:pt idx="74">
                  <c:v>22.613683366704123</c:v>
                </c:pt>
                <c:pt idx="75">
                  <c:v>22.855192060862127</c:v>
                </c:pt>
                <c:pt idx="76">
                  <c:v>23.909977069883119</c:v>
                </c:pt>
                <c:pt idx="77">
                  <c:v>24.273573802618372</c:v>
                </c:pt>
                <c:pt idx="78">
                  <c:v>25.164834424178974</c:v>
                </c:pt>
                <c:pt idx="79">
                  <c:v>24.930303812050443</c:v>
                </c:pt>
                <c:pt idx="80">
                  <c:v>25.845389441256224</c:v>
                </c:pt>
                <c:pt idx="81">
                  <c:v>24.376376536188939</c:v>
                </c:pt>
                <c:pt idx="82">
                  <c:v>24.419348864928214</c:v>
                </c:pt>
              </c:numCache>
            </c:numRef>
          </c:val>
          <c:smooth val="0"/>
          <c:extLst>
            <c:ext xmlns:c16="http://schemas.microsoft.com/office/drawing/2014/chart" uri="{C3380CC4-5D6E-409C-BE32-E72D297353CC}">
              <c16:uniqueId val="{00000001-10B5-4330-860B-1FFE79A5D9CD}"/>
            </c:ext>
          </c:extLst>
        </c:ser>
        <c:dLbls>
          <c:showLegendKey val="0"/>
          <c:showVal val="0"/>
          <c:showCatName val="0"/>
          <c:showSerName val="0"/>
          <c:showPercent val="0"/>
          <c:showBubbleSize val="0"/>
        </c:dLbls>
        <c:marker val="1"/>
        <c:smooth val="0"/>
        <c:axId val="401313752"/>
        <c:axId val="401314536"/>
      </c:lineChart>
      <c:lineChart>
        <c:grouping val="standard"/>
        <c:varyColors val="0"/>
        <c:ser>
          <c:idx val="2"/>
          <c:order val="2"/>
          <c:tx>
            <c:strRef>
              <c:f>'Foreign Trade'!$D$125</c:f>
              <c:strCache>
                <c:ptCount val="1"/>
                <c:pt idx="0">
                  <c:v>Balance on current account  (% GDP)</c:v>
                </c:pt>
              </c:strCache>
            </c:strRef>
          </c:tx>
          <c:marker>
            <c:symbol val="none"/>
          </c:marker>
          <c:cat>
            <c:multiLvlStrRef>
              <c:f>'Foreign Trade'!$U$121:$CY$122</c:f>
              <c:multiLvlStrCache>
                <c:ptCount val="83"/>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'Foreign Trade'!$U$125:$CY$125</c:f>
              <c:numCache>
                <c:formatCode>0.0</c:formatCode>
                <c:ptCount val="83"/>
                <c:pt idx="0">
                  <c:v>1.2</c:v>
                </c:pt>
                <c:pt idx="1">
                  <c:v>0</c:v>
                </c:pt>
                <c:pt idx="2">
                  <c:v>-0.8</c:v>
                </c:pt>
                <c:pt idx="3">
                  <c:v>-0.2</c:v>
                </c:pt>
                <c:pt idx="4">
                  <c:v>-1.5</c:v>
                </c:pt>
                <c:pt idx="5">
                  <c:v>-3.3</c:v>
                </c:pt>
                <c:pt idx="6">
                  <c:v>-0.8</c:v>
                </c:pt>
                <c:pt idx="7">
                  <c:v>-0.9</c:v>
                </c:pt>
                <c:pt idx="8">
                  <c:v>-1.2</c:v>
                </c:pt>
                <c:pt idx="9">
                  <c:v>-1.9</c:v>
                </c:pt>
                <c:pt idx="10">
                  <c:v>-0.2</c:v>
                </c:pt>
                <c:pt idx="11">
                  <c:v>-1.1000000000000001</c:v>
                </c:pt>
                <c:pt idx="12">
                  <c:v>-1.6</c:v>
                </c:pt>
                <c:pt idx="13">
                  <c:v>-1.3</c:v>
                </c:pt>
                <c:pt idx="14">
                  <c:v>-1.2</c:v>
                </c:pt>
                <c:pt idx="15">
                  <c:v>-1.7</c:v>
                </c:pt>
                <c:pt idx="16">
                  <c:v>-0.5</c:v>
                </c:pt>
                <c:pt idx="17">
                  <c:v>-1</c:v>
                </c:pt>
                <c:pt idx="18">
                  <c:v>-2.6</c:v>
                </c:pt>
                <c:pt idx="19">
                  <c:v>-2.7</c:v>
                </c:pt>
                <c:pt idx="20">
                  <c:v>1.3</c:v>
                </c:pt>
                <c:pt idx="21">
                  <c:v>-0.9</c:v>
                </c:pt>
                <c:pt idx="22">
                  <c:v>-0.8</c:v>
                </c:pt>
                <c:pt idx="23">
                  <c:v>-1.4</c:v>
                </c:pt>
                <c:pt idx="24">
                  <c:v>-0.1</c:v>
                </c:pt>
                <c:pt idx="25">
                  <c:v>-0.1</c:v>
                </c:pt>
                <c:pt idx="26">
                  <c:v>-1</c:v>
                </c:pt>
                <c:pt idx="27">
                  <c:v>0.7</c:v>
                </c:pt>
                <c:pt idx="28">
                  <c:v>0.7</c:v>
                </c:pt>
                <c:pt idx="29">
                  <c:v>0.5</c:v>
                </c:pt>
                <c:pt idx="30">
                  <c:v>-0.7</c:v>
                </c:pt>
                <c:pt idx="31">
                  <c:v>0.6</c:v>
                </c:pt>
                <c:pt idx="32">
                  <c:v>1.2</c:v>
                </c:pt>
                <c:pt idx="33">
                  <c:v>0.4</c:v>
                </c:pt>
                <c:pt idx="34">
                  <c:v>0.8</c:v>
                </c:pt>
                <c:pt idx="35">
                  <c:v>1.2</c:v>
                </c:pt>
                <c:pt idx="36">
                  <c:v>0.3</c:v>
                </c:pt>
                <c:pt idx="37">
                  <c:v>-2.5</c:v>
                </c:pt>
                <c:pt idx="38">
                  <c:v>0</c:v>
                </c:pt>
                <c:pt idx="39">
                  <c:v>-1.1000000000000001</c:v>
                </c:pt>
                <c:pt idx="40">
                  <c:v>-1.4</c:v>
                </c:pt>
                <c:pt idx="41">
                  <c:v>-3.1</c:v>
                </c:pt>
                <c:pt idx="42">
                  <c:v>-2.9</c:v>
                </c:pt>
                <c:pt idx="43">
                  <c:v>-3.5</c:v>
                </c:pt>
                <c:pt idx="44">
                  <c:v>-3.2</c:v>
                </c:pt>
                <c:pt idx="45">
                  <c:v>-2.4</c:v>
                </c:pt>
                <c:pt idx="46">
                  <c:v>-3.3</c:v>
                </c:pt>
                <c:pt idx="47">
                  <c:v>-3.6</c:v>
                </c:pt>
                <c:pt idx="48">
                  <c:v>-4.5</c:v>
                </c:pt>
                <c:pt idx="49">
                  <c:v>-3.8</c:v>
                </c:pt>
                <c:pt idx="50">
                  <c:v>-3.1</c:v>
                </c:pt>
                <c:pt idx="51">
                  <c:v>-6.5</c:v>
                </c:pt>
                <c:pt idx="52">
                  <c:v>-3.4</c:v>
                </c:pt>
                <c:pt idx="53">
                  <c:v>-5.4</c:v>
                </c:pt>
                <c:pt idx="54">
                  <c:v>-6.9</c:v>
                </c:pt>
                <c:pt idx="55">
                  <c:v>-5.7</c:v>
                </c:pt>
                <c:pt idx="56">
                  <c:v>-5.9</c:v>
                </c:pt>
                <c:pt idx="57">
                  <c:v>-5.8</c:v>
                </c:pt>
                <c:pt idx="58">
                  <c:v>-6.6</c:v>
                </c:pt>
                <c:pt idx="59">
                  <c:v>-3.8</c:v>
                </c:pt>
                <c:pt idx="60">
                  <c:v>-4</c:v>
                </c:pt>
                <c:pt idx="61">
                  <c:v>-1.9</c:v>
                </c:pt>
                <c:pt idx="62">
                  <c:v>-2.2999999999999998</c:v>
                </c:pt>
                <c:pt idx="63">
                  <c:v>-2.7</c:v>
                </c:pt>
                <c:pt idx="64">
                  <c:v>-2.7</c:v>
                </c:pt>
                <c:pt idx="65">
                  <c:v>-1.2</c:v>
                </c:pt>
                <c:pt idx="66">
                  <c:v>-1.9</c:v>
                </c:pt>
                <c:pt idx="67">
                  <c:v>-0.4</c:v>
                </c:pt>
                <c:pt idx="68">
                  <c:v>-1.4</c:v>
                </c:pt>
                <c:pt idx="69">
                  <c:v>-1.9</c:v>
                </c:pt>
                <c:pt idx="70">
                  <c:v>-2.7</c:v>
                </c:pt>
                <c:pt idx="71">
                  <c:v>-2.7</c:v>
                </c:pt>
                <c:pt idx="72">
                  <c:v>-3.6</c:v>
                </c:pt>
                <c:pt idx="73">
                  <c:v>-4.8</c:v>
                </c:pt>
                <c:pt idx="74">
                  <c:v>-5.5</c:v>
                </c:pt>
                <c:pt idx="75">
                  <c:v>-5.8</c:v>
                </c:pt>
                <c:pt idx="76">
                  <c:v>-5.2</c:v>
                </c:pt>
                <c:pt idx="77">
                  <c:v>-6.1</c:v>
                </c:pt>
                <c:pt idx="78">
                  <c:v>-6.4</c:v>
                </c:pt>
                <c:pt idx="79">
                  <c:v>-5.3</c:v>
                </c:pt>
                <c:pt idx="80" formatCode="General">
                  <c:v>-4.5999999999999996</c:v>
                </c:pt>
                <c:pt idx="81" formatCode="General">
                  <c:v>-6.2</c:v>
                </c:pt>
                <c:pt idx="82" formatCode="General">
                  <c:v>-5.8</c:v>
                </c:pt>
              </c:numCache>
            </c:numRef>
          </c:val>
          <c:smooth val="0"/>
          <c:extLst>
            <c:ext xmlns:c16="http://schemas.microsoft.com/office/drawing/2014/chart" uri="{C3380CC4-5D6E-409C-BE32-E72D297353CC}">
              <c16:uniqueId val="{00000002-10B5-4330-860B-1FFE79A5D9CD}"/>
            </c:ext>
          </c:extLst>
        </c:ser>
        <c:dLbls>
          <c:showLegendKey val="0"/>
          <c:showVal val="0"/>
          <c:showCatName val="0"/>
          <c:showSerName val="0"/>
          <c:showPercent val="0"/>
          <c:showBubbleSize val="0"/>
        </c:dLbls>
        <c:marker val="1"/>
        <c:smooth val="0"/>
        <c:axId val="401315320"/>
        <c:axId val="401314928"/>
      </c:lineChart>
      <c:catAx>
        <c:axId val="401313752"/>
        <c:scaling>
          <c:orientation val="minMax"/>
        </c:scaling>
        <c:delete val="0"/>
        <c:axPos val="b"/>
        <c:numFmt formatCode="General" sourceLinked="0"/>
        <c:majorTickMark val="out"/>
        <c:minorTickMark val="none"/>
        <c:tickLblPos val="nextTo"/>
        <c:crossAx val="401314536"/>
        <c:crosses val="autoZero"/>
        <c:auto val="1"/>
        <c:lblAlgn val="ctr"/>
        <c:lblOffset val="100"/>
        <c:noMultiLvlLbl val="0"/>
      </c:catAx>
      <c:valAx>
        <c:axId val="401314536"/>
        <c:scaling>
          <c:orientation val="minMax"/>
        </c:scaling>
        <c:delete val="0"/>
        <c:axPos val="l"/>
        <c:majorGridlines/>
        <c:numFmt formatCode="0.0" sourceLinked="1"/>
        <c:majorTickMark val="out"/>
        <c:minorTickMark val="none"/>
        <c:tickLblPos val="nextTo"/>
        <c:crossAx val="401313752"/>
        <c:crosses val="autoZero"/>
        <c:crossBetween val="between"/>
      </c:valAx>
      <c:valAx>
        <c:axId val="401314928"/>
        <c:scaling>
          <c:orientation val="minMax"/>
        </c:scaling>
        <c:delete val="0"/>
        <c:axPos val="r"/>
        <c:numFmt formatCode="0.0" sourceLinked="1"/>
        <c:majorTickMark val="out"/>
        <c:minorTickMark val="none"/>
        <c:tickLblPos val="nextTo"/>
        <c:crossAx val="401315320"/>
        <c:crosses val="max"/>
        <c:crossBetween val="between"/>
      </c:valAx>
      <c:catAx>
        <c:axId val="401315320"/>
        <c:scaling>
          <c:orientation val="minMax"/>
        </c:scaling>
        <c:delete val="1"/>
        <c:axPos val="b"/>
        <c:numFmt formatCode="General" sourceLinked="1"/>
        <c:majorTickMark val="out"/>
        <c:minorTickMark val="none"/>
        <c:tickLblPos val="nextTo"/>
        <c:crossAx val="401314928"/>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Balance of payments </a:t>
            </a:r>
          </a:p>
        </c:rich>
      </c:tx>
      <c:overlay val="0"/>
    </c:title>
    <c:autoTitleDeleted val="0"/>
    <c:plotArea>
      <c:layout>
        <c:manualLayout>
          <c:layoutTarget val="inner"/>
          <c:xMode val="edge"/>
          <c:yMode val="edge"/>
          <c:x val="7.3193835199665783E-2"/>
          <c:y val="0.11345029239766082"/>
          <c:w val="0.85821148437760164"/>
          <c:h val="0.63483590044665472"/>
        </c:manualLayout>
      </c:layout>
      <c:lineChart>
        <c:grouping val="standard"/>
        <c:varyColors val="0"/>
        <c:ser>
          <c:idx val="0"/>
          <c:order val="0"/>
          <c:tx>
            <c:strRef>
              <c:f>'Foreign Trade'!$D$123</c:f>
              <c:strCache>
                <c:ptCount val="1"/>
                <c:pt idx="0">
                  <c:v>Merchandise Imports (% of GDP) </c:v>
                </c:pt>
              </c:strCache>
            </c:strRef>
          </c:tx>
          <c:spPr>
            <a:ln w="25400">
              <a:solidFill>
                <a:srgbClr val="FF6600"/>
              </a:solidFill>
            </a:ln>
          </c:spPr>
          <c:marker>
            <c:symbol val="none"/>
          </c:marker>
          <c:cat>
            <c:strRef>
              <c:f>'Foreign Trade'!$E$7:$Z$7</c:f>
              <c:strCach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strCache>
            </c:strRef>
          </c:cat>
          <c:val>
            <c:numRef>
              <c:f>'Foreign Trade'!$E$8:$Z$8</c:f>
              <c:numCache>
                <c:formatCode>0.0</c:formatCode>
                <c:ptCount val="22"/>
                <c:pt idx="0">
                  <c:v>19.3</c:v>
                </c:pt>
                <c:pt idx="1">
                  <c:v>21.5</c:v>
                </c:pt>
                <c:pt idx="2">
                  <c:v>22.6</c:v>
                </c:pt>
                <c:pt idx="3">
                  <c:v>22.9</c:v>
                </c:pt>
                <c:pt idx="4">
                  <c:v>23.9</c:v>
                </c:pt>
                <c:pt idx="5">
                  <c:v>22.2</c:v>
                </c:pt>
                <c:pt idx="6">
                  <c:v>24.3</c:v>
                </c:pt>
                <c:pt idx="7">
                  <c:v>25.4</c:v>
                </c:pt>
                <c:pt idx="8">
                  <c:v>28</c:v>
                </c:pt>
                <c:pt idx="9">
                  <c:v>24.5</c:v>
                </c:pt>
                <c:pt idx="10">
                  <c:v>25.6</c:v>
                </c:pt>
                <c:pt idx="11">
                  <c:v>26.7</c:v>
                </c:pt>
                <c:pt idx="12">
                  <c:v>31</c:v>
                </c:pt>
                <c:pt idx="13">
                  <c:v>32.5</c:v>
                </c:pt>
                <c:pt idx="14">
                  <c:v>37.200000000000003</c:v>
                </c:pt>
                <c:pt idx="15">
                  <c:v>27.5</c:v>
                </c:pt>
                <c:pt idx="16">
                  <c:v>27.4</c:v>
                </c:pt>
                <c:pt idx="17">
                  <c:v>29.7</c:v>
                </c:pt>
                <c:pt idx="18">
                  <c:v>31.2</c:v>
                </c:pt>
                <c:pt idx="19">
                  <c:v>33.200000000000003</c:v>
                </c:pt>
                <c:pt idx="20">
                  <c:v>32.9</c:v>
                </c:pt>
                <c:pt idx="21">
                  <c:v>31.7</c:v>
                </c:pt>
              </c:numCache>
            </c:numRef>
          </c:val>
          <c:smooth val="0"/>
          <c:extLst>
            <c:ext xmlns:c16="http://schemas.microsoft.com/office/drawing/2014/chart" uri="{C3380CC4-5D6E-409C-BE32-E72D297353CC}">
              <c16:uniqueId val="{00000000-E6A7-413B-B06D-F0B5B6C3F631}"/>
            </c:ext>
          </c:extLst>
        </c:ser>
        <c:ser>
          <c:idx val="1"/>
          <c:order val="1"/>
          <c:tx>
            <c:strRef>
              <c:f>'Foreign Trade'!$D$124</c:f>
              <c:strCache>
                <c:ptCount val="1"/>
                <c:pt idx="0">
                  <c:v>Merchandise Exports (% of GDP) </c:v>
                </c:pt>
              </c:strCache>
            </c:strRef>
          </c:tx>
          <c:spPr>
            <a:ln w="25400">
              <a:solidFill>
                <a:srgbClr val="BE4B48"/>
              </a:solidFill>
            </a:ln>
          </c:spPr>
          <c:marker>
            <c:symbol val="none"/>
          </c:marker>
          <c:cat>
            <c:strRef>
              <c:f>'Foreign Trade'!$E$7:$Z$7</c:f>
              <c:strCach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strCache>
            </c:strRef>
          </c:cat>
          <c:val>
            <c:numRef>
              <c:f>'Foreign Trade'!$E$9:$Z$9</c:f>
              <c:numCache>
                <c:formatCode>0.0</c:formatCode>
                <c:ptCount val="22"/>
                <c:pt idx="0">
                  <c:v>21.5</c:v>
                </c:pt>
                <c:pt idx="1">
                  <c:v>22.1</c:v>
                </c:pt>
                <c:pt idx="2">
                  <c:v>24.1</c:v>
                </c:pt>
                <c:pt idx="3">
                  <c:v>24</c:v>
                </c:pt>
                <c:pt idx="4">
                  <c:v>25</c:v>
                </c:pt>
                <c:pt idx="5">
                  <c:v>24.7</c:v>
                </c:pt>
                <c:pt idx="6">
                  <c:v>27.2</c:v>
                </c:pt>
                <c:pt idx="7">
                  <c:v>29.4</c:v>
                </c:pt>
                <c:pt idx="8">
                  <c:v>31.8</c:v>
                </c:pt>
                <c:pt idx="9">
                  <c:v>26.9</c:v>
                </c:pt>
                <c:pt idx="10">
                  <c:v>25.5</c:v>
                </c:pt>
                <c:pt idx="11">
                  <c:v>26.4</c:v>
                </c:pt>
                <c:pt idx="12">
                  <c:v>29.3</c:v>
                </c:pt>
                <c:pt idx="13">
                  <c:v>31.2</c:v>
                </c:pt>
                <c:pt idx="14">
                  <c:v>35.6</c:v>
                </c:pt>
                <c:pt idx="15">
                  <c:v>27.9</c:v>
                </c:pt>
                <c:pt idx="16">
                  <c:v>28.6</c:v>
                </c:pt>
                <c:pt idx="17">
                  <c:v>30.5</c:v>
                </c:pt>
                <c:pt idx="18">
                  <c:v>29.7</c:v>
                </c:pt>
                <c:pt idx="19">
                  <c:v>30.8</c:v>
                </c:pt>
                <c:pt idx="20">
                  <c:v>31.2</c:v>
                </c:pt>
                <c:pt idx="21">
                  <c:v>30.7</c:v>
                </c:pt>
              </c:numCache>
            </c:numRef>
          </c:val>
          <c:smooth val="0"/>
          <c:extLst>
            <c:ext xmlns:c16="http://schemas.microsoft.com/office/drawing/2014/chart" uri="{C3380CC4-5D6E-409C-BE32-E72D297353CC}">
              <c16:uniqueId val="{00000001-E6A7-413B-B06D-F0B5B6C3F631}"/>
            </c:ext>
          </c:extLst>
        </c:ser>
        <c:dLbls>
          <c:showLegendKey val="0"/>
          <c:showVal val="0"/>
          <c:showCatName val="0"/>
          <c:showSerName val="0"/>
          <c:showPercent val="0"/>
          <c:showBubbleSize val="0"/>
        </c:dLbls>
        <c:marker val="1"/>
        <c:smooth val="0"/>
        <c:axId val="402111440"/>
        <c:axId val="402106736"/>
      </c:lineChart>
      <c:lineChart>
        <c:grouping val="standard"/>
        <c:varyColors val="0"/>
        <c:ser>
          <c:idx val="2"/>
          <c:order val="2"/>
          <c:tx>
            <c:strRef>
              <c:f>'Foreign Trade'!$D$125</c:f>
              <c:strCache>
                <c:ptCount val="1"/>
                <c:pt idx="0">
                  <c:v>Balance on current account  (% GDP)</c:v>
                </c:pt>
              </c:strCache>
            </c:strRef>
          </c:tx>
          <c:spPr>
            <a:ln w="25400">
              <a:solidFill>
                <a:srgbClr val="FFC600"/>
              </a:solidFill>
            </a:ln>
          </c:spPr>
          <c:marker>
            <c:symbol val="none"/>
          </c:marker>
          <c:cat>
            <c:strRef>
              <c:f>'Foreign Trade'!$E$7:$Z$7</c:f>
              <c:strCach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strCache>
            </c:strRef>
          </c:cat>
          <c:val>
            <c:numRef>
              <c:f>'Foreign Trade'!$E$11:$Z$11</c:f>
              <c:numCache>
                <c:formatCode>0.0</c:formatCode>
                <c:ptCount val="22"/>
                <c:pt idx="0">
                  <c:v>0</c:v>
                </c:pt>
                <c:pt idx="1">
                  <c:v>-1.6</c:v>
                </c:pt>
                <c:pt idx="2">
                  <c:v>-1.1000000000000001</c:v>
                </c:pt>
                <c:pt idx="3">
                  <c:v>-1.5</c:v>
                </c:pt>
                <c:pt idx="4">
                  <c:v>-1.7</c:v>
                </c:pt>
                <c:pt idx="5">
                  <c:v>-0.5</c:v>
                </c:pt>
                <c:pt idx="6">
                  <c:v>-0.1</c:v>
                </c:pt>
                <c:pt idx="7">
                  <c:v>0.3</c:v>
                </c:pt>
                <c:pt idx="8">
                  <c:v>0.9</c:v>
                </c:pt>
                <c:pt idx="9">
                  <c:v>-0.8</c:v>
                </c:pt>
                <c:pt idx="10">
                  <c:v>-2.8</c:v>
                </c:pt>
                <c:pt idx="11">
                  <c:v>-3.1</c:v>
                </c:pt>
                <c:pt idx="12">
                  <c:v>-4.5</c:v>
                </c:pt>
                <c:pt idx="13">
                  <c:v>-5.4</c:v>
                </c:pt>
                <c:pt idx="14">
                  <c:v>-5.5</c:v>
                </c:pt>
                <c:pt idx="15">
                  <c:v>-2.7</c:v>
                </c:pt>
                <c:pt idx="16">
                  <c:v>-1.5</c:v>
                </c:pt>
                <c:pt idx="17">
                  <c:v>-2.2000000000000002</c:v>
                </c:pt>
                <c:pt idx="18">
                  <c:v>-5.0999999999999996</c:v>
                </c:pt>
                <c:pt idx="19">
                  <c:v>-5.9</c:v>
                </c:pt>
                <c:pt idx="20">
                  <c:v>-5.3</c:v>
                </c:pt>
                <c:pt idx="21">
                  <c:v>-4.3</c:v>
                </c:pt>
              </c:numCache>
            </c:numRef>
          </c:val>
          <c:smooth val="0"/>
          <c:extLst>
            <c:ext xmlns:c16="http://schemas.microsoft.com/office/drawing/2014/chart" uri="{C3380CC4-5D6E-409C-BE32-E72D297353CC}">
              <c16:uniqueId val="{00000002-E6A7-413B-B06D-F0B5B6C3F631}"/>
            </c:ext>
          </c:extLst>
        </c:ser>
        <c:dLbls>
          <c:showLegendKey val="0"/>
          <c:showVal val="0"/>
          <c:showCatName val="0"/>
          <c:showSerName val="0"/>
          <c:showPercent val="0"/>
          <c:showBubbleSize val="0"/>
        </c:dLbls>
        <c:marker val="1"/>
        <c:smooth val="0"/>
        <c:axId val="402111832"/>
        <c:axId val="402109480"/>
      </c:lineChart>
      <c:catAx>
        <c:axId val="402111440"/>
        <c:scaling>
          <c:orientation val="minMax"/>
        </c:scaling>
        <c:delete val="0"/>
        <c:axPos val="b"/>
        <c:numFmt formatCode="General" sourceLinked="1"/>
        <c:majorTickMark val="out"/>
        <c:minorTickMark val="none"/>
        <c:tickLblPos val="nextTo"/>
        <c:crossAx val="402106736"/>
        <c:crosses val="autoZero"/>
        <c:auto val="1"/>
        <c:lblAlgn val="ctr"/>
        <c:lblOffset val="100"/>
        <c:noMultiLvlLbl val="0"/>
      </c:catAx>
      <c:valAx>
        <c:axId val="402106736"/>
        <c:scaling>
          <c:orientation val="minMax"/>
        </c:scaling>
        <c:delete val="0"/>
        <c:axPos val="l"/>
        <c:majorGridlines>
          <c:spPr>
            <a:ln w="6350">
              <a:prstDash val="sysDash"/>
            </a:ln>
          </c:spPr>
        </c:majorGridlines>
        <c:title>
          <c:tx>
            <c:rich>
              <a:bodyPr/>
              <a:lstStyle/>
              <a:p>
                <a:pPr>
                  <a:defRPr/>
                </a:pPr>
                <a:r>
                  <a:rPr lang="en-US"/>
                  <a:t>Imports and Exports as % of GDP</a:t>
                </a:r>
              </a:p>
            </c:rich>
          </c:tx>
          <c:layout>
            <c:manualLayout>
              <c:xMode val="edge"/>
              <c:yMode val="edge"/>
              <c:x val="1.6339869281045753E-2"/>
              <c:y val="0.21231005663765715"/>
            </c:manualLayout>
          </c:layout>
          <c:overlay val="0"/>
        </c:title>
        <c:numFmt formatCode="0.0" sourceLinked="1"/>
        <c:majorTickMark val="none"/>
        <c:minorTickMark val="none"/>
        <c:tickLblPos val="nextTo"/>
        <c:crossAx val="402111440"/>
        <c:crosses val="autoZero"/>
        <c:crossBetween val="between"/>
      </c:valAx>
      <c:valAx>
        <c:axId val="402109480"/>
        <c:scaling>
          <c:orientation val="minMax"/>
        </c:scaling>
        <c:delete val="0"/>
        <c:axPos val="r"/>
        <c:title>
          <c:tx>
            <c:rich>
              <a:bodyPr rot="-5400000" vert="horz"/>
              <a:lstStyle/>
              <a:p>
                <a:pPr>
                  <a:defRPr/>
                </a:pPr>
                <a:r>
                  <a:rPr lang="en-US"/>
                  <a:t>Balance on current account as % of GDP</a:t>
                </a:r>
              </a:p>
            </c:rich>
          </c:tx>
          <c:layout>
            <c:manualLayout>
              <c:xMode val="edge"/>
              <c:yMode val="edge"/>
              <c:x val="0.97097747080922847"/>
              <c:y val="0.16192614081134596"/>
            </c:manualLayout>
          </c:layout>
          <c:overlay val="0"/>
        </c:title>
        <c:numFmt formatCode="0.0" sourceLinked="1"/>
        <c:majorTickMark val="out"/>
        <c:minorTickMark val="none"/>
        <c:tickLblPos val="nextTo"/>
        <c:crossAx val="402111832"/>
        <c:crosses val="max"/>
        <c:crossBetween val="between"/>
      </c:valAx>
      <c:catAx>
        <c:axId val="402111832"/>
        <c:scaling>
          <c:orientation val="minMax"/>
        </c:scaling>
        <c:delete val="1"/>
        <c:axPos val="b"/>
        <c:numFmt formatCode="General" sourceLinked="1"/>
        <c:majorTickMark val="out"/>
        <c:minorTickMark val="none"/>
        <c:tickLblPos val="nextTo"/>
        <c:crossAx val="402109480"/>
        <c:crosses val="autoZero"/>
        <c:auto val="1"/>
        <c:lblAlgn val="ctr"/>
        <c:lblOffset val="100"/>
        <c:noMultiLvlLbl val="0"/>
      </c:catAx>
    </c:plotArea>
    <c:legend>
      <c:legendPos val="b"/>
      <c:overlay val="0"/>
    </c:legend>
    <c:plotVisOnly val="1"/>
    <c:dispBlanksAs val="gap"/>
    <c:showDLblsOverMax val="0"/>
  </c:chart>
  <c:txPr>
    <a:bodyPr/>
    <a:lstStyle/>
    <a:p>
      <a:pPr>
        <a:defRPr sz="1000">
          <a:latin typeface="Arial Narrow" panose="020B060602020203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'Foreign Trade'!$D$123</c:f>
              <c:strCache>
                <c:ptCount val="1"/>
                <c:pt idx="0">
                  <c:v>Merchandise Imports (% of GDP) </c:v>
                </c:pt>
              </c:strCache>
            </c:strRef>
          </c:tx>
          <c:spPr>
            <a:ln w="12700">
              <a:solidFill>
                <a:srgbClr val="FFC000"/>
              </a:solidFill>
            </a:ln>
          </c:spPr>
          <c:marker>
            <c:symbol val="none"/>
          </c:marker>
          <c:cat>
            <c:multiLvlStrRef>
              <c:f>'Foreign Trade'!$U$121:$CZ$122</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'Foreign Trade'!$U$123:$CZ$123</c:f>
              <c:numCache>
                <c:formatCode>0.0</c:formatCode>
                <c:ptCount val="84"/>
                <c:pt idx="0">
                  <c:v>14.263418577950587</c:v>
                </c:pt>
                <c:pt idx="1">
                  <c:v>14.746592888615636</c:v>
                </c:pt>
                <c:pt idx="2">
                  <c:v>16.801768904562273</c:v>
                </c:pt>
                <c:pt idx="3">
                  <c:v>16.687923743035508</c:v>
                </c:pt>
                <c:pt idx="4">
                  <c:v>17.773807780905592</c:v>
                </c:pt>
                <c:pt idx="5">
                  <c:v>17.944480445430752</c:v>
                </c:pt>
                <c:pt idx="6">
                  <c:v>17.412025636995512</c:v>
                </c:pt>
                <c:pt idx="7">
                  <c:v>17.42581832153321</c:v>
                </c:pt>
                <c:pt idx="8">
                  <c:v>17.510038169830963</c:v>
                </c:pt>
                <c:pt idx="9">
                  <c:v>18.526482283739661</c:v>
                </c:pt>
                <c:pt idx="10">
                  <c:v>19.495465592580853</c:v>
                </c:pt>
                <c:pt idx="11">
                  <c:v>19.172426540772637</c:v>
                </c:pt>
                <c:pt idx="12">
                  <c:v>18.367557299681199</c:v>
                </c:pt>
                <c:pt idx="13">
                  <c:v>18.029394690102716</c:v>
                </c:pt>
                <c:pt idx="14">
                  <c:v>19.45032277296497</c:v>
                </c:pt>
                <c:pt idx="15">
                  <c:v>19.787848663176707</c:v>
                </c:pt>
                <c:pt idx="16">
                  <c:v>19.124995930592181</c:v>
                </c:pt>
                <c:pt idx="17">
                  <c:v>18.070323288649455</c:v>
                </c:pt>
                <c:pt idx="18">
                  <c:v>21.659955753656195</c:v>
                </c:pt>
                <c:pt idx="19">
                  <c:v>20.246511990970781</c:v>
                </c:pt>
                <c:pt idx="20">
                  <c:v>17.686328829025744</c:v>
                </c:pt>
                <c:pt idx="21">
                  <c:v>17.433413152045439</c:v>
                </c:pt>
                <c:pt idx="22">
                  <c:v>17.802757751473166</c:v>
                </c:pt>
                <c:pt idx="23">
                  <c:v>18.82459395688727</c:v>
                </c:pt>
                <c:pt idx="24">
                  <c:v>19.771484401200148</c:v>
                </c:pt>
                <c:pt idx="25">
                  <c:v>19.231601789877821</c:v>
                </c:pt>
                <c:pt idx="26">
                  <c:v>19.773784951144034</c:v>
                </c:pt>
                <c:pt idx="27">
                  <c:v>21.203027796394579</c:v>
                </c:pt>
                <c:pt idx="28">
                  <c:v>20.81968067274806</c:v>
                </c:pt>
                <c:pt idx="29">
                  <c:v>21.170367702026951</c:v>
                </c:pt>
                <c:pt idx="30">
                  <c:v>20.26189913107163</c:v>
                </c:pt>
                <c:pt idx="31">
                  <c:v>22.288528170615713</c:v>
                </c:pt>
                <c:pt idx="32">
                  <c:v>24.01068113408817</c:v>
                </c:pt>
                <c:pt idx="33">
                  <c:v>23.411910835236998</c:v>
                </c:pt>
                <c:pt idx="34">
                  <c:v>22.520406517180191</c:v>
                </c:pt>
                <c:pt idx="35">
                  <c:v>23.113174152928352</c:v>
                </c:pt>
                <c:pt idx="36">
                  <c:v>20.402369813903189</c:v>
                </c:pt>
                <c:pt idx="37">
                  <c:v>19.895686611667003</c:v>
                </c:pt>
                <c:pt idx="38">
                  <c:v>19.884091168022834</c:v>
                </c:pt>
                <c:pt idx="39">
                  <c:v>19.715241543646627</c:v>
                </c:pt>
                <c:pt idx="40">
                  <c:v>19.392974485578161</c:v>
                </c:pt>
                <c:pt idx="41">
                  <c:v>21.785363403844254</c:v>
                </c:pt>
                <c:pt idx="42">
                  <c:v>21.309168638171375</c:v>
                </c:pt>
                <c:pt idx="43">
                  <c:v>21.873306800862242</c:v>
                </c:pt>
                <c:pt idx="44">
                  <c:v>20.512435908810357</c:v>
                </c:pt>
                <c:pt idx="45">
                  <c:v>22.070297526751688</c:v>
                </c:pt>
                <c:pt idx="46">
                  <c:v>23.121537375261163</c:v>
                </c:pt>
                <c:pt idx="47">
                  <c:v>22.143450515976081</c:v>
                </c:pt>
                <c:pt idx="48">
                  <c:v>22.548713133512972</c:v>
                </c:pt>
                <c:pt idx="49">
                  <c:v>24.950401574680424</c:v>
                </c:pt>
                <c:pt idx="50">
                  <c:v>25.895490593177129</c:v>
                </c:pt>
                <c:pt idx="51">
                  <c:v>29.344604830950701</c:v>
                </c:pt>
                <c:pt idx="52">
                  <c:v>26.610244958115164</c:v>
                </c:pt>
                <c:pt idx="53">
                  <c:v>27.435914311099413</c:v>
                </c:pt>
                <c:pt idx="54">
                  <c:v>27.660327764843167</c:v>
                </c:pt>
                <c:pt idx="55">
                  <c:v>26.671676073535817</c:v>
                </c:pt>
                <c:pt idx="56">
                  <c:v>29.462094819336997</c:v>
                </c:pt>
                <c:pt idx="57">
                  <c:v>32.393499552903442</c:v>
                </c:pt>
                <c:pt idx="58">
                  <c:v>33.406501039075373</c:v>
                </c:pt>
                <c:pt idx="59">
                  <c:v>30.180155761551109</c:v>
                </c:pt>
                <c:pt idx="60">
                  <c:v>25.730666879393894</c:v>
                </c:pt>
                <c:pt idx="61">
                  <c:v>21.249792361924232</c:v>
                </c:pt>
                <c:pt idx="62">
                  <c:v>20.564345747643291</c:v>
                </c:pt>
                <c:pt idx="63">
                  <c:v>22.057612090004291</c:v>
                </c:pt>
                <c:pt idx="64">
                  <c:v>22.365665056130794</c:v>
                </c:pt>
                <c:pt idx="65">
                  <c:v>22.338568107761837</c:v>
                </c:pt>
                <c:pt idx="66">
                  <c:v>22.721010826827513</c:v>
                </c:pt>
                <c:pt idx="67">
                  <c:v>21.275510651469741</c:v>
                </c:pt>
                <c:pt idx="68">
                  <c:v>22.696340529552568</c:v>
                </c:pt>
                <c:pt idx="69">
                  <c:v>23.962228229060571</c:v>
                </c:pt>
                <c:pt idx="70">
                  <c:v>24.997231228055835</c:v>
                </c:pt>
                <c:pt idx="71">
                  <c:v>26.556315358630091</c:v>
                </c:pt>
                <c:pt idx="72">
                  <c:v>26.077037922144452</c:v>
                </c:pt>
                <c:pt idx="73">
                  <c:v>26.45944407396162</c:v>
                </c:pt>
                <c:pt idx="74">
                  <c:v>26.089156749989932</c:v>
                </c:pt>
                <c:pt idx="75">
                  <c:v>26.386230996191063</c:v>
                </c:pt>
                <c:pt idx="76">
                  <c:v>27.614466132618219</c:v>
                </c:pt>
                <c:pt idx="77">
                  <c:v>28.512244382224711</c:v>
                </c:pt>
                <c:pt idx="78">
                  <c:v>29.448844459996305</c:v>
                </c:pt>
                <c:pt idx="79">
                  <c:v>27.700989440503211</c:v>
                </c:pt>
                <c:pt idx="80">
                  <c:v>29.402143113695427</c:v>
                </c:pt>
                <c:pt idx="81">
                  <c:v>28.494982453254448</c:v>
                </c:pt>
                <c:pt idx="82">
                  <c:v>28.08707891546387</c:v>
                </c:pt>
                <c:pt idx="83">
                  <c:v>27.067012631793695</c:v>
                </c:pt>
              </c:numCache>
            </c:numRef>
          </c:val>
          <c:smooth val="0"/>
          <c:extLst>
            <c:ext xmlns:c16="http://schemas.microsoft.com/office/drawing/2014/chart" uri="{C3380CC4-5D6E-409C-BE32-E72D297353CC}">
              <c16:uniqueId val="{00000000-77F4-4400-927E-03106A0ED4A0}"/>
            </c:ext>
          </c:extLst>
        </c:ser>
        <c:ser>
          <c:idx val="1"/>
          <c:order val="1"/>
          <c:tx>
            <c:strRef>
              <c:f>'Foreign Trade'!$D$124</c:f>
              <c:strCache>
                <c:ptCount val="1"/>
                <c:pt idx="0">
                  <c:v>Merchandise Exports (% of GDP) </c:v>
                </c:pt>
              </c:strCache>
            </c:strRef>
          </c:tx>
          <c:spPr>
            <a:ln w="12700">
              <a:solidFill>
                <a:schemeClr val="accent6">
                  <a:lumMod val="50000"/>
                </a:schemeClr>
              </a:solidFill>
            </a:ln>
          </c:spPr>
          <c:marker>
            <c:symbol val="none"/>
          </c:marker>
          <c:cat>
            <c:multiLvlStrRef>
              <c:f>'Foreign Trade'!$U$121:$CZ$122</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'Foreign Trade'!$U$124:$CZ$124</c:f>
              <c:numCache>
                <c:formatCode>0.0</c:formatCode>
                <c:ptCount val="84"/>
                <c:pt idx="0">
                  <c:v>13.607883095477721</c:v>
                </c:pt>
                <c:pt idx="1">
                  <c:v>12.899067527410596</c:v>
                </c:pt>
                <c:pt idx="2">
                  <c:v>13.802216779576899</c:v>
                </c:pt>
                <c:pt idx="3">
                  <c:v>15.881049875813922</c:v>
                </c:pt>
                <c:pt idx="4">
                  <c:v>14.932459604561132</c:v>
                </c:pt>
                <c:pt idx="5">
                  <c:v>14.508357256893786</c:v>
                </c:pt>
                <c:pt idx="6">
                  <c:v>16.136812140898694</c:v>
                </c:pt>
                <c:pt idx="7">
                  <c:v>15.773349604697257</c:v>
                </c:pt>
                <c:pt idx="8">
                  <c:v>15.493811860737949</c:v>
                </c:pt>
                <c:pt idx="9">
                  <c:v>15.482671223304918</c:v>
                </c:pt>
                <c:pt idx="10">
                  <c:v>17.301918809554888</c:v>
                </c:pt>
                <c:pt idx="11">
                  <c:v>17.123567859447959</c:v>
                </c:pt>
                <c:pt idx="12">
                  <c:v>15.585218780600938</c:v>
                </c:pt>
                <c:pt idx="13">
                  <c:v>15.949809457571979</c:v>
                </c:pt>
                <c:pt idx="14">
                  <c:v>17.553196724884383</c:v>
                </c:pt>
                <c:pt idx="15">
                  <c:v>17.951489382794922</c:v>
                </c:pt>
                <c:pt idx="16">
                  <c:v>18.010385128756063</c:v>
                </c:pt>
                <c:pt idx="17">
                  <c:v>17.218389175054739</c:v>
                </c:pt>
                <c:pt idx="18">
                  <c:v>18.757708848616158</c:v>
                </c:pt>
                <c:pt idx="19">
                  <c:v>17.044696933827961</c:v>
                </c:pt>
                <c:pt idx="20">
                  <c:v>18.590479378398058</c:v>
                </c:pt>
                <c:pt idx="21">
                  <c:v>17.153945380435783</c:v>
                </c:pt>
                <c:pt idx="22">
                  <c:v>17.699295042725396</c:v>
                </c:pt>
                <c:pt idx="23">
                  <c:v>18.70753441916936</c:v>
                </c:pt>
                <c:pt idx="24">
                  <c:v>19.465634348212969</c:v>
                </c:pt>
                <c:pt idx="25">
                  <c:v>19.842658754731815</c:v>
                </c:pt>
                <c:pt idx="26">
                  <c:v>19.767383028088954</c:v>
                </c:pt>
                <c:pt idx="27">
                  <c:v>22.850564441304748</c:v>
                </c:pt>
                <c:pt idx="28">
                  <c:v>22.513446211712338</c:v>
                </c:pt>
                <c:pt idx="29">
                  <c:v>23.7059933145086</c:v>
                </c:pt>
                <c:pt idx="30">
                  <c:v>21.102791403788498</c:v>
                </c:pt>
                <c:pt idx="31">
                  <c:v>23.122012664323606</c:v>
                </c:pt>
                <c:pt idx="32">
                  <c:v>24.502034048924365</c:v>
                </c:pt>
                <c:pt idx="33">
                  <c:v>24.434811420655482</c:v>
                </c:pt>
                <c:pt idx="34">
                  <c:v>22.654702371350218</c:v>
                </c:pt>
                <c:pt idx="35">
                  <c:v>23.646502451894261</c:v>
                </c:pt>
                <c:pt idx="36">
                  <c:v>20.661631108878133</c:v>
                </c:pt>
                <c:pt idx="37">
                  <c:v>19.570155060030121</c:v>
                </c:pt>
                <c:pt idx="38">
                  <c:v>19.95889523832367</c:v>
                </c:pt>
                <c:pt idx="39">
                  <c:v>18.120406663848922</c:v>
                </c:pt>
                <c:pt idx="40">
                  <c:v>18.606924115825365</c:v>
                </c:pt>
                <c:pt idx="41">
                  <c:v>19.264561401582927</c:v>
                </c:pt>
                <c:pt idx="42">
                  <c:v>19.410750586080685</c:v>
                </c:pt>
                <c:pt idx="43">
                  <c:v>19.044324299039918</c:v>
                </c:pt>
                <c:pt idx="44">
                  <c:v>18.490176567118546</c:v>
                </c:pt>
                <c:pt idx="45">
                  <c:v>21.156090877841169</c:v>
                </c:pt>
                <c:pt idx="46">
                  <c:v>20.993235606686795</c:v>
                </c:pt>
                <c:pt idx="47">
                  <c:v>20.141135234946152</c:v>
                </c:pt>
                <c:pt idx="48">
                  <c:v>20.249979236646855</c:v>
                </c:pt>
                <c:pt idx="49">
                  <c:v>21.896953287301244</c:v>
                </c:pt>
                <c:pt idx="50">
                  <c:v>23.563933446840931</c:v>
                </c:pt>
                <c:pt idx="51">
                  <c:v>24.182705746270848</c:v>
                </c:pt>
                <c:pt idx="52">
                  <c:v>25.137606807684783</c:v>
                </c:pt>
                <c:pt idx="53">
                  <c:v>24.00820343274366</c:v>
                </c:pt>
                <c:pt idx="54">
                  <c:v>23.689780904742751</c:v>
                </c:pt>
                <c:pt idx="55">
                  <c:v>24.533929668466847</c:v>
                </c:pt>
                <c:pt idx="56">
                  <c:v>26.848880723659292</c:v>
                </c:pt>
                <c:pt idx="57">
                  <c:v>29.436180750670221</c:v>
                </c:pt>
                <c:pt idx="58">
                  <c:v>30.115902287955265</c:v>
                </c:pt>
                <c:pt idx="59">
                  <c:v>28.380897936923304</c:v>
                </c:pt>
                <c:pt idx="60">
                  <c:v>23.644835535264651</c:v>
                </c:pt>
                <c:pt idx="61">
                  <c:v>20.923338600943783</c:v>
                </c:pt>
                <c:pt idx="62">
                  <c:v>20.205675869786312</c:v>
                </c:pt>
                <c:pt idx="63">
                  <c:v>20.878455813731161</c:v>
                </c:pt>
                <c:pt idx="64">
                  <c:v>21.574813973234015</c:v>
                </c:pt>
                <c:pt idx="65">
                  <c:v>22.050441492567369</c:v>
                </c:pt>
                <c:pt idx="66">
                  <c:v>22.624711309301109</c:v>
                </c:pt>
                <c:pt idx="67">
                  <c:v>22.410860693472326</c:v>
                </c:pt>
                <c:pt idx="68">
                  <c:v>23.033237267684026</c:v>
                </c:pt>
                <c:pt idx="69">
                  <c:v>23.697201527931576</c:v>
                </c:pt>
                <c:pt idx="70">
                  <c:v>24.160336946360978</c:v>
                </c:pt>
                <c:pt idx="71">
                  <c:v>24.205805783139581</c:v>
                </c:pt>
                <c:pt idx="72">
                  <c:v>23.510631821240175</c:v>
                </c:pt>
                <c:pt idx="73">
                  <c:v>23.48515853353048</c:v>
                </c:pt>
                <c:pt idx="74">
                  <c:v>22.613683366704123</c:v>
                </c:pt>
                <c:pt idx="75">
                  <c:v>22.855192060862127</c:v>
                </c:pt>
                <c:pt idx="76">
                  <c:v>23.909977069883119</c:v>
                </c:pt>
                <c:pt idx="77">
                  <c:v>24.273573802618372</c:v>
                </c:pt>
                <c:pt idx="78">
                  <c:v>25.164834424178974</c:v>
                </c:pt>
                <c:pt idx="79">
                  <c:v>24.930303812050443</c:v>
                </c:pt>
                <c:pt idx="80">
                  <c:v>25.845389441256224</c:v>
                </c:pt>
                <c:pt idx="81">
                  <c:v>24.376376536188939</c:v>
                </c:pt>
                <c:pt idx="82">
                  <c:v>24.419348864928214</c:v>
                </c:pt>
                <c:pt idx="83">
                  <c:v>24.579047000032293</c:v>
                </c:pt>
              </c:numCache>
            </c:numRef>
          </c:val>
          <c:smooth val="0"/>
          <c:extLst>
            <c:ext xmlns:c16="http://schemas.microsoft.com/office/drawing/2014/chart" uri="{C3380CC4-5D6E-409C-BE32-E72D297353CC}">
              <c16:uniqueId val="{00000001-77F4-4400-927E-03106A0ED4A0}"/>
            </c:ext>
          </c:extLst>
        </c:ser>
        <c:dLbls>
          <c:showLegendKey val="0"/>
          <c:showVal val="0"/>
          <c:showCatName val="0"/>
          <c:showSerName val="0"/>
          <c:showPercent val="0"/>
          <c:showBubbleSize val="0"/>
        </c:dLbls>
        <c:marker val="1"/>
        <c:smooth val="0"/>
        <c:axId val="402109872"/>
        <c:axId val="402113008"/>
      </c:lineChart>
      <c:lineChart>
        <c:grouping val="standard"/>
        <c:varyColors val="0"/>
        <c:ser>
          <c:idx val="2"/>
          <c:order val="2"/>
          <c:tx>
            <c:strRef>
              <c:f>'Foreign Trade'!$D$125</c:f>
              <c:strCache>
                <c:ptCount val="1"/>
                <c:pt idx="0">
                  <c:v>Balance on current account  (% GDP)</c:v>
                </c:pt>
              </c:strCache>
            </c:strRef>
          </c:tx>
          <c:spPr>
            <a:ln w="12700">
              <a:solidFill>
                <a:schemeClr val="accent6">
                  <a:lumMod val="75000"/>
                </a:schemeClr>
              </a:solidFill>
            </a:ln>
          </c:spPr>
          <c:marker>
            <c:symbol val="none"/>
          </c:marker>
          <c:cat>
            <c:multiLvlStrRef>
              <c:f>'Foreign Trade'!$U$121:$CZ$122</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'Foreign Trade'!$U$125:$CZ$125</c:f>
              <c:numCache>
                <c:formatCode>0.0</c:formatCode>
                <c:ptCount val="84"/>
                <c:pt idx="0">
                  <c:v>1.2</c:v>
                </c:pt>
                <c:pt idx="1">
                  <c:v>0</c:v>
                </c:pt>
                <c:pt idx="2">
                  <c:v>-0.8</c:v>
                </c:pt>
                <c:pt idx="3">
                  <c:v>-0.2</c:v>
                </c:pt>
                <c:pt idx="4">
                  <c:v>-1.5</c:v>
                </c:pt>
                <c:pt idx="5">
                  <c:v>-3.3</c:v>
                </c:pt>
                <c:pt idx="6">
                  <c:v>-0.8</c:v>
                </c:pt>
                <c:pt idx="7">
                  <c:v>-0.9</c:v>
                </c:pt>
                <c:pt idx="8">
                  <c:v>-1.2</c:v>
                </c:pt>
                <c:pt idx="9">
                  <c:v>-1.9</c:v>
                </c:pt>
                <c:pt idx="10">
                  <c:v>-0.2</c:v>
                </c:pt>
                <c:pt idx="11">
                  <c:v>-1.1000000000000001</c:v>
                </c:pt>
                <c:pt idx="12">
                  <c:v>-1.6</c:v>
                </c:pt>
                <c:pt idx="13">
                  <c:v>-1.3</c:v>
                </c:pt>
                <c:pt idx="14">
                  <c:v>-1.2</c:v>
                </c:pt>
                <c:pt idx="15">
                  <c:v>-1.7</c:v>
                </c:pt>
                <c:pt idx="16">
                  <c:v>-0.5</c:v>
                </c:pt>
                <c:pt idx="17">
                  <c:v>-1</c:v>
                </c:pt>
                <c:pt idx="18">
                  <c:v>-2.6</c:v>
                </c:pt>
                <c:pt idx="19">
                  <c:v>-2.7</c:v>
                </c:pt>
                <c:pt idx="20">
                  <c:v>1.3</c:v>
                </c:pt>
                <c:pt idx="21">
                  <c:v>-0.9</c:v>
                </c:pt>
                <c:pt idx="22">
                  <c:v>-0.8</c:v>
                </c:pt>
                <c:pt idx="23">
                  <c:v>-1.4</c:v>
                </c:pt>
                <c:pt idx="24">
                  <c:v>-0.1</c:v>
                </c:pt>
                <c:pt idx="25">
                  <c:v>-0.1</c:v>
                </c:pt>
                <c:pt idx="26">
                  <c:v>-1</c:v>
                </c:pt>
                <c:pt idx="27">
                  <c:v>0.7</c:v>
                </c:pt>
                <c:pt idx="28">
                  <c:v>0.7</c:v>
                </c:pt>
                <c:pt idx="29">
                  <c:v>0.5</c:v>
                </c:pt>
                <c:pt idx="30">
                  <c:v>-0.7</c:v>
                </c:pt>
                <c:pt idx="31">
                  <c:v>0.6</c:v>
                </c:pt>
                <c:pt idx="32">
                  <c:v>1.2</c:v>
                </c:pt>
                <c:pt idx="33">
                  <c:v>0.4</c:v>
                </c:pt>
                <c:pt idx="34">
                  <c:v>0.8</c:v>
                </c:pt>
                <c:pt idx="35">
                  <c:v>1.2</c:v>
                </c:pt>
                <c:pt idx="36">
                  <c:v>0.3</c:v>
                </c:pt>
                <c:pt idx="37">
                  <c:v>-2.5</c:v>
                </c:pt>
                <c:pt idx="38">
                  <c:v>0</c:v>
                </c:pt>
                <c:pt idx="39">
                  <c:v>-1.1000000000000001</c:v>
                </c:pt>
                <c:pt idx="40">
                  <c:v>-1.4</c:v>
                </c:pt>
                <c:pt idx="41">
                  <c:v>-3.1</c:v>
                </c:pt>
                <c:pt idx="42">
                  <c:v>-2.9</c:v>
                </c:pt>
                <c:pt idx="43">
                  <c:v>-3.5</c:v>
                </c:pt>
                <c:pt idx="44">
                  <c:v>-3.2</c:v>
                </c:pt>
                <c:pt idx="45">
                  <c:v>-2.4</c:v>
                </c:pt>
                <c:pt idx="46">
                  <c:v>-3.3</c:v>
                </c:pt>
                <c:pt idx="47">
                  <c:v>-3.6</c:v>
                </c:pt>
                <c:pt idx="48">
                  <c:v>-4.5</c:v>
                </c:pt>
                <c:pt idx="49">
                  <c:v>-3.8</c:v>
                </c:pt>
                <c:pt idx="50">
                  <c:v>-3.1</c:v>
                </c:pt>
                <c:pt idx="51">
                  <c:v>-6.5</c:v>
                </c:pt>
                <c:pt idx="52">
                  <c:v>-3.4</c:v>
                </c:pt>
                <c:pt idx="53">
                  <c:v>-5.4</c:v>
                </c:pt>
                <c:pt idx="54">
                  <c:v>-6.9</c:v>
                </c:pt>
                <c:pt idx="55">
                  <c:v>-5.7</c:v>
                </c:pt>
                <c:pt idx="56">
                  <c:v>-5.9</c:v>
                </c:pt>
                <c:pt idx="57">
                  <c:v>-5.8</c:v>
                </c:pt>
                <c:pt idx="58">
                  <c:v>-6.6</c:v>
                </c:pt>
                <c:pt idx="59">
                  <c:v>-3.8</c:v>
                </c:pt>
                <c:pt idx="60">
                  <c:v>-4</c:v>
                </c:pt>
                <c:pt idx="61">
                  <c:v>-1.9</c:v>
                </c:pt>
                <c:pt idx="62">
                  <c:v>-2.2999999999999998</c:v>
                </c:pt>
                <c:pt idx="63">
                  <c:v>-2.7</c:v>
                </c:pt>
                <c:pt idx="64">
                  <c:v>-2.7</c:v>
                </c:pt>
                <c:pt idx="65">
                  <c:v>-1.2</c:v>
                </c:pt>
                <c:pt idx="66">
                  <c:v>-1.9</c:v>
                </c:pt>
                <c:pt idx="67">
                  <c:v>-0.4</c:v>
                </c:pt>
                <c:pt idx="68">
                  <c:v>-1.4</c:v>
                </c:pt>
                <c:pt idx="69">
                  <c:v>-1.9</c:v>
                </c:pt>
                <c:pt idx="70">
                  <c:v>-2.7</c:v>
                </c:pt>
                <c:pt idx="71">
                  <c:v>-2.7</c:v>
                </c:pt>
                <c:pt idx="72">
                  <c:v>-3.6</c:v>
                </c:pt>
                <c:pt idx="73">
                  <c:v>-4.8</c:v>
                </c:pt>
                <c:pt idx="74">
                  <c:v>-5.5</c:v>
                </c:pt>
                <c:pt idx="75">
                  <c:v>-5.8</c:v>
                </c:pt>
                <c:pt idx="76">
                  <c:v>-5.2</c:v>
                </c:pt>
                <c:pt idx="77">
                  <c:v>-6.1</c:v>
                </c:pt>
                <c:pt idx="78">
                  <c:v>-6.4</c:v>
                </c:pt>
                <c:pt idx="79">
                  <c:v>-5.3</c:v>
                </c:pt>
                <c:pt idx="80" formatCode="General">
                  <c:v>-4.5999999999999996</c:v>
                </c:pt>
                <c:pt idx="81" formatCode="General">
                  <c:v>-6.2</c:v>
                </c:pt>
                <c:pt idx="82" formatCode="General">
                  <c:v>-5.8</c:v>
                </c:pt>
                <c:pt idx="83" formatCode="General">
                  <c:v>-5.0999999999999996</c:v>
                </c:pt>
              </c:numCache>
            </c:numRef>
          </c:val>
          <c:smooth val="0"/>
          <c:extLst>
            <c:ext xmlns:c16="http://schemas.microsoft.com/office/drawing/2014/chart" uri="{C3380CC4-5D6E-409C-BE32-E72D297353CC}">
              <c16:uniqueId val="{00000002-77F4-4400-927E-03106A0ED4A0}"/>
            </c:ext>
          </c:extLst>
        </c:ser>
        <c:dLbls>
          <c:showLegendKey val="0"/>
          <c:showVal val="0"/>
          <c:showCatName val="0"/>
          <c:showSerName val="0"/>
          <c:showPercent val="0"/>
          <c:showBubbleSize val="0"/>
        </c:dLbls>
        <c:marker val="1"/>
        <c:smooth val="0"/>
        <c:axId val="402112224"/>
        <c:axId val="402107128"/>
      </c:lineChart>
      <c:catAx>
        <c:axId val="402109872"/>
        <c:scaling>
          <c:orientation val="minMax"/>
        </c:scaling>
        <c:delete val="0"/>
        <c:axPos val="b"/>
        <c:numFmt formatCode="General" sourceLinked="0"/>
        <c:majorTickMark val="out"/>
        <c:minorTickMark val="none"/>
        <c:tickLblPos val="nextTo"/>
        <c:crossAx val="402113008"/>
        <c:crosses val="autoZero"/>
        <c:auto val="1"/>
        <c:lblAlgn val="ctr"/>
        <c:lblOffset val="100"/>
        <c:noMultiLvlLbl val="0"/>
      </c:catAx>
      <c:valAx>
        <c:axId val="402113008"/>
        <c:scaling>
          <c:orientation val="minMax"/>
        </c:scaling>
        <c:delete val="0"/>
        <c:axPos val="l"/>
        <c:majorGridlines>
          <c:spPr>
            <a:ln>
              <a:prstDash val="sysDash"/>
            </a:ln>
          </c:spPr>
        </c:majorGridlines>
        <c:title>
          <c:tx>
            <c:rich>
              <a:bodyPr rot="-5400000" vert="horz"/>
              <a:lstStyle/>
              <a:p>
                <a:pPr>
                  <a:defRPr b="0"/>
                </a:pPr>
                <a:r>
                  <a:rPr lang="en-US" b="0"/>
                  <a:t>% of GDP</a:t>
                </a:r>
              </a:p>
            </c:rich>
          </c:tx>
          <c:overlay val="0"/>
        </c:title>
        <c:numFmt formatCode="0.0" sourceLinked="1"/>
        <c:majorTickMark val="out"/>
        <c:minorTickMark val="none"/>
        <c:tickLblPos val="nextTo"/>
        <c:crossAx val="402109872"/>
        <c:crosses val="autoZero"/>
        <c:crossBetween val="between"/>
      </c:valAx>
      <c:valAx>
        <c:axId val="402107128"/>
        <c:scaling>
          <c:orientation val="minMax"/>
        </c:scaling>
        <c:delete val="0"/>
        <c:axPos val="r"/>
        <c:title>
          <c:tx>
            <c:rich>
              <a:bodyPr rot="-5400000" vert="horz"/>
              <a:lstStyle/>
              <a:p>
                <a:pPr>
                  <a:defRPr b="0"/>
                </a:pPr>
                <a:r>
                  <a:rPr lang="en-US" b="0"/>
                  <a:t>Balance on current account</a:t>
                </a:r>
              </a:p>
            </c:rich>
          </c:tx>
          <c:overlay val="0"/>
        </c:title>
        <c:numFmt formatCode="0.0" sourceLinked="1"/>
        <c:majorTickMark val="out"/>
        <c:minorTickMark val="none"/>
        <c:tickLblPos val="nextTo"/>
        <c:crossAx val="402112224"/>
        <c:crosses val="max"/>
        <c:crossBetween val="between"/>
      </c:valAx>
      <c:catAx>
        <c:axId val="402112224"/>
        <c:scaling>
          <c:orientation val="minMax"/>
        </c:scaling>
        <c:delete val="1"/>
        <c:axPos val="b"/>
        <c:numFmt formatCode="General" sourceLinked="1"/>
        <c:majorTickMark val="out"/>
        <c:minorTickMark val="none"/>
        <c:tickLblPos val="nextTo"/>
        <c:crossAx val="402107128"/>
        <c:crosses val="autoZero"/>
        <c:auto val="1"/>
        <c:lblAlgn val="ctr"/>
        <c:lblOffset val="100"/>
        <c:noMultiLvlLbl val="0"/>
      </c:catAx>
    </c:plotArea>
    <c:legend>
      <c:legendPos val="b"/>
      <c:overlay val="0"/>
    </c:legend>
    <c:plotVisOnly val="1"/>
    <c:dispBlanksAs val="gap"/>
    <c:showDLblsOverMax val="0"/>
  </c:chart>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78878896176112E-2"/>
          <c:y val="6.2683993294612494E-2"/>
          <c:w val="0.89546932275911051"/>
          <c:h val="0.73291607031611317"/>
        </c:manualLayout>
      </c:layout>
      <c:lineChart>
        <c:grouping val="standard"/>
        <c:varyColors val="0"/>
        <c:ser>
          <c:idx val="0"/>
          <c:order val="0"/>
          <c:spPr>
            <a:ln w="15875">
              <a:solidFill>
                <a:srgbClr val="FF6600"/>
              </a:solidFill>
              <a:prstDash val="solid"/>
            </a:ln>
          </c:spPr>
          <c:marker>
            <c:symbol val="none"/>
          </c:marker>
          <c:cat>
            <c:multiLvlStrRef>
              <c:f>'GDP '!$D$61:$CI$62</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'GDP '!$D$63:$CI$63</c:f>
              <c:numCache>
                <c:formatCode>0.0</c:formatCode>
                <c:ptCount val="84"/>
                <c:pt idx="0">
                  <c:v>-0.56882299978329165</c:v>
                </c:pt>
                <c:pt idx="1">
                  <c:v>4.4104514770248127</c:v>
                </c:pt>
                <c:pt idx="2">
                  <c:v>4.5755211153102104</c:v>
                </c:pt>
                <c:pt idx="3">
                  <c:v>6.8455482249596855</c:v>
                </c:pt>
                <c:pt idx="4">
                  <c:v>1.4526669020042515</c:v>
                </c:pt>
                <c:pt idx="5">
                  <c:v>1.7879948352484298</c:v>
                </c:pt>
                <c:pt idx="6">
                  <c:v>1.7378476026035594</c:v>
                </c:pt>
                <c:pt idx="7">
                  <c:v>1.5880303373726701</c:v>
                </c:pt>
                <c:pt idx="8">
                  <c:v>5.7321595371055745</c:v>
                </c:pt>
                <c:pt idx="9">
                  <c:v>7.7052022605754944</c:v>
                </c:pt>
                <c:pt idx="10">
                  <c:v>4.6170729815531164</c:v>
                </c:pt>
                <c:pt idx="11">
                  <c:v>3.8480044584029871</c:v>
                </c:pt>
                <c:pt idx="12">
                  <c:v>1.1541025640912084</c:v>
                </c:pt>
                <c:pt idx="13">
                  <c:v>2.469329522299879</c:v>
                </c:pt>
                <c:pt idx="14">
                  <c:v>0.83825604314000657</c:v>
                </c:pt>
                <c:pt idx="15">
                  <c:v>0.60528963769586053</c:v>
                </c:pt>
                <c:pt idx="16">
                  <c:v>0.50652649384492765</c:v>
                </c:pt>
                <c:pt idx="17">
                  <c:v>0.5667910380350305</c:v>
                </c:pt>
                <c:pt idx="18">
                  <c:v>-0.87372637708889034</c:v>
                </c:pt>
                <c:pt idx="19">
                  <c:v>0.38708722146880703</c:v>
                </c:pt>
                <c:pt idx="20">
                  <c:v>3.7293234295857625</c:v>
                </c:pt>
                <c:pt idx="21">
                  <c:v>3.2216411057017558</c:v>
                </c:pt>
                <c:pt idx="22">
                  <c:v>4.4404269358685688</c:v>
                </c:pt>
                <c:pt idx="23">
                  <c:v>4.4718969599649272</c:v>
                </c:pt>
                <c:pt idx="24">
                  <c:v>4.5758022715120417</c:v>
                </c:pt>
                <c:pt idx="25">
                  <c:v>3.7315457274831543</c:v>
                </c:pt>
                <c:pt idx="26">
                  <c:v>4.0207206604008006</c:v>
                </c:pt>
                <c:pt idx="27">
                  <c:v>3.446709698974848</c:v>
                </c:pt>
                <c:pt idx="28">
                  <c:v>2.6230856866677144</c:v>
                </c:pt>
                <c:pt idx="29">
                  <c:v>2.0146632087566063</c:v>
                </c:pt>
                <c:pt idx="30">
                  <c:v>1.0666361289954462</c:v>
                </c:pt>
                <c:pt idx="31">
                  <c:v>3.1110855135721316</c:v>
                </c:pt>
                <c:pt idx="32">
                  <c:v>5.2924284098060603</c:v>
                </c:pt>
                <c:pt idx="33">
                  <c:v>4.9325000418816378</c:v>
                </c:pt>
                <c:pt idx="34">
                  <c:v>3.3216503268672648</c:v>
                </c:pt>
                <c:pt idx="35">
                  <c:v>2.6991500495235021</c:v>
                </c:pt>
                <c:pt idx="36">
                  <c:v>3.7531764032818993</c:v>
                </c:pt>
                <c:pt idx="37">
                  <c:v>1.9677572605739213</c:v>
                </c:pt>
                <c:pt idx="38">
                  <c:v>2.188320445632419</c:v>
                </c:pt>
                <c:pt idx="39">
                  <c:v>2.327483203645353</c:v>
                </c:pt>
                <c:pt idx="40">
                  <c:v>6.1944683527078492</c:v>
                </c:pt>
                <c:pt idx="41">
                  <c:v>5.7078837294311624</c:v>
                </c:pt>
                <c:pt idx="42">
                  <c:v>6.7026886167146138</c:v>
                </c:pt>
                <c:pt idx="43">
                  <c:v>4.3404056280374359</c:v>
                </c:pt>
                <c:pt idx="44">
                  <c:v>4.1289585309853605</c:v>
                </c:pt>
                <c:pt idx="45">
                  <c:v>7.3737951776069011</c:v>
                </c:pt>
                <c:pt idx="46">
                  <c:v>5.5671463307113367</c:v>
                </c:pt>
                <c:pt idx="47">
                  <c:v>2.7053484122573801</c:v>
                </c:pt>
                <c:pt idx="48">
                  <c:v>7.2147199226530567</c:v>
                </c:pt>
                <c:pt idx="49">
                  <c:v>5.8033950109959154</c:v>
                </c:pt>
                <c:pt idx="50">
                  <c:v>5.6400423927502885</c:v>
                </c:pt>
                <c:pt idx="51">
                  <c:v>5.646861823647753</c:v>
                </c:pt>
                <c:pt idx="52">
                  <c:v>6.6550968043899372</c:v>
                </c:pt>
                <c:pt idx="53">
                  <c:v>3.3185540413170012</c:v>
                </c:pt>
                <c:pt idx="54">
                  <c:v>4.770772853431815</c:v>
                </c:pt>
                <c:pt idx="55">
                  <c:v>5.7889758122643853</c:v>
                </c:pt>
                <c:pt idx="56">
                  <c:v>1.6914714233666972</c:v>
                </c:pt>
                <c:pt idx="57">
                  <c:v>4.9736319432639009</c:v>
                </c:pt>
                <c:pt idx="58">
                  <c:v>0.95933734197808374</c:v>
                </c:pt>
                <c:pt idx="59">
                  <c:v>-2.2579336248711779</c:v>
                </c:pt>
                <c:pt idx="60">
                  <c:v>-6.0782800497366622</c:v>
                </c:pt>
                <c:pt idx="61">
                  <c:v>-1.3656485490968429</c:v>
                </c:pt>
                <c:pt idx="62">
                  <c:v>0.93084880933691494</c:v>
                </c:pt>
                <c:pt idx="63">
                  <c:v>2.6938677703393088</c:v>
                </c:pt>
                <c:pt idx="64">
                  <c:v>4.800123095448483</c:v>
                </c:pt>
                <c:pt idx="65">
                  <c:v>2.4730446755976132</c:v>
                </c:pt>
                <c:pt idx="66">
                  <c:v>4.5599305427149961</c:v>
                </c:pt>
                <c:pt idx="67">
                  <c:v>4.470945145674321</c:v>
                </c:pt>
                <c:pt idx="68">
                  <c:v>3.732716238755307</c:v>
                </c:pt>
                <c:pt idx="69">
                  <c:v>2.1349992664698503</c:v>
                </c:pt>
                <c:pt idx="70">
                  <c:v>1.0514533241010593</c:v>
                </c:pt>
                <c:pt idx="71">
                  <c:v>3.1354710753329629</c:v>
                </c:pt>
                <c:pt idx="72">
                  <c:v>1.6642899696322599</c:v>
                </c:pt>
                <c:pt idx="73">
                  <c:v>3.6993530234988192</c:v>
                </c:pt>
                <c:pt idx="74">
                  <c:v>1.200714604255726</c:v>
                </c:pt>
                <c:pt idx="75">
                  <c:v>1.7879127297799391</c:v>
                </c:pt>
                <c:pt idx="76">
                  <c:v>1.5</c:v>
                </c:pt>
                <c:pt idx="77">
                  <c:v>4</c:v>
                </c:pt>
                <c:pt idx="78">
                  <c:v>1.6</c:v>
                </c:pt>
                <c:pt idx="79">
                  <c:v>4.9000000000000004</c:v>
                </c:pt>
                <c:pt idx="80">
                  <c:v>-1.5555437996301436</c:v>
                </c:pt>
                <c:pt idx="81">
                  <c:v>0.8</c:v>
                </c:pt>
                <c:pt idx="82">
                  <c:v>2.2000000000000002</c:v>
                </c:pt>
                <c:pt idx="83">
                  <c:v>4.0999999999999996</c:v>
                </c:pt>
              </c:numCache>
            </c:numRef>
          </c:val>
          <c:smooth val="0"/>
          <c:extLst>
            <c:ext xmlns:c16="http://schemas.microsoft.com/office/drawing/2014/chart" uri="{C3380CC4-5D6E-409C-BE32-E72D297353CC}">
              <c16:uniqueId val="{00000000-C255-4306-A794-324FED28ABA7}"/>
            </c:ext>
          </c:extLst>
        </c:ser>
        <c:dLbls>
          <c:showLegendKey val="0"/>
          <c:showVal val="0"/>
          <c:showCatName val="0"/>
          <c:showSerName val="0"/>
          <c:showPercent val="0"/>
          <c:showBubbleSize val="0"/>
        </c:dLbls>
        <c:smooth val="0"/>
        <c:axId val="397410936"/>
        <c:axId val="397411328"/>
      </c:lineChart>
      <c:catAx>
        <c:axId val="3974109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397411328"/>
        <c:crossesAt val="-8"/>
        <c:auto val="1"/>
        <c:lblAlgn val="ctr"/>
        <c:lblOffset val="100"/>
        <c:tickLblSkip val="1"/>
        <c:tickMarkSkip val="1"/>
        <c:noMultiLvlLbl val="0"/>
      </c:catAx>
      <c:valAx>
        <c:axId val="397411328"/>
        <c:scaling>
          <c:orientation val="minMax"/>
        </c:scaling>
        <c:delete val="0"/>
        <c:axPos val="l"/>
        <c:majorGridlines>
          <c:spPr>
            <a:ln w="3175">
              <a:solidFill>
                <a:srgbClr val="969696"/>
              </a:solidFill>
              <a:prstDash val="sysDash"/>
            </a:ln>
          </c:spPr>
        </c:majorGridlines>
        <c:title>
          <c:tx>
            <c:rich>
              <a:bodyPr/>
              <a:lstStyle/>
              <a:p>
                <a:pPr>
                  <a:defRPr/>
                </a:pPr>
                <a:r>
                  <a:rPr lang="en-US"/>
                  <a:t>%</a:t>
                </a:r>
              </a:p>
            </c:rich>
          </c:tx>
          <c:layout>
            <c:manualLayout>
              <c:xMode val="edge"/>
              <c:yMode val="edge"/>
              <c:x val="1.6198698635339393E-2"/>
              <c:y val="0.4654101837270341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7410936"/>
        <c:crosses val="autoZero"/>
        <c:crossBetween val="between"/>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paperSize="9" orientation="landscape" horizontalDpi="1200" verticalDpi="12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 b="0" i="0" u="none" strike="noStrike" baseline="0">
                <a:solidFill>
                  <a:srgbClr val="000000"/>
                </a:solidFill>
                <a:latin typeface="Arial"/>
                <a:ea typeface="Arial"/>
                <a:cs typeface="Arial"/>
              </a:defRPr>
            </a:pPr>
            <a:r>
              <a:rPr lang="en-US"/>
              <a:t>SA'Competitivie Outlook </a:t>
            </a:r>
          </a:p>
        </c:rich>
      </c:tx>
      <c:overlay val="0"/>
      <c:spPr>
        <a:noFill/>
        <a:ln w="25400">
          <a:noFill/>
        </a:ln>
      </c:spPr>
    </c:title>
    <c:autoTitleDeleted val="0"/>
    <c:plotArea>
      <c:layout/>
      <c:barChart>
        <c:barDir val="col"/>
        <c:grouping val="clustered"/>
        <c:varyColors val="0"/>
        <c:ser>
          <c:idx val="0"/>
          <c:order val="0"/>
          <c:tx>
            <c:strRef>
              <c:f>[4]Competitiveness!$E$8</c:f>
              <c:strCache>
                <c:ptCount val="1"/>
                <c:pt idx="0">
                  <c:v>2005-2006 </c:v>
                </c:pt>
              </c:strCache>
            </c:strRef>
          </c:tx>
          <c:spPr>
            <a:solidFill>
              <a:srgbClr val="9999FF"/>
            </a:solidFill>
            <a:ln w="25400">
              <a:solidFill>
                <a:srgbClr val="000080"/>
              </a:solidFill>
              <a:prstDash val="solid"/>
            </a:ln>
          </c:spPr>
          <c:invertIfNegative val="0"/>
          <c:cat>
            <c:strRef>
              <c:f>[4]Competitiveness!$D$9:$D$22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[4]Competitiveness!$E$9:$E$22</c:f>
              <c:numCache>
                <c:formatCode>General</c:formatCode>
                <c:ptCount val="14"/>
                <c:pt idx="0">
                  <c:v>26</c:v>
                </c:pt>
                <c:pt idx="1">
                  <c:v>27</c:v>
                </c:pt>
                <c:pt idx="2">
                  <c:v>25</c:v>
                </c:pt>
                <c:pt idx="3">
                  <c:v>40</c:v>
                </c:pt>
                <c:pt idx="4">
                  <c:v>37</c:v>
                </c:pt>
                <c:pt idx="5">
                  <c:v>45</c:v>
                </c:pt>
                <c:pt idx="6">
                  <c:v>36</c:v>
                </c:pt>
                <c:pt idx="7">
                  <c:v>41</c:v>
                </c:pt>
                <c:pt idx="8">
                  <c:v>48</c:v>
                </c:pt>
                <c:pt idx="9">
                  <c:v>58</c:v>
                </c:pt>
                <c:pt idx="10">
                  <c:v>55</c:v>
                </c:pt>
                <c:pt idx="11">
                  <c:v>66</c:v>
                </c:pt>
                <c:pt idx="12">
                  <c:v>68</c:v>
                </c:pt>
                <c:pt idx="13">
                  <c:v>81</c:v>
                </c:pt>
              </c:numCache>
            </c:numRef>
          </c:val>
          <c:extLst>
            <c:ext xmlns:c16="http://schemas.microsoft.com/office/drawing/2014/chart" uri="{C3380CC4-5D6E-409C-BE32-E72D297353CC}">
              <c16:uniqueId val="{00000000-ABB6-49C8-812A-7C0975A06519}"/>
            </c:ext>
          </c:extLst>
        </c:ser>
        <c:ser>
          <c:idx val="1"/>
          <c:order val="1"/>
          <c:tx>
            <c:strRef>
              <c:f>[4]Competitiveness!$F$8</c:f>
              <c:strCache>
                <c:ptCount val="1"/>
                <c:pt idx="0">
                  <c:v>2006-2007 </c:v>
                </c:pt>
              </c:strCache>
            </c:strRef>
          </c:tx>
          <c:spPr>
            <a:solidFill>
              <a:srgbClr val="993366"/>
            </a:solidFill>
            <a:ln w="25400">
              <a:noFill/>
            </a:ln>
          </c:spPr>
          <c:invertIfNegative val="0"/>
          <c:cat>
            <c:strRef>
              <c:f>[4]Competitiveness!$D$9:$D$22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[4]Competitiveness!$F$9:$F$22</c:f>
              <c:numCache>
                <c:formatCode>General</c:formatCode>
                <c:ptCount val="14"/>
                <c:pt idx="0">
                  <c:v>19</c:v>
                </c:pt>
                <c:pt idx="1">
                  <c:v>27</c:v>
                </c:pt>
                <c:pt idx="2">
                  <c:v>26</c:v>
                </c:pt>
                <c:pt idx="3">
                  <c:v>39</c:v>
                </c:pt>
                <c:pt idx="4">
                  <c:v>37</c:v>
                </c:pt>
                <c:pt idx="5">
                  <c:v>36</c:v>
                </c:pt>
                <c:pt idx="6">
                  <c:v>44</c:v>
                </c:pt>
                <c:pt idx="7">
                  <c:v>38</c:v>
                </c:pt>
                <c:pt idx="8">
                  <c:v>45</c:v>
                </c:pt>
                <c:pt idx="9">
                  <c:v>52</c:v>
                </c:pt>
                <c:pt idx="10">
                  <c:v>55</c:v>
                </c:pt>
                <c:pt idx="11">
                  <c:v>66</c:v>
                </c:pt>
                <c:pt idx="12">
                  <c:v>73</c:v>
                </c:pt>
                <c:pt idx="13">
                  <c:v>57</c:v>
                </c:pt>
              </c:numCache>
            </c:numRef>
          </c:val>
          <c:extLst>
            <c:ext xmlns:c16="http://schemas.microsoft.com/office/drawing/2014/chart" uri="{C3380CC4-5D6E-409C-BE32-E72D297353CC}">
              <c16:uniqueId val="{00000001-ABB6-49C8-812A-7C0975A06519}"/>
            </c:ext>
          </c:extLst>
        </c:ser>
        <c:ser>
          <c:idx val="2"/>
          <c:order val="2"/>
          <c:tx>
            <c:strRef>
              <c:f>[4]Competitiveness!$G$8</c:f>
              <c:strCache>
                <c:ptCount val="1"/>
                <c:pt idx="0">
                  <c:v>2007-2008</c:v>
                </c:pt>
              </c:strCache>
            </c:strRef>
          </c:tx>
          <c:spPr>
            <a:solidFill>
              <a:srgbClr val="FFFFCC"/>
            </a:solidFill>
            <a:ln w="12700">
              <a:solidFill>
                <a:srgbClr val="000000"/>
              </a:solidFill>
              <a:prstDash val="solid"/>
            </a:ln>
          </c:spPr>
          <c:invertIfNegative val="0"/>
          <c:cat>
            <c:strRef>
              <c:f>[4]Competitiveness!$D$9:$D$22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[4]Competitiveness!$G$9:$G$22</c:f>
              <c:numCache>
                <c:formatCode>General</c:formatCode>
                <c:ptCount val="14"/>
                <c:pt idx="0">
                  <c:v>21</c:v>
                </c:pt>
                <c:pt idx="1">
                  <c:v>26</c:v>
                </c:pt>
                <c:pt idx="2">
                  <c:v>27</c:v>
                </c:pt>
                <c:pt idx="3">
                  <c:v>38</c:v>
                </c:pt>
                <c:pt idx="4">
                  <c:v>41</c:v>
                </c:pt>
                <c:pt idx="5">
                  <c:v>44</c:v>
                </c:pt>
                <c:pt idx="6">
                  <c:v>45</c:v>
                </c:pt>
                <c:pt idx="7">
                  <c:v>47</c:v>
                </c:pt>
                <c:pt idx="8">
                  <c:v>51</c:v>
                </c:pt>
                <c:pt idx="9">
                  <c:v>52</c:v>
                </c:pt>
                <c:pt idx="10">
                  <c:v>60</c:v>
                </c:pt>
                <c:pt idx="11">
                  <c:v>72</c:v>
                </c:pt>
                <c:pt idx="12">
                  <c:v>74</c:v>
                </c:pt>
                <c:pt idx="13">
                  <c:v>76</c:v>
                </c:pt>
              </c:numCache>
            </c:numRef>
          </c:val>
          <c:extLst>
            <c:ext xmlns:c16="http://schemas.microsoft.com/office/drawing/2014/chart" uri="{C3380CC4-5D6E-409C-BE32-E72D297353CC}">
              <c16:uniqueId val="{00000002-ABB6-49C8-812A-7C0975A06519}"/>
            </c:ext>
          </c:extLst>
        </c:ser>
        <c:dLbls>
          <c:showLegendKey val="0"/>
          <c:showVal val="0"/>
          <c:showCatName val="0"/>
          <c:showSerName val="0"/>
          <c:showPercent val="0"/>
          <c:showBubbleSize val="0"/>
        </c:dLbls>
        <c:gapWidth val="150"/>
        <c:axId val="402112616"/>
        <c:axId val="402113400"/>
      </c:barChart>
      <c:catAx>
        <c:axId val="402112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2113400"/>
        <c:crosses val="autoZero"/>
        <c:auto val="1"/>
        <c:lblAlgn val="ctr"/>
        <c:lblOffset val="100"/>
        <c:tickLblSkip val="1"/>
        <c:tickMarkSkip val="1"/>
        <c:noMultiLvlLbl val="0"/>
      </c:catAx>
      <c:valAx>
        <c:axId val="402113400"/>
        <c:scaling>
          <c:orientation val="minMax"/>
        </c:scaling>
        <c:delete val="0"/>
        <c:axPos val="l"/>
        <c:majorGridlines>
          <c:spPr>
            <a:ln w="3175">
              <a:solidFill>
                <a:srgbClr val="000000"/>
              </a:solidFill>
              <a:prstDash val="solid"/>
            </a:ln>
          </c:spPr>
        </c:majorGridlines>
        <c:title>
          <c:tx>
            <c:rich>
              <a:bodyPr/>
              <a:lstStyle/>
              <a:p>
                <a:pPr>
                  <a:defRPr lang="en-US" sz="200" b="0" i="0" u="none" strike="noStrike" baseline="0">
                    <a:solidFill>
                      <a:srgbClr val="000000"/>
                    </a:solidFill>
                    <a:latin typeface="Arial"/>
                    <a:ea typeface="Arial"/>
                    <a:cs typeface="Arial"/>
                  </a:defRPr>
                </a:pPr>
                <a:r>
                  <a:rPr lang="en-US"/>
                  <a:t>ranking</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211261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 Global competitiveness - WEF </a:t>
            </a:r>
          </a:p>
        </c:rich>
      </c:tx>
      <c:overlay val="0"/>
    </c:title>
    <c:autoTitleDeleted val="0"/>
    <c:plotArea>
      <c:layout>
        <c:manualLayout>
          <c:layoutTarget val="inner"/>
          <c:xMode val="edge"/>
          <c:yMode val="edge"/>
          <c:x val="0.16351156942202308"/>
          <c:y val="0.12914673046251993"/>
          <c:w val="0.79813417674255149"/>
          <c:h val="0.67398215474261891"/>
        </c:manualLayout>
      </c:layout>
      <c:lineChart>
        <c:grouping val="standard"/>
        <c:varyColors val="0"/>
        <c:ser>
          <c:idx val="0"/>
          <c:order val="0"/>
          <c:tx>
            <c:strRef>
              <c:f>'Competitiveness '!$D$13</c:f>
              <c:strCache>
                <c:ptCount val="1"/>
                <c:pt idx="0">
                  <c:v>South Africa</c:v>
                </c:pt>
              </c:strCache>
            </c:strRef>
          </c:tx>
          <c:spPr>
            <a:ln>
              <a:solidFill>
                <a:srgbClr val="F79646">
                  <a:lumMod val="75000"/>
                </a:srgbClr>
              </a:solidFill>
            </a:ln>
          </c:spPr>
          <c:marker>
            <c:symbol val="none"/>
          </c:marker>
          <c:cat>
            <c:strRef>
              <c:f>'Competitiveness '!$E$7:$L$7</c:f>
              <c:strCache>
                <c:ptCount val="8"/>
                <c:pt idx="0">
                  <c:v>2005/06</c:v>
                </c:pt>
                <c:pt idx="1">
                  <c:v>2006/07</c:v>
                </c:pt>
                <c:pt idx="2">
                  <c:v>2007/08</c:v>
                </c:pt>
                <c:pt idx="3">
                  <c:v>2008/09</c:v>
                </c:pt>
                <c:pt idx="4">
                  <c:v>2009/10</c:v>
                </c:pt>
                <c:pt idx="5">
                  <c:v>2010/11</c:v>
                </c:pt>
                <c:pt idx="6">
                  <c:v>2011/12</c:v>
                </c:pt>
                <c:pt idx="7">
                  <c:v>2012/13</c:v>
                </c:pt>
              </c:strCache>
            </c:strRef>
          </c:cat>
          <c:val>
            <c:numRef>
              <c:f>'Competitiveness '!$E$13:$L$13</c:f>
              <c:numCache>
                <c:formatCode>General</c:formatCode>
                <c:ptCount val="8"/>
                <c:pt idx="0">
                  <c:v>42</c:v>
                </c:pt>
                <c:pt idx="1">
                  <c:v>36</c:v>
                </c:pt>
                <c:pt idx="2">
                  <c:v>44</c:v>
                </c:pt>
                <c:pt idx="3">
                  <c:v>45</c:v>
                </c:pt>
                <c:pt idx="4">
                  <c:v>45</c:v>
                </c:pt>
                <c:pt idx="5">
                  <c:v>54</c:v>
                </c:pt>
                <c:pt idx="6">
                  <c:v>50</c:v>
                </c:pt>
                <c:pt idx="7">
                  <c:v>52</c:v>
                </c:pt>
              </c:numCache>
            </c:numRef>
          </c:val>
          <c:smooth val="0"/>
          <c:extLst>
            <c:ext xmlns:c16="http://schemas.microsoft.com/office/drawing/2014/chart" uri="{C3380CC4-5D6E-409C-BE32-E72D297353CC}">
              <c16:uniqueId val="{00000000-413E-47A6-9C9D-3611B93E2259}"/>
            </c:ext>
          </c:extLst>
        </c:ser>
        <c:dLbls>
          <c:showLegendKey val="0"/>
          <c:showVal val="0"/>
          <c:showCatName val="0"/>
          <c:showSerName val="0"/>
          <c:showPercent val="0"/>
          <c:showBubbleSize val="0"/>
        </c:dLbls>
        <c:smooth val="0"/>
        <c:axId val="402113792"/>
        <c:axId val="402114184"/>
      </c:lineChart>
      <c:catAx>
        <c:axId val="402113792"/>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402114184"/>
        <c:crosses val="max"/>
        <c:auto val="1"/>
        <c:lblAlgn val="ctr"/>
        <c:lblOffset val="100"/>
        <c:noMultiLvlLbl val="0"/>
      </c:catAx>
      <c:valAx>
        <c:axId val="402114184"/>
        <c:scaling>
          <c:orientation val="maxMin"/>
          <c:min val="30"/>
        </c:scaling>
        <c:delete val="0"/>
        <c:axPos val="l"/>
        <c:majorGridlines>
          <c:spPr>
            <a:ln>
              <a:prstDash val="dash"/>
            </a:ln>
          </c:spPr>
        </c:majorGridlines>
        <c:title>
          <c:tx>
            <c:rich>
              <a:bodyPr/>
              <a:lstStyle/>
              <a:p>
                <a:pPr>
                  <a:defRPr b="0"/>
                </a:pPr>
                <a:r>
                  <a:rPr lang="en-US" b="0"/>
                  <a:t>Rank</a:t>
                </a:r>
              </a:p>
            </c:rich>
          </c:tx>
          <c:layout>
            <c:manualLayout>
              <c:xMode val="edge"/>
              <c:yMode val="edge"/>
              <c:x val="4.1841070134329722E-2"/>
              <c:y val="0.41584893205714552"/>
            </c:manualLayout>
          </c:layout>
          <c:overlay val="0"/>
        </c:title>
        <c:numFmt formatCode="General" sourceLinked="1"/>
        <c:majorTickMark val="none"/>
        <c:minorTickMark val="none"/>
        <c:tickLblPos val="nextTo"/>
        <c:crossAx val="402113792"/>
        <c:crosses val="autoZero"/>
        <c:crossBetween val="between"/>
      </c:valAx>
    </c:plotArea>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 Global competitiveness -IMD</a:t>
            </a:r>
          </a:p>
        </c:rich>
      </c:tx>
      <c:overlay val="0"/>
    </c:title>
    <c:autoTitleDeleted val="0"/>
    <c:plotArea>
      <c:layout/>
      <c:lineChart>
        <c:grouping val="standard"/>
        <c:varyColors val="0"/>
        <c:ser>
          <c:idx val="1"/>
          <c:order val="0"/>
          <c:tx>
            <c:strRef>
              <c:f>'Competitiveness '!$D$32</c:f>
              <c:strCache>
                <c:ptCount val="1"/>
                <c:pt idx="0">
                  <c:v>South Africa </c:v>
                </c:pt>
              </c:strCache>
            </c:strRef>
          </c:tx>
          <c:spPr>
            <a:ln>
              <a:solidFill>
                <a:srgbClr val="FFC000"/>
              </a:solidFill>
            </a:ln>
          </c:spPr>
          <c:marker>
            <c:symbol val="none"/>
          </c:marker>
          <c:cat>
            <c:numRef>
              <c:f>'Competitiveness '!$E$25:$M$25</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'Competitiveness '!$E$32:$M$32</c:f>
              <c:numCache>
                <c:formatCode>General</c:formatCode>
                <c:ptCount val="9"/>
                <c:pt idx="0">
                  <c:v>37</c:v>
                </c:pt>
                <c:pt idx="1">
                  <c:v>38</c:v>
                </c:pt>
                <c:pt idx="2">
                  <c:v>50</c:v>
                </c:pt>
                <c:pt idx="3">
                  <c:v>53</c:v>
                </c:pt>
                <c:pt idx="4">
                  <c:v>48</c:v>
                </c:pt>
                <c:pt idx="5">
                  <c:v>44</c:v>
                </c:pt>
                <c:pt idx="6">
                  <c:v>52</c:v>
                </c:pt>
                <c:pt idx="7">
                  <c:v>50</c:v>
                </c:pt>
                <c:pt idx="8">
                  <c:v>53</c:v>
                </c:pt>
              </c:numCache>
            </c:numRef>
          </c:val>
          <c:smooth val="0"/>
          <c:extLst>
            <c:ext xmlns:c16="http://schemas.microsoft.com/office/drawing/2014/chart" uri="{C3380CC4-5D6E-409C-BE32-E72D297353CC}">
              <c16:uniqueId val="{00000000-630D-420B-B492-330C4FD2E50C}"/>
            </c:ext>
          </c:extLst>
        </c:ser>
        <c:dLbls>
          <c:showLegendKey val="0"/>
          <c:showVal val="0"/>
          <c:showCatName val="0"/>
          <c:showSerName val="0"/>
          <c:showPercent val="0"/>
          <c:showBubbleSize val="0"/>
        </c:dLbls>
        <c:smooth val="0"/>
        <c:axId val="402107912"/>
        <c:axId val="402108304"/>
      </c:lineChart>
      <c:catAx>
        <c:axId val="402107912"/>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402108304"/>
        <c:crosses val="autoZero"/>
        <c:auto val="1"/>
        <c:lblAlgn val="ctr"/>
        <c:lblOffset val="100"/>
        <c:noMultiLvlLbl val="0"/>
      </c:catAx>
      <c:valAx>
        <c:axId val="402108304"/>
        <c:scaling>
          <c:orientation val="minMax"/>
          <c:min val="30"/>
        </c:scaling>
        <c:delete val="0"/>
        <c:axPos val="l"/>
        <c:majorGridlines>
          <c:spPr>
            <a:ln>
              <a:prstDash val="dash"/>
            </a:ln>
          </c:spPr>
        </c:majorGridlines>
        <c:title>
          <c:tx>
            <c:rich>
              <a:bodyPr/>
              <a:lstStyle/>
              <a:p>
                <a:pPr>
                  <a:defRPr b="0"/>
                </a:pPr>
                <a:r>
                  <a:rPr lang="en-US" b="0"/>
                  <a:t>Rank</a:t>
                </a:r>
              </a:p>
            </c:rich>
          </c:tx>
          <c:overlay val="0"/>
        </c:title>
        <c:numFmt formatCode="General" sourceLinked="1"/>
        <c:majorTickMark val="none"/>
        <c:minorTickMark val="none"/>
        <c:tickLblPos val="nextTo"/>
        <c:crossAx val="402107912"/>
        <c:crosses val="autoZero"/>
        <c:crossBetween val="between"/>
      </c:valAx>
    </c:plotArea>
    <c:plotVisOnly val="1"/>
    <c:dispBlanksAs val="gap"/>
    <c:showDLblsOverMax val="0"/>
  </c:chart>
  <c:txPr>
    <a:bodyPr/>
    <a:lstStyle/>
    <a:p>
      <a:pPr>
        <a:defRPr sz="900">
          <a:latin typeface="Arial Narrow" pitchFamily="34" charset="0"/>
        </a:defRPr>
      </a:pPr>
      <a:endParaRPr lang="en-US"/>
    </a:p>
  </c:txPr>
  <c:printSettings>
    <c:headerFooter/>
    <c:pageMargins b="0.75000000000000422" l="0.70000000000000062" r="0.70000000000000062" t="0.75000000000000422"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 Global competitiveness - WEF </a:t>
            </a:r>
          </a:p>
        </c:rich>
      </c:tx>
      <c:overlay val="0"/>
    </c:title>
    <c:autoTitleDeleted val="0"/>
    <c:plotArea>
      <c:layout>
        <c:manualLayout>
          <c:layoutTarget val="inner"/>
          <c:xMode val="edge"/>
          <c:yMode val="edge"/>
          <c:x val="0.16351156942202308"/>
          <c:y val="0.12914673046251993"/>
          <c:w val="0.79813417674255149"/>
          <c:h val="0.67398215474261891"/>
        </c:manualLayout>
      </c:layout>
      <c:lineChart>
        <c:grouping val="standard"/>
        <c:varyColors val="0"/>
        <c:ser>
          <c:idx val="0"/>
          <c:order val="0"/>
          <c:tx>
            <c:strRef>
              <c:f>'Competitiveness '!$E$6</c:f>
              <c:strCache>
                <c:ptCount val="1"/>
                <c:pt idx="0">
                  <c:v>Global Competitiveness - WEF</c:v>
                </c:pt>
              </c:strCache>
            </c:strRef>
          </c:tx>
          <c:spPr>
            <a:ln w="25400">
              <a:solidFill>
                <a:srgbClr val="FF6600"/>
              </a:solidFill>
            </a:ln>
          </c:spPr>
          <c:marker>
            <c:symbol val="none"/>
          </c:marker>
          <c:cat>
            <c:strRef>
              <c:f>'Competitiveness '!$E$7:$O$7</c:f>
              <c:strCache>
                <c:ptCount val="11"/>
                <c:pt idx="0">
                  <c:v>2005/06</c:v>
                </c:pt>
                <c:pt idx="1">
                  <c:v>2006/07</c:v>
                </c:pt>
                <c:pt idx="2">
                  <c:v>2007/08</c:v>
                </c:pt>
                <c:pt idx="3">
                  <c:v>2008/09</c:v>
                </c:pt>
                <c:pt idx="4">
                  <c:v>2009/10</c:v>
                </c:pt>
                <c:pt idx="5">
                  <c:v>2010/11</c:v>
                </c:pt>
                <c:pt idx="6">
                  <c:v>2011/12</c:v>
                </c:pt>
                <c:pt idx="7">
                  <c:v>2012/13</c:v>
                </c:pt>
                <c:pt idx="8">
                  <c:v>2013/14</c:v>
                </c:pt>
                <c:pt idx="9">
                  <c:v>2014/15</c:v>
                </c:pt>
                <c:pt idx="10">
                  <c:v>2015/16</c:v>
                </c:pt>
              </c:strCache>
            </c:strRef>
          </c:cat>
          <c:val>
            <c:numRef>
              <c:f>'Competitiveness '!$E$13:$O$13</c:f>
              <c:numCache>
                <c:formatCode>General</c:formatCode>
                <c:ptCount val="11"/>
                <c:pt idx="0">
                  <c:v>42</c:v>
                </c:pt>
                <c:pt idx="1">
                  <c:v>36</c:v>
                </c:pt>
                <c:pt idx="2">
                  <c:v>44</c:v>
                </c:pt>
                <c:pt idx="3">
                  <c:v>45</c:v>
                </c:pt>
                <c:pt idx="4">
                  <c:v>45</c:v>
                </c:pt>
                <c:pt idx="5">
                  <c:v>54</c:v>
                </c:pt>
                <c:pt idx="6">
                  <c:v>50</c:v>
                </c:pt>
                <c:pt idx="7">
                  <c:v>52</c:v>
                </c:pt>
                <c:pt idx="8">
                  <c:v>53</c:v>
                </c:pt>
                <c:pt idx="9">
                  <c:v>56</c:v>
                </c:pt>
                <c:pt idx="10">
                  <c:v>56</c:v>
                </c:pt>
              </c:numCache>
            </c:numRef>
          </c:val>
          <c:smooth val="0"/>
          <c:extLst>
            <c:ext xmlns:c16="http://schemas.microsoft.com/office/drawing/2014/chart" uri="{C3380CC4-5D6E-409C-BE32-E72D297353CC}">
              <c16:uniqueId val="{00000000-5E88-4B84-9111-1794387CBE8C}"/>
            </c:ext>
          </c:extLst>
        </c:ser>
        <c:dLbls>
          <c:showLegendKey val="0"/>
          <c:showVal val="0"/>
          <c:showCatName val="0"/>
          <c:showSerName val="0"/>
          <c:showPercent val="0"/>
          <c:showBubbleSize val="0"/>
        </c:dLbls>
        <c:smooth val="0"/>
        <c:axId val="400475776"/>
        <c:axId val="400479304"/>
      </c:lineChart>
      <c:catAx>
        <c:axId val="40047577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400479304"/>
        <c:crosses val="max"/>
        <c:auto val="1"/>
        <c:lblAlgn val="ctr"/>
        <c:lblOffset val="100"/>
        <c:noMultiLvlLbl val="0"/>
      </c:catAx>
      <c:valAx>
        <c:axId val="400479304"/>
        <c:scaling>
          <c:orientation val="maxMin"/>
          <c:min val="30"/>
        </c:scaling>
        <c:delete val="0"/>
        <c:axPos val="l"/>
        <c:majorGridlines>
          <c:spPr>
            <a:ln>
              <a:prstDash val="dash"/>
            </a:ln>
          </c:spPr>
        </c:majorGridlines>
        <c:title>
          <c:tx>
            <c:rich>
              <a:bodyPr/>
              <a:lstStyle/>
              <a:p>
                <a:pPr>
                  <a:defRPr b="0"/>
                </a:pPr>
                <a:r>
                  <a:rPr lang="en-US" b="0"/>
                  <a:t>Rank</a:t>
                </a:r>
              </a:p>
            </c:rich>
          </c:tx>
          <c:layout>
            <c:manualLayout>
              <c:xMode val="edge"/>
              <c:yMode val="edge"/>
              <c:x val="4.1841070134329722E-2"/>
              <c:y val="0.41584893205714552"/>
            </c:manualLayout>
          </c:layout>
          <c:overlay val="0"/>
        </c:title>
        <c:numFmt formatCode="General" sourceLinked="1"/>
        <c:majorTickMark val="none"/>
        <c:minorTickMark val="none"/>
        <c:tickLblPos val="nextTo"/>
        <c:crossAx val="400475776"/>
        <c:crosses val="autoZero"/>
        <c:crossBetween val="between"/>
      </c:valAx>
    </c:plotArea>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 Global competitiveness -IMD</a:t>
            </a:r>
          </a:p>
        </c:rich>
      </c:tx>
      <c:overlay val="0"/>
    </c:title>
    <c:autoTitleDeleted val="0"/>
    <c:plotArea>
      <c:layout/>
      <c:lineChart>
        <c:grouping val="standard"/>
        <c:varyColors val="0"/>
        <c:ser>
          <c:idx val="1"/>
          <c:order val="0"/>
          <c:tx>
            <c:strRef>
              <c:f>'Competitiveness '!$E$24</c:f>
              <c:strCache>
                <c:ptCount val="1"/>
                <c:pt idx="0">
                  <c:v>Global Competitiveness - IMD</c:v>
                </c:pt>
              </c:strCache>
            </c:strRef>
          </c:tx>
          <c:spPr>
            <a:ln w="25400">
              <a:solidFill>
                <a:srgbClr val="BE4B48"/>
              </a:solidFill>
            </a:ln>
          </c:spPr>
          <c:marker>
            <c:symbol val="none"/>
          </c:marker>
          <c:cat>
            <c:numRef>
              <c:f>'Competitiveness '!$E$25:$P$25</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'Competitiveness '!$E$32:$P$32</c:f>
              <c:numCache>
                <c:formatCode>General</c:formatCode>
                <c:ptCount val="12"/>
                <c:pt idx="0">
                  <c:v>37</c:v>
                </c:pt>
                <c:pt idx="1">
                  <c:v>38</c:v>
                </c:pt>
                <c:pt idx="2">
                  <c:v>50</c:v>
                </c:pt>
                <c:pt idx="3">
                  <c:v>53</c:v>
                </c:pt>
                <c:pt idx="4">
                  <c:v>48</c:v>
                </c:pt>
                <c:pt idx="5">
                  <c:v>44</c:v>
                </c:pt>
                <c:pt idx="6">
                  <c:v>52</c:v>
                </c:pt>
                <c:pt idx="7">
                  <c:v>50</c:v>
                </c:pt>
                <c:pt idx="8">
                  <c:v>53</c:v>
                </c:pt>
                <c:pt idx="9">
                  <c:v>52</c:v>
                </c:pt>
                <c:pt idx="10">
                  <c:v>53</c:v>
                </c:pt>
                <c:pt idx="11">
                  <c:v>52</c:v>
                </c:pt>
              </c:numCache>
            </c:numRef>
          </c:val>
          <c:smooth val="0"/>
          <c:extLst>
            <c:ext xmlns:c16="http://schemas.microsoft.com/office/drawing/2014/chart" uri="{C3380CC4-5D6E-409C-BE32-E72D297353CC}">
              <c16:uniqueId val="{00000000-7328-40FC-A903-12AB21CFC1B4}"/>
            </c:ext>
          </c:extLst>
        </c:ser>
        <c:dLbls>
          <c:showLegendKey val="0"/>
          <c:showVal val="0"/>
          <c:showCatName val="0"/>
          <c:showSerName val="0"/>
          <c:showPercent val="0"/>
          <c:showBubbleSize val="0"/>
        </c:dLbls>
        <c:smooth val="0"/>
        <c:axId val="400477344"/>
        <c:axId val="400478520"/>
      </c:lineChart>
      <c:catAx>
        <c:axId val="400477344"/>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400478520"/>
        <c:crosses val="autoZero"/>
        <c:auto val="1"/>
        <c:lblAlgn val="ctr"/>
        <c:lblOffset val="100"/>
        <c:noMultiLvlLbl val="0"/>
      </c:catAx>
      <c:valAx>
        <c:axId val="400478520"/>
        <c:scaling>
          <c:orientation val="minMax"/>
          <c:min val="30"/>
        </c:scaling>
        <c:delete val="0"/>
        <c:axPos val="l"/>
        <c:majorGridlines>
          <c:spPr>
            <a:ln>
              <a:prstDash val="dash"/>
            </a:ln>
          </c:spPr>
        </c:majorGridlines>
        <c:title>
          <c:tx>
            <c:rich>
              <a:bodyPr/>
              <a:lstStyle/>
              <a:p>
                <a:pPr>
                  <a:defRPr b="0"/>
                </a:pPr>
                <a:r>
                  <a:rPr lang="en-US" b="0"/>
                  <a:t>Rank</a:t>
                </a:r>
              </a:p>
            </c:rich>
          </c:tx>
          <c:overlay val="0"/>
        </c:title>
        <c:numFmt formatCode="General" sourceLinked="1"/>
        <c:majorTickMark val="none"/>
        <c:minorTickMark val="none"/>
        <c:tickLblPos val="nextTo"/>
        <c:crossAx val="400477344"/>
        <c:crosses val="autoZero"/>
        <c:crossBetween val="between"/>
      </c:valAx>
    </c:plotArea>
    <c:plotVisOnly val="1"/>
    <c:dispBlanksAs val="gap"/>
    <c:showDLblsOverMax val="0"/>
  </c:chart>
  <c:txPr>
    <a:bodyPr/>
    <a:lstStyle/>
    <a:p>
      <a:pPr>
        <a:defRPr sz="900">
          <a:latin typeface="Arial Narrow" pitchFamily="34" charset="0"/>
        </a:defRPr>
      </a:pPr>
      <a:endParaRPr lang="en-US"/>
    </a:p>
  </c:txPr>
  <c:printSettings>
    <c:headerFooter/>
    <c:pageMargins b="0.75000000000000422" l="0.70000000000000062" r="0.70000000000000062" t="0.75000000000000422"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5"/>
          <c:order val="0"/>
          <c:tx>
            <c:strRef>
              <c:f>'BM '!$D$48</c:f>
              <c:strCache>
                <c:ptCount val="1"/>
                <c:pt idx="0">
                  <c:v>Black Top managers</c:v>
                </c:pt>
              </c:strCache>
            </c:strRef>
          </c:tx>
          <c:spPr>
            <a:solidFill>
              <a:srgbClr val="FCD5B5"/>
            </a:solidFill>
          </c:spPr>
          <c:invertIfNegative val="0"/>
          <c:cat>
            <c:strRef>
              <c:f>'BM '!$E$47:$T$47</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'BM '!$E$48:$T$48</c:f>
              <c:numCache>
                <c:formatCode>0.0%</c:formatCode>
                <c:ptCount val="16"/>
                <c:pt idx="0">
                  <c:v>0.127</c:v>
                </c:pt>
                <c:pt idx="1">
                  <c:v>0.251</c:v>
                </c:pt>
                <c:pt idx="2">
                  <c:v>0.184</c:v>
                </c:pt>
                <c:pt idx="3">
                  <c:v>0.23799999999999996</c:v>
                </c:pt>
                <c:pt idx="4">
                  <c:v>0.21100000000000002</c:v>
                </c:pt>
                <c:pt idx="5">
                  <c:v>0.27199999999999996</c:v>
                </c:pt>
                <c:pt idx="6">
                  <c:v>0.222</c:v>
                </c:pt>
                <c:pt idx="7">
                  <c:v>0.28799999999999998</c:v>
                </c:pt>
                <c:pt idx="8">
                  <c:v>0.24200000000000002</c:v>
                </c:pt>
                <c:pt idx="9">
                  <c:v>0.32200000000000001</c:v>
                </c:pt>
                <c:pt idx="10">
                  <c:v>0.24099999999999999</c:v>
                </c:pt>
                <c:pt idx="11">
                  <c:v>0.308</c:v>
                </c:pt>
                <c:pt idx="12">
                  <c:v>0.24199999999999999</c:v>
                </c:pt>
                <c:pt idx="13">
                  <c:v>0.33299999999999996</c:v>
                </c:pt>
                <c:pt idx="14">
                  <c:v>0.26700000000000002</c:v>
                </c:pt>
                <c:pt idx="15">
                  <c:v>0.27600000000000002</c:v>
                </c:pt>
              </c:numCache>
            </c:numRef>
          </c:val>
          <c:extLst>
            <c:ext xmlns:c16="http://schemas.microsoft.com/office/drawing/2014/chart" uri="{C3380CC4-5D6E-409C-BE32-E72D297353CC}">
              <c16:uniqueId val="{00000000-676A-402D-9D04-83118E8242F6}"/>
            </c:ext>
          </c:extLst>
        </c:ser>
        <c:ser>
          <c:idx val="6"/>
          <c:order val="1"/>
          <c:tx>
            <c:strRef>
              <c:f>'BM '!$D$49</c:f>
              <c:strCache>
                <c:ptCount val="1"/>
                <c:pt idx="0">
                  <c:v>Black Senior Managers</c:v>
                </c:pt>
              </c:strCache>
            </c:strRef>
          </c:tx>
          <c:spPr>
            <a:solidFill>
              <a:srgbClr val="F8A662"/>
            </a:solidFill>
          </c:spPr>
          <c:invertIfNegative val="0"/>
          <c:cat>
            <c:strRef>
              <c:f>'BM '!$E$47:$T$47</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'BM '!$E$49:$T$49</c:f>
              <c:numCache>
                <c:formatCode>0.0%</c:formatCode>
                <c:ptCount val="16"/>
                <c:pt idx="0">
                  <c:v>0.185</c:v>
                </c:pt>
                <c:pt idx="1">
                  <c:v>0.191</c:v>
                </c:pt>
                <c:pt idx="2">
                  <c:v>0.22800000000000001</c:v>
                </c:pt>
                <c:pt idx="3">
                  <c:v>0.27300000000000002</c:v>
                </c:pt>
                <c:pt idx="4">
                  <c:v>0.25700000000000001</c:v>
                </c:pt>
                <c:pt idx="5">
                  <c:v>0.27500000000000002</c:v>
                </c:pt>
                <c:pt idx="6">
                  <c:v>0.26899999999999996</c:v>
                </c:pt>
                <c:pt idx="7">
                  <c:v>0.32400000000000007</c:v>
                </c:pt>
                <c:pt idx="8">
                  <c:v>0.32500000000000001</c:v>
                </c:pt>
                <c:pt idx="9">
                  <c:v>0.35499999999999998</c:v>
                </c:pt>
                <c:pt idx="10">
                  <c:v>0.24099999999999999</c:v>
                </c:pt>
                <c:pt idx="11">
                  <c:v>0.29399999999999998</c:v>
                </c:pt>
                <c:pt idx="12">
                  <c:v>0.35</c:v>
                </c:pt>
                <c:pt idx="13">
                  <c:v>0.40100000000000002</c:v>
                </c:pt>
                <c:pt idx="14">
                  <c:v>0.376</c:v>
                </c:pt>
                <c:pt idx="15">
                  <c:v>0.38800000000000001</c:v>
                </c:pt>
              </c:numCache>
            </c:numRef>
          </c:val>
          <c:extLst>
            <c:ext xmlns:c16="http://schemas.microsoft.com/office/drawing/2014/chart" uri="{C3380CC4-5D6E-409C-BE32-E72D297353CC}">
              <c16:uniqueId val="{00000001-676A-402D-9D04-83118E8242F6}"/>
            </c:ext>
          </c:extLst>
        </c:ser>
        <c:ser>
          <c:idx val="7"/>
          <c:order val="2"/>
          <c:tx>
            <c:strRef>
              <c:f>'BM '!$D$53</c:f>
              <c:strCache>
                <c:ptCount val="1"/>
                <c:pt idx="0">
                  <c:v>Female Top Managers</c:v>
                </c:pt>
              </c:strCache>
            </c:strRef>
          </c:tx>
          <c:spPr>
            <a:solidFill>
              <a:srgbClr val="E46C0A"/>
            </a:solidFill>
          </c:spPr>
          <c:invertIfNegative val="0"/>
          <c:cat>
            <c:strRef>
              <c:f>'BM '!$E$47:$T$47</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'BM '!$E$53:$T$53</c:f>
              <c:numCache>
                <c:formatCode>0.0%</c:formatCode>
                <c:ptCount val="16"/>
                <c:pt idx="0">
                  <c:v>0.124</c:v>
                </c:pt>
                <c:pt idx="1">
                  <c:v>0.11899999999999999</c:v>
                </c:pt>
                <c:pt idx="2">
                  <c:v>0.13700000000000001</c:v>
                </c:pt>
                <c:pt idx="3">
                  <c:v>0.14000000000000001</c:v>
                </c:pt>
                <c:pt idx="4">
                  <c:v>0.151</c:v>
                </c:pt>
                <c:pt idx="5">
                  <c:v>0.17</c:v>
                </c:pt>
                <c:pt idx="6">
                  <c:v>0.216</c:v>
                </c:pt>
                <c:pt idx="7">
                  <c:v>0.20599999999999999</c:v>
                </c:pt>
                <c:pt idx="8">
                  <c:v>0.182</c:v>
                </c:pt>
                <c:pt idx="9">
                  <c:v>0.184</c:v>
                </c:pt>
                <c:pt idx="10">
                  <c:v>0.19</c:v>
                </c:pt>
                <c:pt idx="11">
                  <c:v>0.19</c:v>
                </c:pt>
                <c:pt idx="12">
                  <c:v>0.19800000000000001</c:v>
                </c:pt>
                <c:pt idx="13">
                  <c:v>0.20599999999999999</c:v>
                </c:pt>
                <c:pt idx="14">
                  <c:v>0.20899999999999999</c:v>
                </c:pt>
                <c:pt idx="15">
                  <c:v>0.214</c:v>
                </c:pt>
              </c:numCache>
            </c:numRef>
          </c:val>
          <c:extLst>
            <c:ext xmlns:c16="http://schemas.microsoft.com/office/drawing/2014/chart" uri="{C3380CC4-5D6E-409C-BE32-E72D297353CC}">
              <c16:uniqueId val="{00000002-676A-402D-9D04-83118E8242F6}"/>
            </c:ext>
          </c:extLst>
        </c:ser>
        <c:ser>
          <c:idx val="8"/>
          <c:order val="3"/>
          <c:tx>
            <c:strRef>
              <c:f>'BM '!$D$54</c:f>
              <c:strCache>
                <c:ptCount val="1"/>
                <c:pt idx="0">
                  <c:v>Female Senior Managers</c:v>
                </c:pt>
              </c:strCache>
            </c:strRef>
          </c:tx>
          <c:spPr>
            <a:solidFill>
              <a:srgbClr val="984807"/>
            </a:solidFill>
          </c:spPr>
          <c:invertIfNegative val="0"/>
          <c:cat>
            <c:strRef>
              <c:f>'BM '!$E$47:$T$47</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'BM '!$E$54:$T$54</c:f>
              <c:numCache>
                <c:formatCode>0.0%</c:formatCode>
                <c:ptCount val="16"/>
                <c:pt idx="0">
                  <c:v>0.21</c:v>
                </c:pt>
                <c:pt idx="1">
                  <c:v>0.17699999999999999</c:v>
                </c:pt>
                <c:pt idx="2">
                  <c:v>0.216</c:v>
                </c:pt>
                <c:pt idx="3">
                  <c:v>0.223</c:v>
                </c:pt>
                <c:pt idx="4">
                  <c:v>0.23699999999999999</c:v>
                </c:pt>
                <c:pt idx="5">
                  <c:v>0.23699999999999999</c:v>
                </c:pt>
                <c:pt idx="6">
                  <c:v>0.27400000000000002</c:v>
                </c:pt>
                <c:pt idx="7">
                  <c:v>0.253</c:v>
                </c:pt>
                <c:pt idx="8">
                  <c:v>0.28299999999999997</c:v>
                </c:pt>
                <c:pt idx="9">
                  <c:v>0.27200000000000002</c:v>
                </c:pt>
                <c:pt idx="10">
                  <c:v>0.19</c:v>
                </c:pt>
                <c:pt idx="11">
                  <c:v>0.28199999999999997</c:v>
                </c:pt>
                <c:pt idx="12">
                  <c:v>0.307</c:v>
                </c:pt>
                <c:pt idx="13">
                  <c:v>0.29899999999999999</c:v>
                </c:pt>
                <c:pt idx="14">
                  <c:v>0.32100000000000001</c:v>
                </c:pt>
                <c:pt idx="15">
                  <c:v>0.32400000000000001</c:v>
                </c:pt>
              </c:numCache>
            </c:numRef>
          </c:val>
          <c:extLst>
            <c:ext xmlns:c16="http://schemas.microsoft.com/office/drawing/2014/chart" uri="{C3380CC4-5D6E-409C-BE32-E72D297353CC}">
              <c16:uniqueId val="{00000003-676A-402D-9D04-83118E8242F6}"/>
            </c:ext>
          </c:extLst>
        </c:ser>
        <c:dLbls>
          <c:showLegendKey val="0"/>
          <c:showVal val="0"/>
          <c:showCatName val="0"/>
          <c:showSerName val="0"/>
          <c:showPercent val="0"/>
          <c:showBubbleSize val="0"/>
        </c:dLbls>
        <c:gapWidth val="150"/>
        <c:axId val="400476560"/>
        <c:axId val="400481264"/>
      </c:barChart>
      <c:catAx>
        <c:axId val="400476560"/>
        <c:scaling>
          <c:orientation val="minMax"/>
        </c:scaling>
        <c:delete val="0"/>
        <c:axPos val="b"/>
        <c:numFmt formatCode="General" sourceLinked="1"/>
        <c:majorTickMark val="out"/>
        <c:minorTickMark val="none"/>
        <c:tickLblPos val="nextTo"/>
        <c:crossAx val="400481264"/>
        <c:crosses val="autoZero"/>
        <c:auto val="1"/>
        <c:lblAlgn val="ctr"/>
        <c:lblOffset val="100"/>
        <c:noMultiLvlLbl val="0"/>
      </c:catAx>
      <c:valAx>
        <c:axId val="400481264"/>
        <c:scaling>
          <c:orientation val="minMax"/>
          <c:min val="0"/>
        </c:scaling>
        <c:delete val="0"/>
        <c:axPos val="l"/>
        <c:majorGridlines>
          <c:spPr>
            <a:ln>
              <a:prstDash val="dash"/>
            </a:ln>
          </c:spPr>
        </c:majorGridlines>
        <c:numFmt formatCode="0.0%" sourceLinked="1"/>
        <c:majorTickMark val="out"/>
        <c:minorTickMark val="none"/>
        <c:tickLblPos val="nextTo"/>
        <c:crossAx val="400476560"/>
        <c:crosses val="autoZero"/>
        <c:crossBetween val="between"/>
      </c:valAx>
    </c:plotArea>
    <c:legend>
      <c:legendPos val="b"/>
      <c:overlay val="0"/>
      <c:spPr>
        <a:ln>
          <a:noFill/>
        </a:ln>
      </c:spPr>
    </c:legend>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TOTAL EMPLOYMENT</a:t>
            </a:r>
          </a:p>
        </c:rich>
      </c:tx>
      <c:layout>
        <c:manualLayout>
          <c:xMode val="edge"/>
          <c:yMode val="edge"/>
          <c:x val="3.5490459675323938E-2"/>
          <c:y val="1.4577368169887854E-2"/>
        </c:manualLayout>
      </c:layout>
      <c:overlay val="0"/>
      <c:spPr>
        <a:noFill/>
        <a:ln w="25400">
          <a:noFill/>
        </a:ln>
      </c:spPr>
    </c:title>
    <c:autoTitleDeleted val="0"/>
    <c:plotArea>
      <c:layout>
        <c:manualLayout>
          <c:layoutTarget val="inner"/>
          <c:xMode val="edge"/>
          <c:yMode val="edge"/>
          <c:x val="7.8337391288056904E-2"/>
          <c:y val="0.12419263456090654"/>
          <c:w val="0.9072748888973885"/>
          <c:h val="0.75823396013175404"/>
        </c:manualLayout>
      </c:layout>
      <c:lineChart>
        <c:grouping val="standard"/>
        <c:varyColors val="0"/>
        <c:ser>
          <c:idx val="0"/>
          <c:order val="0"/>
          <c:tx>
            <c:strRef>
              <c:f>'Employed '!$D$13</c:f>
              <c:strCache>
                <c:ptCount val="1"/>
                <c:pt idx="0">
                  <c:v>Total Employment</c:v>
                </c:pt>
              </c:strCache>
            </c:strRef>
          </c:tx>
          <c:spPr>
            <a:ln w="25400">
              <a:solidFill>
                <a:srgbClr val="FF6600"/>
              </a:solidFill>
              <a:prstDash val="solid"/>
            </a:ln>
          </c:spPr>
          <c:marker>
            <c:symbol val="none"/>
          </c:marker>
          <c:cat>
            <c:strRef>
              <c:f>'Employed '!$E$7:$S$8</c:f>
              <c:strCach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strCache>
            </c:strRef>
          </c:cat>
          <c:val>
            <c:numRef>
              <c:f>'Employed '!$E$13:$S$13</c:f>
              <c:numCache>
                <c:formatCode>_ * #\ ##0_ ;_ * \-#\ ##0_ ;_ * "-"??_ ;_ @_ </c:formatCode>
                <c:ptCount val="15"/>
                <c:pt idx="0">
                  <c:v>11659.564736131906</c:v>
                </c:pt>
                <c:pt idx="1">
                  <c:v>11965.041438403612</c:v>
                </c:pt>
                <c:pt idx="2">
                  <c:v>11812.429745588339</c:v>
                </c:pt>
                <c:pt idx="3">
                  <c:v>12043.837496420887</c:v>
                </c:pt>
                <c:pt idx="4">
                  <c:v>12768.858708318956</c:v>
                </c:pt>
                <c:pt idx="5">
                  <c:v>13418.80723334651</c:v>
                </c:pt>
                <c:pt idx="6">
                  <c:v>13467.260828648677</c:v>
                </c:pt>
                <c:pt idx="7">
                  <c:v>14584.861037070465</c:v>
                </c:pt>
                <c:pt idx="8">
                  <c:v>14193.824214060021</c:v>
                </c:pt>
                <c:pt idx="9">
                  <c:v>13787.976154492397</c:v>
                </c:pt>
                <c:pt idx="10">
                  <c:v>14070.050140507159</c:v>
                </c:pt>
                <c:pt idx="11">
                  <c:v>14424.889214334915</c:v>
                </c:pt>
                <c:pt idx="12">
                  <c:v>14865.627834799463</c:v>
                </c:pt>
                <c:pt idx="13">
                  <c:v>15146.303542806947</c:v>
                </c:pt>
                <c:pt idx="14">
                  <c:v>15741</c:v>
                </c:pt>
              </c:numCache>
            </c:numRef>
          </c:val>
          <c:smooth val="0"/>
          <c:extLst>
            <c:ext xmlns:c16="http://schemas.microsoft.com/office/drawing/2014/chart" uri="{C3380CC4-5D6E-409C-BE32-E72D297353CC}">
              <c16:uniqueId val="{00000000-D06A-4C66-9744-B1B23D615312}"/>
            </c:ext>
          </c:extLst>
        </c:ser>
        <c:dLbls>
          <c:showLegendKey val="0"/>
          <c:showVal val="0"/>
          <c:showCatName val="0"/>
          <c:showSerName val="0"/>
          <c:showPercent val="0"/>
          <c:showBubbleSize val="0"/>
        </c:dLbls>
        <c:smooth val="0"/>
        <c:axId val="400480088"/>
        <c:axId val="400478912"/>
      </c:lineChart>
      <c:catAx>
        <c:axId val="400480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0478912"/>
        <c:crossesAt val="11000"/>
        <c:auto val="1"/>
        <c:lblAlgn val="ctr"/>
        <c:lblOffset val="100"/>
        <c:tickLblSkip val="1"/>
        <c:tickMarkSkip val="1"/>
        <c:noMultiLvlLbl val="0"/>
      </c:catAx>
      <c:valAx>
        <c:axId val="400478912"/>
        <c:scaling>
          <c:orientation val="minMax"/>
          <c:max val="16000"/>
          <c:min val="1100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 (thousands)</a:t>
                </a:r>
              </a:p>
            </c:rich>
          </c:tx>
          <c:layout>
            <c:manualLayout>
              <c:xMode val="edge"/>
              <c:yMode val="edge"/>
              <c:x val="1.8789111188934955E-2"/>
              <c:y val="0.32944673109043188"/>
            </c:manualLayout>
          </c:layout>
          <c:overlay val="0"/>
          <c:spPr>
            <a:noFill/>
            <a:ln w="25400">
              <a:noFill/>
            </a:ln>
          </c:spPr>
        </c:title>
        <c:numFmt formatCode="###\ ###\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0480088"/>
        <c:crosses val="autoZero"/>
        <c:crossBetween val="between"/>
        <c:majorUnit val="500"/>
        <c:minorUnit val="4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7460243940096"/>
          <c:y val="5.4248048539387105E-2"/>
          <c:w val="0.8641375636868921"/>
          <c:h val="0.77529868425537707"/>
        </c:manualLayout>
      </c:layout>
      <c:lineChart>
        <c:grouping val="standard"/>
        <c:varyColors val="0"/>
        <c:ser>
          <c:idx val="0"/>
          <c:order val="0"/>
          <c:tx>
            <c:strRef>
              <c:f>'Employed '!$D$13</c:f>
              <c:strCache>
                <c:ptCount val="1"/>
                <c:pt idx="0">
                  <c:v>Total Employment</c:v>
                </c:pt>
              </c:strCache>
            </c:strRef>
          </c:tx>
          <c:spPr>
            <a:ln w="25400">
              <a:solidFill>
                <a:srgbClr val="FF6600"/>
              </a:solidFill>
              <a:prstDash val="solid"/>
            </a:ln>
          </c:spPr>
          <c:marker>
            <c:symbol val="none"/>
          </c:marker>
          <c:val>
            <c:numRef>
              <c:f>'Employed '!$E$13:$S$13</c:f>
              <c:numCache>
                <c:formatCode>_ * #\ ##0_ ;_ * \-#\ ##0_ ;_ * "-"??_ ;_ @_ </c:formatCode>
                <c:ptCount val="15"/>
                <c:pt idx="0">
                  <c:v>11659.564736131906</c:v>
                </c:pt>
                <c:pt idx="1">
                  <c:v>11965.041438403612</c:v>
                </c:pt>
                <c:pt idx="2">
                  <c:v>11812.429745588339</c:v>
                </c:pt>
                <c:pt idx="3">
                  <c:v>12043.837496420887</c:v>
                </c:pt>
                <c:pt idx="4">
                  <c:v>12768.858708318956</c:v>
                </c:pt>
                <c:pt idx="5">
                  <c:v>13418.80723334651</c:v>
                </c:pt>
                <c:pt idx="6">
                  <c:v>13467.260828648677</c:v>
                </c:pt>
                <c:pt idx="7">
                  <c:v>14584.861037070465</c:v>
                </c:pt>
                <c:pt idx="8">
                  <c:v>14193.824214060021</c:v>
                </c:pt>
                <c:pt idx="9">
                  <c:v>13787.976154492397</c:v>
                </c:pt>
                <c:pt idx="10">
                  <c:v>14070.050140507159</c:v>
                </c:pt>
                <c:pt idx="11">
                  <c:v>14424.889214334915</c:v>
                </c:pt>
                <c:pt idx="12">
                  <c:v>14865.627834799463</c:v>
                </c:pt>
                <c:pt idx="13">
                  <c:v>15146.303542806947</c:v>
                </c:pt>
                <c:pt idx="14">
                  <c:v>15741</c:v>
                </c:pt>
              </c:numCache>
            </c:numRef>
          </c:val>
          <c:smooth val="0"/>
          <c:extLst>
            <c:ext xmlns:c15="http://schemas.microsoft.com/office/drawing/2012/chart" uri="{02D57815-91ED-43cb-92C2-25804820EDAC}">
              <c15:filteredCategoryTitle>
                <c15:cat>
                  <c:multiLvlStrRef>
                    <c:extLst xmlns:c16="http://schemas.microsoft.com/office/drawing/2014/chart">
                      <c:ext uri="{02D57815-91ED-43cb-92C2-25804820EDAC}">
                        <c15:formulaRef>
                          <c15:sqref>'[9]Employed '!$E$102:$S$103</c15:sqref>
                        </c15:formulaRef>
                      </c:ext>
                    </c:extLst>
                    <c:multiLvlStrCache>
                      <c:ptCount val="15"/>
                      <c:lvl>
                        <c:pt idx="0">
                          <c:v>S</c:v>
                        </c:pt>
                        <c:pt idx="1">
                          <c:v>2001</c:v>
                        </c:pt>
                        <c:pt idx="2">
                          <c:v>2001</c:v>
                        </c:pt>
                        <c:pt idx="3">
                          <c:v>2001</c:v>
                        </c:pt>
                        <c:pt idx="4">
                          <c:v>2001</c:v>
                        </c:pt>
                        <c:pt idx="5">
                          <c:v>2001</c:v>
                        </c:pt>
                        <c:pt idx="6">
                          <c:v>2001</c:v>
                        </c:pt>
                        <c:pt idx="7">
                          <c:v>2001</c:v>
                        </c:pt>
                        <c:pt idx="8">
                          <c:v>2001</c:v>
                        </c:pt>
                        <c:pt idx="9">
                          <c:v>2001</c:v>
                        </c:pt>
                        <c:pt idx="10">
                          <c:v>2001</c:v>
                        </c:pt>
                        <c:pt idx="11">
                          <c:v>2001</c:v>
                        </c:pt>
                        <c:pt idx="12">
                          <c:v>2001</c:v>
                        </c:pt>
                        <c:pt idx="13">
                          <c:v>2001</c:v>
                        </c:pt>
                        <c:pt idx="14">
                          <c:v>2001</c:v>
                        </c:pt>
                      </c:lvl>
                      <c:lvl>
                        <c:pt idx="0">
                          <c:v>2001</c:v>
                        </c:pt>
                        <c:pt idx="1">
                          <c:v>2001</c:v>
                        </c:pt>
                        <c:pt idx="2">
                          <c:v>2001</c:v>
                        </c:pt>
                        <c:pt idx="3">
                          <c:v>2001</c:v>
                        </c:pt>
                        <c:pt idx="4">
                          <c:v>2001</c:v>
                        </c:pt>
                        <c:pt idx="5">
                          <c:v>2001</c:v>
                        </c:pt>
                        <c:pt idx="6">
                          <c:v>2001</c:v>
                        </c:pt>
                        <c:pt idx="7">
                          <c:v>2001</c:v>
                        </c:pt>
                        <c:pt idx="8">
                          <c:v>2001</c:v>
                        </c:pt>
                        <c:pt idx="9">
                          <c:v>2001</c:v>
                        </c:pt>
                        <c:pt idx="10">
                          <c:v>2001</c:v>
                        </c:pt>
                        <c:pt idx="11">
                          <c:v>2001</c:v>
                        </c:pt>
                        <c:pt idx="12">
                          <c:v>2001</c:v>
                        </c:pt>
                        <c:pt idx="13">
                          <c:v>2001</c:v>
                        </c:pt>
                        <c:pt idx="14">
                          <c:v>2001</c:v>
                        </c:pt>
                      </c:lvl>
                    </c:multiLvlStrCache>
                  </c:multiLvlStrRef>
                </c15:cat>
              </c15:filteredCategoryTitle>
            </c:ext>
            <c:ext xmlns:c16="http://schemas.microsoft.com/office/drawing/2014/chart" uri="{C3380CC4-5D6E-409C-BE32-E72D297353CC}">
              <c16:uniqueId val="{00000000-EC50-4ECD-AD01-A784024B560E}"/>
            </c:ext>
          </c:extLst>
        </c:ser>
        <c:dLbls>
          <c:showLegendKey val="0"/>
          <c:showVal val="0"/>
          <c:showCatName val="0"/>
          <c:showSerName val="0"/>
          <c:showPercent val="0"/>
          <c:showBubbleSize val="0"/>
        </c:dLbls>
        <c:smooth val="0"/>
        <c:axId val="400477736"/>
        <c:axId val="400474208"/>
      </c:lineChart>
      <c:catAx>
        <c:axId val="400477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00474208"/>
        <c:crossesAt val="11000"/>
        <c:auto val="1"/>
        <c:lblAlgn val="ctr"/>
        <c:lblOffset val="100"/>
        <c:tickLblSkip val="1"/>
        <c:tickMarkSkip val="1"/>
        <c:noMultiLvlLbl val="0"/>
      </c:catAx>
      <c:valAx>
        <c:axId val="400474208"/>
        <c:scaling>
          <c:orientation val="minMax"/>
          <c:max val="16000"/>
          <c:min val="11000"/>
        </c:scaling>
        <c:delete val="0"/>
        <c:axPos val="l"/>
        <c:majorGridlines>
          <c:spPr>
            <a:ln w="3175">
              <a:solidFill>
                <a:srgbClr val="969696"/>
              </a:solidFill>
              <a:prstDash val="sysDash"/>
            </a:ln>
          </c:spPr>
        </c:majorGridlines>
        <c:title>
          <c:tx>
            <c:rich>
              <a:bodyPr/>
              <a:lstStyle/>
              <a:p>
                <a:pPr>
                  <a:defRPr/>
                </a:pPr>
                <a:r>
                  <a:rPr lang="en-ZA"/>
                  <a:t>number (thousands)</a:t>
                </a:r>
              </a:p>
            </c:rich>
          </c:tx>
          <c:layout>
            <c:manualLayout>
              <c:xMode val="edge"/>
              <c:yMode val="edge"/>
              <c:x val="1.8789111188934955E-2"/>
              <c:y val="0.32944673109043188"/>
            </c:manualLayout>
          </c:layout>
          <c:overlay val="0"/>
          <c:spPr>
            <a:noFill/>
            <a:ln w="25400">
              <a:noFill/>
            </a:ln>
          </c:spPr>
        </c:title>
        <c:numFmt formatCode="###\ ###\ ###\ ###" sourceLinked="0"/>
        <c:majorTickMark val="out"/>
        <c:minorTickMark val="none"/>
        <c:tickLblPos val="nextTo"/>
        <c:spPr>
          <a:ln w="3175">
            <a:solidFill>
              <a:srgbClr val="000000"/>
            </a:solidFill>
            <a:prstDash val="solid"/>
          </a:ln>
        </c:spPr>
        <c:txPr>
          <a:bodyPr rot="0" vert="horz"/>
          <a:lstStyle/>
          <a:p>
            <a:pPr>
              <a:defRPr/>
            </a:pPr>
            <a:endParaRPr lang="en-US"/>
          </a:p>
        </c:txPr>
        <c:crossAx val="400477736"/>
        <c:crosses val="autoZero"/>
        <c:crossBetween val="between"/>
        <c:majorUnit val="500"/>
        <c:minorUnit val="4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588" r="0.75000000000000588"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b="1">
                <a:latin typeface="Arial" panose="020B0604020202020204" pitchFamily="34" charset="0"/>
                <a:cs typeface="Arial" panose="020B0604020202020204" pitchFamily="34" charset="0"/>
              </a:rPr>
              <a:t>UNEMPLOYMENT RATE BY AGE - NARROW DEFINITION</a:t>
            </a:r>
          </a:p>
        </c:rich>
      </c:tx>
      <c:layout>
        <c:manualLayout>
          <c:xMode val="edge"/>
          <c:yMode val="edge"/>
          <c:x val="2.1914330269059604E-2"/>
          <c:y val="1.9701580521807479E-2"/>
        </c:manualLayout>
      </c:layout>
      <c:overlay val="0"/>
    </c:title>
    <c:autoTitleDeleted val="0"/>
    <c:plotArea>
      <c:layout>
        <c:manualLayout>
          <c:layoutTarget val="inner"/>
          <c:xMode val="edge"/>
          <c:yMode val="edge"/>
          <c:x val="7.7691837243944392E-2"/>
          <c:y val="0.12738726533271627"/>
          <c:w val="0.90312608027655084"/>
          <c:h val="0.66822858484971714"/>
        </c:manualLayout>
      </c:layout>
      <c:lineChart>
        <c:grouping val="standard"/>
        <c:varyColors val="0"/>
        <c:ser>
          <c:idx val="1"/>
          <c:order val="0"/>
          <c:tx>
            <c:strRef>
              <c:f>'Unempl (annual)'!#REF!</c:f>
              <c:strCache>
                <c:ptCount val="1"/>
                <c:pt idx="0">
                  <c:v>#REF!</c:v>
                </c:pt>
              </c:strCache>
            </c:strRef>
          </c:tx>
          <c:spPr>
            <a:ln w="15875"/>
          </c:spPr>
          <c:marker>
            <c:symbol val="none"/>
          </c:marker>
          <c:cat>
            <c:numRef>
              <c:f>Unempl!$E$77:$S$77</c:f>
              <c:numCache>
                <c:formatCode>General</c:formatCode>
                <c:ptCount val="15"/>
                <c:pt idx="0">
                  <c:v>2001</c:v>
                </c:pt>
                <c:pt idx="1">
                  <c:v>2002</c:v>
                </c:pt>
                <c:pt idx="2">
                  <c:v>2003</c:v>
                </c:pt>
                <c:pt idx="3">
                  <c:v>2004</c:v>
                </c:pt>
                <c:pt idx="4">
                  <c:v>2005</c:v>
                </c:pt>
                <c:pt idx="5">
                  <c:v>2006</c:v>
                </c:pt>
                <c:pt idx="6">
                  <c:v>2007</c:v>
                </c:pt>
                <c:pt idx="7" formatCode="0">
                  <c:v>2008</c:v>
                </c:pt>
                <c:pt idx="8" formatCode="0">
                  <c:v>2009</c:v>
                </c:pt>
                <c:pt idx="9" formatCode="0">
                  <c:v>2010</c:v>
                </c:pt>
                <c:pt idx="10" formatCode="0">
                  <c:v>2011</c:v>
                </c:pt>
                <c:pt idx="11" formatCode="0">
                  <c:v>2012</c:v>
                </c:pt>
                <c:pt idx="12" formatCode="0">
                  <c:v>2013</c:v>
                </c:pt>
                <c:pt idx="13" formatCode="0">
                  <c:v>2014</c:v>
                </c:pt>
                <c:pt idx="14" formatCode="0">
                  <c:v>2015</c:v>
                </c:pt>
              </c:numCache>
            </c:numRef>
          </c:cat>
          <c:val>
            <c:numRef>
              <c:f>'Unempl (annual)'!#REF!</c:f>
              <c:numCache>
                <c:formatCode>General</c:formatCode>
                <c:ptCount val="1"/>
                <c:pt idx="0">
                  <c:v>1</c:v>
                </c:pt>
              </c:numCache>
            </c:numRef>
          </c:val>
          <c:smooth val="0"/>
          <c:extLst>
            <c:ext xmlns:c16="http://schemas.microsoft.com/office/drawing/2014/chart" uri="{C3380CC4-5D6E-409C-BE32-E72D297353CC}">
              <c16:uniqueId val="{00000000-0061-4EAE-AED2-9379879E8130}"/>
            </c:ext>
          </c:extLst>
        </c:ser>
        <c:ser>
          <c:idx val="2"/>
          <c:order val="1"/>
          <c:tx>
            <c:strRef>
              <c:f>Unempl!$D$78</c:f>
              <c:strCache>
                <c:ptCount val="1"/>
                <c:pt idx="0">
                  <c:v>15 - 24</c:v>
                </c:pt>
              </c:strCache>
            </c:strRef>
          </c:tx>
          <c:spPr>
            <a:ln w="25400">
              <a:solidFill>
                <a:srgbClr val="FF6600"/>
              </a:solidFill>
            </a:ln>
          </c:spPr>
          <c:marker>
            <c:symbol val="none"/>
          </c:marker>
          <c:cat>
            <c:numRef>
              <c:f>Unempl!$E$77:$S$77</c:f>
              <c:numCache>
                <c:formatCode>General</c:formatCode>
                <c:ptCount val="15"/>
                <c:pt idx="0">
                  <c:v>2001</c:v>
                </c:pt>
                <c:pt idx="1">
                  <c:v>2002</c:v>
                </c:pt>
                <c:pt idx="2">
                  <c:v>2003</c:v>
                </c:pt>
                <c:pt idx="3">
                  <c:v>2004</c:v>
                </c:pt>
                <c:pt idx="4">
                  <c:v>2005</c:v>
                </c:pt>
                <c:pt idx="5">
                  <c:v>2006</c:v>
                </c:pt>
                <c:pt idx="6">
                  <c:v>2007</c:v>
                </c:pt>
                <c:pt idx="7" formatCode="0">
                  <c:v>2008</c:v>
                </c:pt>
                <c:pt idx="8" formatCode="0">
                  <c:v>2009</c:v>
                </c:pt>
                <c:pt idx="9" formatCode="0">
                  <c:v>2010</c:v>
                </c:pt>
                <c:pt idx="10" formatCode="0">
                  <c:v>2011</c:v>
                </c:pt>
                <c:pt idx="11" formatCode="0">
                  <c:v>2012</c:v>
                </c:pt>
                <c:pt idx="12" formatCode="0">
                  <c:v>2013</c:v>
                </c:pt>
                <c:pt idx="13" formatCode="0">
                  <c:v>2014</c:v>
                </c:pt>
                <c:pt idx="14" formatCode="0">
                  <c:v>2015</c:v>
                </c:pt>
              </c:numCache>
            </c:numRef>
          </c:cat>
          <c:val>
            <c:numRef>
              <c:f>Unempl!$E$78:$S$78</c:f>
              <c:numCache>
                <c:formatCode>0.0</c:formatCode>
                <c:ptCount val="15"/>
                <c:pt idx="0">
                  <c:v>49.556608498903458</c:v>
                </c:pt>
                <c:pt idx="1">
                  <c:v>52.365488698625548</c:v>
                </c:pt>
                <c:pt idx="2">
                  <c:v>54.827733170732508</c:v>
                </c:pt>
                <c:pt idx="3">
                  <c:v>51.047144480847152</c:v>
                </c:pt>
                <c:pt idx="4">
                  <c:v>48.313051977951886</c:v>
                </c:pt>
                <c:pt idx="5">
                  <c:v>46.662747889266477</c:v>
                </c:pt>
                <c:pt idx="6">
                  <c:v>46.483378566700807</c:v>
                </c:pt>
                <c:pt idx="7">
                  <c:v>45.614324650791417</c:v>
                </c:pt>
                <c:pt idx="8">
                  <c:v>60.1</c:v>
                </c:pt>
                <c:pt idx="9">
                  <c:v>65</c:v>
                </c:pt>
                <c:pt idx="10">
                  <c:v>65</c:v>
                </c:pt>
                <c:pt idx="11">
                  <c:v>65.900000000000006</c:v>
                </c:pt>
                <c:pt idx="12">
                  <c:v>65.5</c:v>
                </c:pt>
                <c:pt idx="13">
                  <c:v>65</c:v>
                </c:pt>
                <c:pt idx="14">
                  <c:v>62.8</c:v>
                </c:pt>
              </c:numCache>
            </c:numRef>
          </c:val>
          <c:smooth val="0"/>
          <c:extLst>
            <c:ext xmlns:c16="http://schemas.microsoft.com/office/drawing/2014/chart" uri="{C3380CC4-5D6E-409C-BE32-E72D297353CC}">
              <c16:uniqueId val="{00000001-0061-4EAE-AED2-9379879E8130}"/>
            </c:ext>
          </c:extLst>
        </c:ser>
        <c:ser>
          <c:idx val="3"/>
          <c:order val="2"/>
          <c:tx>
            <c:strRef>
              <c:f>Unempl!$D$79</c:f>
              <c:strCache>
                <c:ptCount val="1"/>
                <c:pt idx="0">
                  <c:v>25 - 34</c:v>
                </c:pt>
              </c:strCache>
            </c:strRef>
          </c:tx>
          <c:spPr>
            <a:ln w="25400">
              <a:solidFill>
                <a:srgbClr val="BE4B48"/>
              </a:solidFill>
            </a:ln>
          </c:spPr>
          <c:marker>
            <c:symbol val="none"/>
          </c:marker>
          <c:cat>
            <c:numRef>
              <c:f>Unempl!$E$77:$S$77</c:f>
              <c:numCache>
                <c:formatCode>General</c:formatCode>
                <c:ptCount val="15"/>
                <c:pt idx="0">
                  <c:v>2001</c:v>
                </c:pt>
                <c:pt idx="1">
                  <c:v>2002</c:v>
                </c:pt>
                <c:pt idx="2">
                  <c:v>2003</c:v>
                </c:pt>
                <c:pt idx="3">
                  <c:v>2004</c:v>
                </c:pt>
                <c:pt idx="4">
                  <c:v>2005</c:v>
                </c:pt>
                <c:pt idx="5">
                  <c:v>2006</c:v>
                </c:pt>
                <c:pt idx="6">
                  <c:v>2007</c:v>
                </c:pt>
                <c:pt idx="7" formatCode="0">
                  <c:v>2008</c:v>
                </c:pt>
                <c:pt idx="8" formatCode="0">
                  <c:v>2009</c:v>
                </c:pt>
                <c:pt idx="9" formatCode="0">
                  <c:v>2010</c:v>
                </c:pt>
                <c:pt idx="10" formatCode="0">
                  <c:v>2011</c:v>
                </c:pt>
                <c:pt idx="11" formatCode="0">
                  <c:v>2012</c:v>
                </c:pt>
                <c:pt idx="12" formatCode="0">
                  <c:v>2013</c:v>
                </c:pt>
                <c:pt idx="13" formatCode="0">
                  <c:v>2014</c:v>
                </c:pt>
                <c:pt idx="14" formatCode="0">
                  <c:v>2015</c:v>
                </c:pt>
              </c:numCache>
            </c:numRef>
          </c:cat>
          <c:val>
            <c:numRef>
              <c:f>Unempl!$E$79:$S$79</c:f>
              <c:numCache>
                <c:formatCode>0.0</c:formatCode>
                <c:ptCount val="15"/>
                <c:pt idx="0">
                  <c:v>30.006583046640795</c:v>
                </c:pt>
                <c:pt idx="1">
                  <c:v>31.279821135541997</c:v>
                </c:pt>
                <c:pt idx="2">
                  <c:v>31.050283981445908</c:v>
                </c:pt>
                <c:pt idx="3">
                  <c:v>28.607807205924868</c:v>
                </c:pt>
                <c:pt idx="4">
                  <c:v>28.082964613263091</c:v>
                </c:pt>
                <c:pt idx="5">
                  <c:v>25.955049151477134</c:v>
                </c:pt>
                <c:pt idx="6">
                  <c:v>26.009564159106073</c:v>
                </c:pt>
                <c:pt idx="7">
                  <c:v>25.84055242777702</c:v>
                </c:pt>
                <c:pt idx="8">
                  <c:v>36.299999999999997</c:v>
                </c:pt>
                <c:pt idx="9">
                  <c:v>39</c:v>
                </c:pt>
                <c:pt idx="10">
                  <c:v>40</c:v>
                </c:pt>
                <c:pt idx="11">
                  <c:v>39.5</c:v>
                </c:pt>
                <c:pt idx="12">
                  <c:v>39.200000000000003</c:v>
                </c:pt>
                <c:pt idx="13">
                  <c:v>39.799999999999997</c:v>
                </c:pt>
                <c:pt idx="14">
                  <c:v>39.4</c:v>
                </c:pt>
              </c:numCache>
            </c:numRef>
          </c:val>
          <c:smooth val="0"/>
          <c:extLst>
            <c:ext xmlns:c16="http://schemas.microsoft.com/office/drawing/2014/chart" uri="{C3380CC4-5D6E-409C-BE32-E72D297353CC}">
              <c16:uniqueId val="{00000002-0061-4EAE-AED2-9379879E8130}"/>
            </c:ext>
          </c:extLst>
        </c:ser>
        <c:ser>
          <c:idx val="4"/>
          <c:order val="3"/>
          <c:tx>
            <c:strRef>
              <c:f>Unempl!$D$80</c:f>
              <c:strCache>
                <c:ptCount val="1"/>
                <c:pt idx="0">
                  <c:v>35 - 44</c:v>
                </c:pt>
              </c:strCache>
            </c:strRef>
          </c:tx>
          <c:spPr>
            <a:ln w="25400">
              <a:solidFill>
                <a:srgbClr val="FFC600"/>
              </a:solidFill>
            </a:ln>
          </c:spPr>
          <c:marker>
            <c:symbol val="none"/>
          </c:marker>
          <c:cat>
            <c:numRef>
              <c:f>Unempl!$E$77:$S$77</c:f>
              <c:numCache>
                <c:formatCode>General</c:formatCode>
                <c:ptCount val="15"/>
                <c:pt idx="0">
                  <c:v>2001</c:v>
                </c:pt>
                <c:pt idx="1">
                  <c:v>2002</c:v>
                </c:pt>
                <c:pt idx="2">
                  <c:v>2003</c:v>
                </c:pt>
                <c:pt idx="3">
                  <c:v>2004</c:v>
                </c:pt>
                <c:pt idx="4">
                  <c:v>2005</c:v>
                </c:pt>
                <c:pt idx="5">
                  <c:v>2006</c:v>
                </c:pt>
                <c:pt idx="6">
                  <c:v>2007</c:v>
                </c:pt>
                <c:pt idx="7" formatCode="0">
                  <c:v>2008</c:v>
                </c:pt>
                <c:pt idx="8" formatCode="0">
                  <c:v>2009</c:v>
                </c:pt>
                <c:pt idx="9" formatCode="0">
                  <c:v>2010</c:v>
                </c:pt>
                <c:pt idx="10" formatCode="0">
                  <c:v>2011</c:v>
                </c:pt>
                <c:pt idx="11" formatCode="0">
                  <c:v>2012</c:v>
                </c:pt>
                <c:pt idx="12" formatCode="0">
                  <c:v>2013</c:v>
                </c:pt>
                <c:pt idx="13" formatCode="0">
                  <c:v>2014</c:v>
                </c:pt>
                <c:pt idx="14" formatCode="0">
                  <c:v>2015</c:v>
                </c:pt>
              </c:numCache>
            </c:numRef>
          </c:cat>
          <c:val>
            <c:numRef>
              <c:f>Unempl!$E$80:$S$80</c:f>
              <c:numCache>
                <c:formatCode>0.0</c:formatCode>
                <c:ptCount val="15"/>
                <c:pt idx="0">
                  <c:v>15.348552168548474</c:v>
                </c:pt>
                <c:pt idx="1">
                  <c:v>16.727720869361313</c:v>
                </c:pt>
                <c:pt idx="2">
                  <c:v>16.436128287012593</c:v>
                </c:pt>
                <c:pt idx="3">
                  <c:v>15.309559486335356</c:v>
                </c:pt>
                <c:pt idx="4">
                  <c:v>14.705728618206862</c:v>
                </c:pt>
                <c:pt idx="5">
                  <c:v>14.734966545056349</c:v>
                </c:pt>
                <c:pt idx="6">
                  <c:v>13.512775447998409</c:v>
                </c:pt>
                <c:pt idx="7">
                  <c:v>15.955901048925059</c:v>
                </c:pt>
                <c:pt idx="8">
                  <c:v>23.3</c:v>
                </c:pt>
                <c:pt idx="9">
                  <c:v>25.7</c:v>
                </c:pt>
                <c:pt idx="10">
                  <c:v>26.3</c:v>
                </c:pt>
                <c:pt idx="11">
                  <c:v>26.3</c:v>
                </c:pt>
                <c:pt idx="12">
                  <c:v>26.3</c:v>
                </c:pt>
                <c:pt idx="13">
                  <c:v>26.6</c:v>
                </c:pt>
                <c:pt idx="14">
                  <c:v>26.7</c:v>
                </c:pt>
              </c:numCache>
            </c:numRef>
          </c:val>
          <c:smooth val="0"/>
          <c:extLst>
            <c:ext xmlns:c16="http://schemas.microsoft.com/office/drawing/2014/chart" uri="{C3380CC4-5D6E-409C-BE32-E72D297353CC}">
              <c16:uniqueId val="{00000003-0061-4EAE-AED2-9379879E8130}"/>
            </c:ext>
          </c:extLst>
        </c:ser>
        <c:ser>
          <c:idx val="5"/>
          <c:order val="4"/>
          <c:tx>
            <c:strRef>
              <c:f>Unempl!$D$81</c:f>
              <c:strCache>
                <c:ptCount val="1"/>
                <c:pt idx="0">
                  <c:v>45 - 54</c:v>
                </c:pt>
              </c:strCache>
            </c:strRef>
          </c:tx>
          <c:spPr>
            <a:ln w="25400">
              <a:solidFill>
                <a:srgbClr val="00B050"/>
              </a:solidFill>
            </a:ln>
          </c:spPr>
          <c:marker>
            <c:symbol val="none"/>
          </c:marker>
          <c:cat>
            <c:numRef>
              <c:f>Unempl!$E$77:$S$77</c:f>
              <c:numCache>
                <c:formatCode>General</c:formatCode>
                <c:ptCount val="15"/>
                <c:pt idx="0">
                  <c:v>2001</c:v>
                </c:pt>
                <c:pt idx="1">
                  <c:v>2002</c:v>
                </c:pt>
                <c:pt idx="2">
                  <c:v>2003</c:v>
                </c:pt>
                <c:pt idx="3">
                  <c:v>2004</c:v>
                </c:pt>
                <c:pt idx="4">
                  <c:v>2005</c:v>
                </c:pt>
                <c:pt idx="5">
                  <c:v>2006</c:v>
                </c:pt>
                <c:pt idx="6">
                  <c:v>2007</c:v>
                </c:pt>
                <c:pt idx="7" formatCode="0">
                  <c:v>2008</c:v>
                </c:pt>
                <c:pt idx="8" formatCode="0">
                  <c:v>2009</c:v>
                </c:pt>
                <c:pt idx="9" formatCode="0">
                  <c:v>2010</c:v>
                </c:pt>
                <c:pt idx="10" formatCode="0">
                  <c:v>2011</c:v>
                </c:pt>
                <c:pt idx="11" formatCode="0">
                  <c:v>2012</c:v>
                </c:pt>
                <c:pt idx="12" formatCode="0">
                  <c:v>2013</c:v>
                </c:pt>
                <c:pt idx="13" formatCode="0">
                  <c:v>2014</c:v>
                </c:pt>
                <c:pt idx="14" formatCode="0">
                  <c:v>2015</c:v>
                </c:pt>
              </c:numCache>
            </c:numRef>
          </c:cat>
          <c:val>
            <c:numRef>
              <c:f>Unempl!$E$81:$S$81</c:f>
              <c:numCache>
                <c:formatCode>0.0</c:formatCode>
                <c:ptCount val="15"/>
                <c:pt idx="0">
                  <c:v>11.413586942521752</c:v>
                </c:pt>
                <c:pt idx="1">
                  <c:v>13.255828788899452</c:v>
                </c:pt>
                <c:pt idx="2">
                  <c:v>12.56289880655336</c:v>
                </c:pt>
                <c:pt idx="3">
                  <c:v>10.643161935658</c:v>
                </c:pt>
                <c:pt idx="4">
                  <c:v>10.560847323939923</c:v>
                </c:pt>
                <c:pt idx="5">
                  <c:v>9.9807886244266086</c:v>
                </c:pt>
                <c:pt idx="6">
                  <c:v>10.378274219367608</c:v>
                </c:pt>
                <c:pt idx="7">
                  <c:v>10.262524243664238</c:v>
                </c:pt>
                <c:pt idx="8">
                  <c:v>17.2</c:v>
                </c:pt>
                <c:pt idx="9">
                  <c:v>20.2</c:v>
                </c:pt>
                <c:pt idx="10">
                  <c:v>20</c:v>
                </c:pt>
                <c:pt idx="11">
                  <c:v>20.6</c:v>
                </c:pt>
                <c:pt idx="12">
                  <c:v>20.6</c:v>
                </c:pt>
                <c:pt idx="13">
                  <c:v>21.2</c:v>
                </c:pt>
                <c:pt idx="14">
                  <c:v>21.1</c:v>
                </c:pt>
              </c:numCache>
            </c:numRef>
          </c:val>
          <c:smooth val="0"/>
          <c:extLst>
            <c:ext xmlns:c16="http://schemas.microsoft.com/office/drawing/2014/chart" uri="{C3380CC4-5D6E-409C-BE32-E72D297353CC}">
              <c16:uniqueId val="{00000004-0061-4EAE-AED2-9379879E8130}"/>
            </c:ext>
          </c:extLst>
        </c:ser>
        <c:ser>
          <c:idx val="6"/>
          <c:order val="5"/>
          <c:tx>
            <c:strRef>
              <c:f>Unempl!$D$82</c:f>
              <c:strCache>
                <c:ptCount val="1"/>
                <c:pt idx="0">
                  <c:v>55 - 64</c:v>
                </c:pt>
              </c:strCache>
            </c:strRef>
          </c:tx>
          <c:spPr>
            <a:ln w="25400">
              <a:solidFill>
                <a:srgbClr val="3D96AE"/>
              </a:solidFill>
            </a:ln>
          </c:spPr>
          <c:marker>
            <c:symbol val="none"/>
          </c:marker>
          <c:cat>
            <c:numRef>
              <c:f>Unempl!$E$77:$S$77</c:f>
              <c:numCache>
                <c:formatCode>General</c:formatCode>
                <c:ptCount val="15"/>
                <c:pt idx="0">
                  <c:v>2001</c:v>
                </c:pt>
                <c:pt idx="1">
                  <c:v>2002</c:v>
                </c:pt>
                <c:pt idx="2">
                  <c:v>2003</c:v>
                </c:pt>
                <c:pt idx="3">
                  <c:v>2004</c:v>
                </c:pt>
                <c:pt idx="4">
                  <c:v>2005</c:v>
                </c:pt>
                <c:pt idx="5">
                  <c:v>2006</c:v>
                </c:pt>
                <c:pt idx="6">
                  <c:v>2007</c:v>
                </c:pt>
                <c:pt idx="7" formatCode="0">
                  <c:v>2008</c:v>
                </c:pt>
                <c:pt idx="8" formatCode="0">
                  <c:v>2009</c:v>
                </c:pt>
                <c:pt idx="9" formatCode="0">
                  <c:v>2010</c:v>
                </c:pt>
                <c:pt idx="10" formatCode="0">
                  <c:v>2011</c:v>
                </c:pt>
                <c:pt idx="11" formatCode="0">
                  <c:v>2012</c:v>
                </c:pt>
                <c:pt idx="12" formatCode="0">
                  <c:v>2013</c:v>
                </c:pt>
                <c:pt idx="13" formatCode="0">
                  <c:v>2014</c:v>
                </c:pt>
                <c:pt idx="14" formatCode="0">
                  <c:v>2015</c:v>
                </c:pt>
              </c:numCache>
            </c:numRef>
          </c:cat>
          <c:val>
            <c:numRef>
              <c:f>Unempl!$E$82:$S$82</c:f>
              <c:numCache>
                <c:formatCode>0.0</c:formatCode>
                <c:ptCount val="15"/>
                <c:pt idx="0">
                  <c:v>8.3886179986402496</c:v>
                </c:pt>
                <c:pt idx="1">
                  <c:v>9.2104286438743301</c:v>
                </c:pt>
                <c:pt idx="2">
                  <c:v>8.3836251103396329</c:v>
                </c:pt>
                <c:pt idx="3">
                  <c:v>6.4580666430821392</c:v>
                </c:pt>
                <c:pt idx="4">
                  <c:v>6.9382843179818448</c:v>
                </c:pt>
                <c:pt idx="5">
                  <c:v>5.1909668005062404</c:v>
                </c:pt>
                <c:pt idx="6">
                  <c:v>5.6456566792137988</c:v>
                </c:pt>
                <c:pt idx="7">
                  <c:v>6.7434230431741806</c:v>
                </c:pt>
                <c:pt idx="8">
                  <c:v>11.9</c:v>
                </c:pt>
                <c:pt idx="9">
                  <c:v>14.7</c:v>
                </c:pt>
                <c:pt idx="10">
                  <c:v>12.9</c:v>
                </c:pt>
                <c:pt idx="11">
                  <c:v>14.5</c:v>
                </c:pt>
                <c:pt idx="12">
                  <c:v>14.5</c:v>
                </c:pt>
                <c:pt idx="13">
                  <c:v>15</c:v>
                </c:pt>
                <c:pt idx="14">
                  <c:v>15.4</c:v>
                </c:pt>
              </c:numCache>
            </c:numRef>
          </c:val>
          <c:smooth val="0"/>
          <c:extLst>
            <c:ext xmlns:c16="http://schemas.microsoft.com/office/drawing/2014/chart" uri="{C3380CC4-5D6E-409C-BE32-E72D297353CC}">
              <c16:uniqueId val="{00000005-0061-4EAE-AED2-9379879E8130}"/>
            </c:ext>
          </c:extLst>
        </c:ser>
        <c:dLbls>
          <c:showLegendKey val="0"/>
          <c:showVal val="0"/>
          <c:showCatName val="0"/>
          <c:showSerName val="0"/>
          <c:showPercent val="0"/>
          <c:showBubbleSize val="0"/>
        </c:dLbls>
        <c:smooth val="0"/>
        <c:axId val="400475384"/>
        <c:axId val="400476952"/>
      </c:lineChart>
      <c:catAx>
        <c:axId val="400475384"/>
        <c:scaling>
          <c:orientation val="minMax"/>
        </c:scaling>
        <c:delete val="0"/>
        <c:axPos val="b"/>
        <c:numFmt formatCode="General" sourceLinked="1"/>
        <c:majorTickMark val="out"/>
        <c:minorTickMark val="none"/>
        <c:tickLblPos val="nextTo"/>
        <c:txPr>
          <a:bodyPr rot="0" vert="horz"/>
          <a:lstStyle/>
          <a:p>
            <a:pPr>
              <a:defRPr sz="800" baseline="0">
                <a:latin typeface="Arial" panose="020B0604020202020204" pitchFamily="34" charset="0"/>
              </a:defRPr>
            </a:pPr>
            <a:endParaRPr lang="en-US"/>
          </a:p>
        </c:txPr>
        <c:crossAx val="400476952"/>
        <c:crosses val="autoZero"/>
        <c:auto val="1"/>
        <c:lblAlgn val="ctr"/>
        <c:lblOffset val="100"/>
        <c:noMultiLvlLbl val="0"/>
      </c:catAx>
      <c:valAx>
        <c:axId val="400476952"/>
        <c:scaling>
          <c:orientation val="minMax"/>
        </c:scaling>
        <c:delete val="0"/>
        <c:axPos val="l"/>
        <c:majorGridlines>
          <c:spPr>
            <a:ln>
              <a:solidFill>
                <a:sysClr val="window" lastClr="FFFFFF">
                  <a:lumMod val="65000"/>
                </a:sysClr>
              </a:solidFill>
              <a:prstDash val="dash"/>
            </a:ln>
          </c:spPr>
        </c:majorGridlines>
        <c:title>
          <c:tx>
            <c:rich>
              <a:bodyPr/>
              <a:lstStyle/>
              <a:p>
                <a:pPr>
                  <a:defRPr sz="800" baseline="0">
                    <a:latin typeface="Arial" panose="020B0604020202020204" pitchFamily="34" charset="0"/>
                  </a:defRPr>
                </a:pPr>
                <a:r>
                  <a:rPr lang="en-ZA" sz="800" baseline="0">
                    <a:latin typeface="Arial" panose="020B0604020202020204" pitchFamily="34" charset="0"/>
                  </a:rPr>
                  <a:t>%</a:t>
                </a:r>
              </a:p>
            </c:rich>
          </c:tx>
          <c:layout>
            <c:manualLayout>
              <c:xMode val="edge"/>
              <c:yMode val="edge"/>
              <c:x val="1.6052912216286574E-2"/>
              <c:y val="0.41579694444516263"/>
            </c:manualLayout>
          </c:layout>
          <c:overlay val="0"/>
        </c:title>
        <c:numFmt formatCode="0" sourceLinked="0"/>
        <c:majorTickMark val="out"/>
        <c:minorTickMark val="none"/>
        <c:tickLblPos val="nextTo"/>
        <c:txPr>
          <a:bodyPr rot="0" vert="horz"/>
          <a:lstStyle/>
          <a:p>
            <a:pPr>
              <a:defRPr sz="800" baseline="0">
                <a:latin typeface="Arial" panose="020B0604020202020204" pitchFamily="34" charset="0"/>
              </a:defRPr>
            </a:pPr>
            <a:endParaRPr lang="en-US"/>
          </a:p>
        </c:txPr>
        <c:crossAx val="400475384"/>
        <c:crosses val="autoZero"/>
        <c:crossBetween val="between"/>
      </c:valAx>
    </c:plotArea>
    <c:legend>
      <c:legendPos val="r"/>
      <c:legendEntry>
        <c:idx val="0"/>
        <c:delete val="1"/>
      </c:legendEntry>
      <c:layout>
        <c:manualLayout>
          <c:xMode val="edge"/>
          <c:yMode val="edge"/>
          <c:x val="5.6393476628040992E-2"/>
          <c:y val="0.90278026057553606"/>
          <c:w val="0.87039033481305084"/>
          <c:h val="6.5280319689768551E-2"/>
        </c:manualLayout>
      </c:layout>
      <c:overlay val="0"/>
      <c:txPr>
        <a:bodyPr/>
        <a:lstStyle/>
        <a:p>
          <a:pPr>
            <a:defRPr sz="800" baseline="0">
              <a:latin typeface="Arial" panose="020B0604020202020204" pitchFamily="34" charset="0"/>
            </a:defRPr>
          </a:pPr>
          <a:endParaRPr lang="en-US"/>
        </a:p>
      </c:txPr>
    </c:legend>
    <c:plotVisOnly val="1"/>
    <c:dispBlanksAs val="gap"/>
    <c:showDLblsOverMax val="0"/>
  </c:chart>
  <c:spPr>
    <a:ln>
      <a:solidFill>
        <a:schemeClr val="tx1"/>
      </a:solidFill>
    </a:ln>
  </c:spPr>
  <c:txPr>
    <a:bodyPr/>
    <a:lstStyle/>
    <a:p>
      <a:pPr>
        <a:defRPr sz="1200" b="0" i="0" u="none" strike="noStrike" baseline="0">
          <a:solidFill>
            <a:srgbClr val="000000"/>
          </a:solidFill>
          <a:latin typeface="Arial Narrow" panose="020B0606020202030204" pitchFamily="34" charset="0"/>
          <a:ea typeface="Arial"/>
          <a:cs typeface="Arial"/>
        </a:defRPr>
      </a:pPr>
      <a:endParaRPr lang="en-US"/>
    </a:p>
  </c:txPr>
  <c:printSettings>
    <c:headerFooter/>
    <c:pageMargins b="0.75000000000000555" l="0.70000000000000062" r="0.70000000000000062" t="0.75000000000000555" header="0.30000000000000032" footer="0.30000000000000032"/>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'LSM '!$D$91</c:f>
              <c:strCache>
                <c:ptCount val="1"/>
                <c:pt idx="0">
                  <c:v>LSM 9</c:v>
                </c:pt>
              </c:strCache>
            </c:strRef>
          </c:tx>
          <c:invertIfNegative val="0"/>
          <c:cat>
            <c:strRef>
              <c:f>'LSM '!$E$7:$AH$7</c:f>
              <c:strCache>
                <c:ptCount val="29"/>
                <c:pt idx="0">
                  <c:v>2000/01</c:v>
                </c:pt>
                <c:pt idx="2">
                  <c:v>2001/02</c:v>
                </c:pt>
                <c:pt idx="4">
                  <c:v>2002/03</c:v>
                </c:pt>
                <c:pt idx="6">
                  <c:v>2003/04</c:v>
                </c:pt>
                <c:pt idx="8">
                  <c:v>2004/05</c:v>
                </c:pt>
                <c:pt idx="10">
                  <c:v>2005/06</c:v>
                </c:pt>
                <c:pt idx="12">
                  <c:v>2006/07</c:v>
                </c:pt>
                <c:pt idx="14">
                  <c:v>2007/08</c:v>
                </c:pt>
                <c:pt idx="16">
                  <c:v>2009</c:v>
                </c:pt>
                <c:pt idx="18">
                  <c:v>2010</c:v>
                </c:pt>
                <c:pt idx="20">
                  <c:v>2011</c:v>
                </c:pt>
                <c:pt idx="22">
                  <c:v>2012</c:v>
                </c:pt>
                <c:pt idx="24">
                  <c:v>2013</c:v>
                </c:pt>
                <c:pt idx="26">
                  <c:v>2014</c:v>
                </c:pt>
                <c:pt idx="28">
                  <c:v>2015</c:v>
                </c:pt>
              </c:strCache>
            </c:strRef>
          </c:cat>
          <c:val>
            <c:numRef>
              <c:f>'LSM '!$E$90:$X$90</c:f>
              <c:numCache>
                <c:formatCode>"R"\ #\ ##0</c:formatCode>
                <c:ptCount val="20"/>
                <c:pt idx="0" formatCode="#,##0">
                  <c:v>257</c:v>
                </c:pt>
                <c:pt idx="1">
                  <c:v>16028</c:v>
                </c:pt>
                <c:pt idx="2" formatCode="#,##0">
                  <c:v>169</c:v>
                </c:pt>
                <c:pt idx="3">
                  <c:v>17575</c:v>
                </c:pt>
                <c:pt idx="4" formatCode="#,##0">
                  <c:v>1381</c:v>
                </c:pt>
                <c:pt idx="5">
                  <c:v>23347</c:v>
                </c:pt>
                <c:pt idx="6" formatCode="General">
                  <c:v>375</c:v>
                </c:pt>
                <c:pt idx="7">
                  <c:v>17321</c:v>
                </c:pt>
                <c:pt idx="8" formatCode="General">
                  <c:v>80</c:v>
                </c:pt>
                <c:pt idx="9">
                  <c:v>21836</c:v>
                </c:pt>
                <c:pt idx="10" formatCode="General">
                  <c:v>182</c:v>
                </c:pt>
                <c:pt idx="11">
                  <c:v>21350</c:v>
                </c:pt>
                <c:pt idx="12" formatCode="General">
                  <c:v>139</c:v>
                </c:pt>
                <c:pt idx="13">
                  <c:v>24272</c:v>
                </c:pt>
                <c:pt idx="14" formatCode="General">
                  <c:v>60</c:v>
                </c:pt>
                <c:pt idx="15">
                  <c:v>12512</c:v>
                </c:pt>
                <c:pt idx="16" formatCode="General">
                  <c:v>657</c:v>
                </c:pt>
                <c:pt idx="17">
                  <c:v>13433</c:v>
                </c:pt>
                <c:pt idx="18" formatCode="#\ ###\ ##0">
                  <c:v>3300</c:v>
                </c:pt>
                <c:pt idx="19">
                  <c:v>19516</c:v>
                </c:pt>
              </c:numCache>
            </c:numRef>
          </c:val>
          <c:extLst>
            <c:ext xmlns:c16="http://schemas.microsoft.com/office/drawing/2014/chart" uri="{C3380CC4-5D6E-409C-BE32-E72D297353CC}">
              <c16:uniqueId val="{00000000-8618-4F9D-B292-28CC4500D4B8}"/>
            </c:ext>
          </c:extLst>
        </c:ser>
        <c:ser>
          <c:idx val="1"/>
          <c:order val="1"/>
          <c:tx>
            <c:strRef>
              <c:f>'LSM '!$D$92</c:f>
              <c:strCache>
                <c:ptCount val="1"/>
                <c:pt idx="0">
                  <c:v>LSM 10</c:v>
                </c:pt>
              </c:strCache>
            </c:strRef>
          </c:tx>
          <c:invertIfNegative val="0"/>
          <c:cat>
            <c:strRef>
              <c:f>'LSM '!$E$7:$AH$7</c:f>
              <c:strCache>
                <c:ptCount val="29"/>
                <c:pt idx="0">
                  <c:v>2000/01</c:v>
                </c:pt>
                <c:pt idx="2">
                  <c:v>2001/02</c:v>
                </c:pt>
                <c:pt idx="4">
                  <c:v>2002/03</c:v>
                </c:pt>
                <c:pt idx="6">
                  <c:v>2003/04</c:v>
                </c:pt>
                <c:pt idx="8">
                  <c:v>2004/05</c:v>
                </c:pt>
                <c:pt idx="10">
                  <c:v>2005/06</c:v>
                </c:pt>
                <c:pt idx="12">
                  <c:v>2006/07</c:v>
                </c:pt>
                <c:pt idx="14">
                  <c:v>2007/08</c:v>
                </c:pt>
                <c:pt idx="16">
                  <c:v>2009</c:v>
                </c:pt>
                <c:pt idx="18">
                  <c:v>2010</c:v>
                </c:pt>
                <c:pt idx="20">
                  <c:v>2011</c:v>
                </c:pt>
                <c:pt idx="22">
                  <c:v>2012</c:v>
                </c:pt>
                <c:pt idx="24">
                  <c:v>2013</c:v>
                </c:pt>
                <c:pt idx="26">
                  <c:v>2014</c:v>
                </c:pt>
                <c:pt idx="28">
                  <c:v>2015</c:v>
                </c:pt>
              </c:strCache>
            </c:strRef>
          </c:cat>
          <c:val>
            <c:numRef>
              <c:f>'LSM '!$E$92:$V$92</c:f>
              <c:numCache>
                <c:formatCode>"R"\ #\ ##0</c:formatCode>
                <c:ptCount val="18"/>
                <c:pt idx="0" formatCode="#,##0">
                  <c:v>136</c:v>
                </c:pt>
                <c:pt idx="1">
                  <c:v>32500</c:v>
                </c:pt>
                <c:pt idx="2" formatCode="#,##0">
                  <c:v>48</c:v>
                </c:pt>
                <c:pt idx="3">
                  <c:v>33087</c:v>
                </c:pt>
                <c:pt idx="4" formatCode="#,##0">
                  <c:v>979</c:v>
                </c:pt>
                <c:pt idx="5">
                  <c:v>47501</c:v>
                </c:pt>
                <c:pt idx="6" formatCode="General">
                  <c:v>642</c:v>
                </c:pt>
                <c:pt idx="7">
                  <c:v>37862</c:v>
                </c:pt>
                <c:pt idx="8" formatCode="General">
                  <c:v>18</c:v>
                </c:pt>
                <c:pt idx="9">
                  <c:v>34887</c:v>
                </c:pt>
                <c:pt idx="10" formatCode="General">
                  <c:v>110</c:v>
                </c:pt>
                <c:pt idx="11">
                  <c:v>46275</c:v>
                </c:pt>
                <c:pt idx="12" formatCode="General">
                  <c:v>43</c:v>
                </c:pt>
                <c:pt idx="13">
                  <c:v>39122</c:v>
                </c:pt>
                <c:pt idx="14" formatCode="General">
                  <c:v>13</c:v>
                </c:pt>
                <c:pt idx="15">
                  <c:v>28957</c:v>
                </c:pt>
                <c:pt idx="16" formatCode="General">
                  <c:v>391</c:v>
                </c:pt>
                <c:pt idx="17">
                  <c:v>36812</c:v>
                </c:pt>
              </c:numCache>
            </c:numRef>
          </c:val>
          <c:extLst>
            <c:ext xmlns:c16="http://schemas.microsoft.com/office/drawing/2014/chart" uri="{C3380CC4-5D6E-409C-BE32-E72D297353CC}">
              <c16:uniqueId val="{00000001-8618-4F9D-B292-28CC4500D4B8}"/>
            </c:ext>
          </c:extLst>
        </c:ser>
        <c:ser>
          <c:idx val="2"/>
          <c:order val="2"/>
          <c:tx>
            <c:strRef>
              <c:f>'LSM '!$D$93</c:f>
              <c:strCache>
                <c:ptCount val="1"/>
                <c:pt idx="0">
                  <c:v>LSM 8-10</c:v>
                </c:pt>
              </c:strCache>
            </c:strRef>
          </c:tx>
          <c:invertIfNegative val="0"/>
          <c:cat>
            <c:strRef>
              <c:f>'LSM '!$E$7:$AH$7</c:f>
              <c:strCache>
                <c:ptCount val="29"/>
                <c:pt idx="0">
                  <c:v>2000/01</c:v>
                </c:pt>
                <c:pt idx="2">
                  <c:v>2001/02</c:v>
                </c:pt>
                <c:pt idx="4">
                  <c:v>2002/03</c:v>
                </c:pt>
                <c:pt idx="6">
                  <c:v>2003/04</c:v>
                </c:pt>
                <c:pt idx="8">
                  <c:v>2004/05</c:v>
                </c:pt>
                <c:pt idx="10">
                  <c:v>2005/06</c:v>
                </c:pt>
                <c:pt idx="12">
                  <c:v>2006/07</c:v>
                </c:pt>
                <c:pt idx="14">
                  <c:v>2007/08</c:v>
                </c:pt>
                <c:pt idx="16">
                  <c:v>2009</c:v>
                </c:pt>
                <c:pt idx="18">
                  <c:v>2010</c:v>
                </c:pt>
                <c:pt idx="20">
                  <c:v>2011</c:v>
                </c:pt>
                <c:pt idx="22">
                  <c:v>2012</c:v>
                </c:pt>
                <c:pt idx="24">
                  <c:v>2013</c:v>
                </c:pt>
                <c:pt idx="26">
                  <c:v>2014</c:v>
                </c:pt>
                <c:pt idx="28">
                  <c:v>2015</c:v>
                </c:pt>
              </c:strCache>
            </c:strRef>
          </c:cat>
          <c:val>
            <c:numRef>
              <c:f>'LSM '!$E$93:$V$93</c:f>
              <c:numCache>
                <c:formatCode>#,##0</c:formatCode>
                <c:ptCount val="18"/>
                <c:pt idx="0">
                  <c:v>644</c:v>
                </c:pt>
                <c:pt idx="1">
                  <c:v>69037</c:v>
                </c:pt>
                <c:pt idx="2">
                  <c:v>374</c:v>
                </c:pt>
                <c:pt idx="3">
                  <c:v>71457</c:v>
                </c:pt>
                <c:pt idx="4">
                  <c:v>3830</c:v>
                </c:pt>
                <c:pt idx="5">
                  <c:v>102302</c:v>
                </c:pt>
                <c:pt idx="6">
                  <c:v>1599</c:v>
                </c:pt>
                <c:pt idx="7">
                  <c:v>81615</c:v>
                </c:pt>
                <c:pt idx="8">
                  <c:v>146</c:v>
                </c:pt>
                <c:pt idx="9">
                  <c:v>83842</c:v>
                </c:pt>
                <c:pt idx="10">
                  <c:v>567</c:v>
                </c:pt>
                <c:pt idx="11">
                  <c:v>97720</c:v>
                </c:pt>
                <c:pt idx="12">
                  <c:v>296</c:v>
                </c:pt>
                <c:pt idx="13">
                  <c:v>92679</c:v>
                </c:pt>
                <c:pt idx="14">
                  <c:v>134</c:v>
                </c:pt>
                <c:pt idx="15">
                  <c:v>61153</c:v>
                </c:pt>
                <c:pt idx="16">
                  <c:v>1795</c:v>
                </c:pt>
                <c:pt idx="17">
                  <c:v>71298</c:v>
                </c:pt>
              </c:numCache>
            </c:numRef>
          </c:val>
          <c:extLst>
            <c:ext xmlns:c16="http://schemas.microsoft.com/office/drawing/2014/chart" uri="{C3380CC4-5D6E-409C-BE32-E72D297353CC}">
              <c16:uniqueId val="{00000002-8618-4F9D-B292-28CC4500D4B8}"/>
            </c:ext>
          </c:extLst>
        </c:ser>
        <c:dLbls>
          <c:showLegendKey val="0"/>
          <c:showVal val="0"/>
          <c:showCatName val="0"/>
          <c:showSerName val="0"/>
          <c:showPercent val="0"/>
          <c:showBubbleSize val="0"/>
        </c:dLbls>
        <c:gapWidth val="150"/>
        <c:overlap val="100"/>
        <c:axId val="400474992"/>
        <c:axId val="403281824"/>
      </c:barChart>
      <c:catAx>
        <c:axId val="400474992"/>
        <c:scaling>
          <c:orientation val="minMax"/>
        </c:scaling>
        <c:delete val="0"/>
        <c:axPos val="b"/>
        <c:numFmt formatCode="General" sourceLinked="1"/>
        <c:majorTickMark val="out"/>
        <c:minorTickMark val="none"/>
        <c:tickLblPos val="nextTo"/>
        <c:crossAx val="403281824"/>
        <c:crosses val="autoZero"/>
        <c:auto val="1"/>
        <c:lblAlgn val="ctr"/>
        <c:lblOffset val="100"/>
        <c:noMultiLvlLbl val="0"/>
      </c:catAx>
      <c:valAx>
        <c:axId val="403281824"/>
        <c:scaling>
          <c:orientation val="minMax"/>
        </c:scaling>
        <c:delete val="0"/>
        <c:axPos val="l"/>
        <c:majorGridlines/>
        <c:numFmt formatCode="0%" sourceLinked="1"/>
        <c:majorTickMark val="out"/>
        <c:minorTickMark val="none"/>
        <c:tickLblPos val="nextTo"/>
        <c:crossAx val="400474992"/>
        <c:crosses val="autoZero"/>
        <c:crossBetween val="between"/>
      </c:valAx>
    </c:plotArea>
    <c:legend>
      <c:legendPos val="b"/>
      <c:overlay val="0"/>
    </c:legend>
    <c:plotVisOnly val="1"/>
    <c:dispBlanksAs val="gap"/>
    <c:showDLblsOverMax val="0"/>
  </c:chart>
  <c:printSettings>
    <c:headerFooter/>
    <c:pageMargins b="0.75000000000000333" l="0.70000000000000062" r="0.70000000000000062" t="0.750000000000003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75" b="0" i="0" u="none" strike="noStrike" baseline="0">
              <a:solidFill>
                <a:srgbClr val="000000"/>
              </a:solidFill>
              <a:latin typeface="Arial"/>
              <a:ea typeface="Arial"/>
              <a:cs typeface="Arial"/>
            </a:defRPr>
          </a:pPr>
          <a:endParaRPr lang="en-US"/>
        </a:p>
      </c:txPr>
    </c:title>
    <c:autoTitleDeleted val="0"/>
    <c:plotArea>
      <c:layout/>
      <c:lineChart>
        <c:grouping val="standard"/>
        <c:varyColors val="0"/>
        <c:ser>
          <c:idx val="0"/>
          <c:order val="0"/>
          <c:tx>
            <c:strRef>
              <c:f>'[4]GDP Capita'!$D$9</c:f>
              <c:strCache>
                <c:ptCount val="1"/>
                <c:pt idx="0">
                  <c:v>Per Capita GDP</c:v>
                </c:pt>
              </c:strCache>
            </c:strRef>
          </c:tx>
          <c:spPr>
            <a:ln w="12700">
              <a:solidFill>
                <a:srgbClr val="000080"/>
              </a:solidFill>
              <a:prstDash val="solid"/>
            </a:ln>
          </c:spPr>
          <c:marker>
            <c:symbol val="none"/>
          </c:marker>
          <c:cat>
            <c:strRef>
              <c:f>'[4]GDP Capita'!$E$8:$Q$8</c:f>
              <c:strCach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strCache>
            </c:strRef>
          </c:cat>
          <c:val>
            <c:numRef>
              <c:f>'[4]GDP Capita'!$E$9:$Q$9</c:f>
              <c:numCache>
                <c:formatCode>General</c:formatCode>
                <c:ptCount val="13"/>
                <c:pt idx="0">
                  <c:v>1.1000000000000001</c:v>
                </c:pt>
                <c:pt idx="1">
                  <c:v>1</c:v>
                </c:pt>
                <c:pt idx="2">
                  <c:v>2.1</c:v>
                </c:pt>
                <c:pt idx="3">
                  <c:v>0.5</c:v>
                </c:pt>
                <c:pt idx="4">
                  <c:v>-1.6</c:v>
                </c:pt>
                <c:pt idx="5">
                  <c:v>0.2</c:v>
                </c:pt>
                <c:pt idx="6">
                  <c:v>2.1</c:v>
                </c:pt>
                <c:pt idx="7">
                  <c:v>0.8</c:v>
                </c:pt>
                <c:pt idx="8">
                  <c:v>1.9</c:v>
                </c:pt>
                <c:pt idx="9">
                  <c:v>1.5</c:v>
                </c:pt>
                <c:pt idx="10">
                  <c:v>3.4</c:v>
                </c:pt>
                <c:pt idx="11">
                  <c:v>3.6</c:v>
                </c:pt>
                <c:pt idx="12">
                  <c:v>4</c:v>
                </c:pt>
              </c:numCache>
            </c:numRef>
          </c:val>
          <c:smooth val="0"/>
          <c:extLst>
            <c:ext xmlns:c16="http://schemas.microsoft.com/office/drawing/2014/chart" uri="{C3380CC4-5D6E-409C-BE32-E72D297353CC}">
              <c16:uniqueId val="{00000000-2479-48D3-82DB-C58B49578357}"/>
            </c:ext>
          </c:extLst>
        </c:ser>
        <c:dLbls>
          <c:showLegendKey val="0"/>
          <c:showVal val="0"/>
          <c:showCatName val="0"/>
          <c:showSerName val="0"/>
          <c:showPercent val="0"/>
          <c:showBubbleSize val="0"/>
        </c:dLbls>
        <c:smooth val="0"/>
        <c:axId val="397412112"/>
        <c:axId val="399074184"/>
      </c:lineChart>
      <c:catAx>
        <c:axId val="397412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399074184"/>
        <c:crosses val="autoZero"/>
        <c:auto val="1"/>
        <c:lblAlgn val="ctr"/>
        <c:lblOffset val="100"/>
        <c:tickLblSkip val="1"/>
        <c:tickMarkSkip val="1"/>
        <c:noMultiLvlLbl val="0"/>
      </c:catAx>
      <c:valAx>
        <c:axId val="399074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397412112"/>
        <c:crosses val="autoZero"/>
        <c:crossBetween val="between"/>
      </c:valAx>
      <c:dTable>
        <c:showHorzBorder val="1"/>
        <c:showVertBorder val="1"/>
        <c:showOutline val="1"/>
        <c:showKeys val="1"/>
        <c:spPr>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dTable>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'LSM '!$D$91</c:f>
              <c:strCache>
                <c:ptCount val="1"/>
                <c:pt idx="0">
                  <c:v>LSM 9</c:v>
                </c:pt>
              </c:strCache>
            </c:strRef>
          </c:tx>
          <c:invertIfNegative val="0"/>
          <c:cat>
            <c:numRef>
              <c:f>'LSM '!$E$90:$V$90</c:f>
              <c:numCache>
                <c:formatCode>"R"\ #\ ##0</c:formatCode>
                <c:ptCount val="18"/>
                <c:pt idx="0" formatCode="#,##0">
                  <c:v>257</c:v>
                </c:pt>
                <c:pt idx="1">
                  <c:v>16028</c:v>
                </c:pt>
                <c:pt idx="2" formatCode="#,##0">
                  <c:v>169</c:v>
                </c:pt>
                <c:pt idx="3">
                  <c:v>17575</c:v>
                </c:pt>
                <c:pt idx="4" formatCode="#,##0">
                  <c:v>1381</c:v>
                </c:pt>
                <c:pt idx="5">
                  <c:v>23347</c:v>
                </c:pt>
                <c:pt idx="6" formatCode="General">
                  <c:v>375</c:v>
                </c:pt>
                <c:pt idx="7">
                  <c:v>17321</c:v>
                </c:pt>
                <c:pt idx="8" formatCode="General">
                  <c:v>80</c:v>
                </c:pt>
                <c:pt idx="9">
                  <c:v>21836</c:v>
                </c:pt>
                <c:pt idx="10" formatCode="General">
                  <c:v>182</c:v>
                </c:pt>
                <c:pt idx="11">
                  <c:v>21350</c:v>
                </c:pt>
                <c:pt idx="12" formatCode="General">
                  <c:v>139</c:v>
                </c:pt>
                <c:pt idx="13">
                  <c:v>24272</c:v>
                </c:pt>
                <c:pt idx="14" formatCode="General">
                  <c:v>60</c:v>
                </c:pt>
                <c:pt idx="15">
                  <c:v>12512</c:v>
                </c:pt>
                <c:pt idx="16" formatCode="General">
                  <c:v>657</c:v>
                </c:pt>
                <c:pt idx="17">
                  <c:v>13433</c:v>
                </c:pt>
              </c:numCache>
            </c:numRef>
          </c:cat>
          <c:val>
            <c:numRef>
              <c:f>'LSM '!$E$91:$V$91</c:f>
              <c:numCache>
                <c:formatCode>"R"\ #\ ##0</c:formatCode>
                <c:ptCount val="18"/>
                <c:pt idx="0" formatCode="#,##0">
                  <c:v>251</c:v>
                </c:pt>
                <c:pt idx="1">
                  <c:v>20509</c:v>
                </c:pt>
                <c:pt idx="2" formatCode="#,##0">
                  <c:v>157</c:v>
                </c:pt>
                <c:pt idx="3">
                  <c:v>20795</c:v>
                </c:pt>
                <c:pt idx="4" formatCode="#,##0">
                  <c:v>1470</c:v>
                </c:pt>
                <c:pt idx="5">
                  <c:v>31454</c:v>
                </c:pt>
                <c:pt idx="6" formatCode="General">
                  <c:v>582</c:v>
                </c:pt>
                <c:pt idx="7">
                  <c:v>26432</c:v>
                </c:pt>
                <c:pt idx="8" formatCode="General">
                  <c:v>48</c:v>
                </c:pt>
                <c:pt idx="9">
                  <c:v>27119</c:v>
                </c:pt>
                <c:pt idx="10" formatCode="General">
                  <c:v>275</c:v>
                </c:pt>
                <c:pt idx="11">
                  <c:v>30095</c:v>
                </c:pt>
                <c:pt idx="12" formatCode="General">
                  <c:v>114</c:v>
                </c:pt>
                <c:pt idx="13">
                  <c:v>29285</c:v>
                </c:pt>
                <c:pt idx="14" formatCode="General">
                  <c:v>61</c:v>
                </c:pt>
                <c:pt idx="15">
                  <c:v>19684</c:v>
                </c:pt>
                <c:pt idx="16" formatCode="General">
                  <c:v>747</c:v>
                </c:pt>
                <c:pt idx="17">
                  <c:v>21053</c:v>
                </c:pt>
              </c:numCache>
            </c:numRef>
          </c:val>
          <c:extLst>
            <c:ext xmlns:c16="http://schemas.microsoft.com/office/drawing/2014/chart" uri="{C3380CC4-5D6E-409C-BE32-E72D297353CC}">
              <c16:uniqueId val="{00000000-898F-436B-9971-2AE701F7B2F2}"/>
            </c:ext>
          </c:extLst>
        </c:ser>
        <c:ser>
          <c:idx val="1"/>
          <c:order val="1"/>
          <c:tx>
            <c:strRef>
              <c:f>'LSM '!$D$92</c:f>
              <c:strCache>
                <c:ptCount val="1"/>
                <c:pt idx="0">
                  <c:v>LSM 10</c:v>
                </c:pt>
              </c:strCache>
            </c:strRef>
          </c:tx>
          <c:invertIfNegative val="0"/>
          <c:cat>
            <c:numRef>
              <c:f>'LSM '!$E$90:$V$90</c:f>
              <c:numCache>
                <c:formatCode>"R"\ #\ ##0</c:formatCode>
                <c:ptCount val="18"/>
                <c:pt idx="0" formatCode="#,##0">
                  <c:v>257</c:v>
                </c:pt>
                <c:pt idx="1">
                  <c:v>16028</c:v>
                </c:pt>
                <c:pt idx="2" formatCode="#,##0">
                  <c:v>169</c:v>
                </c:pt>
                <c:pt idx="3">
                  <c:v>17575</c:v>
                </c:pt>
                <c:pt idx="4" formatCode="#,##0">
                  <c:v>1381</c:v>
                </c:pt>
                <c:pt idx="5">
                  <c:v>23347</c:v>
                </c:pt>
                <c:pt idx="6" formatCode="General">
                  <c:v>375</c:v>
                </c:pt>
                <c:pt idx="7">
                  <c:v>17321</c:v>
                </c:pt>
                <c:pt idx="8" formatCode="General">
                  <c:v>80</c:v>
                </c:pt>
                <c:pt idx="9">
                  <c:v>21836</c:v>
                </c:pt>
                <c:pt idx="10" formatCode="General">
                  <c:v>182</c:v>
                </c:pt>
                <c:pt idx="11">
                  <c:v>21350</c:v>
                </c:pt>
                <c:pt idx="12" formatCode="General">
                  <c:v>139</c:v>
                </c:pt>
                <c:pt idx="13">
                  <c:v>24272</c:v>
                </c:pt>
                <c:pt idx="14" formatCode="General">
                  <c:v>60</c:v>
                </c:pt>
                <c:pt idx="15">
                  <c:v>12512</c:v>
                </c:pt>
                <c:pt idx="16" formatCode="General">
                  <c:v>657</c:v>
                </c:pt>
                <c:pt idx="17">
                  <c:v>13433</c:v>
                </c:pt>
              </c:numCache>
            </c:numRef>
          </c:cat>
          <c:val>
            <c:numRef>
              <c:f>'LSM '!$E$92:$V$92</c:f>
              <c:numCache>
                <c:formatCode>"R"\ #\ ##0</c:formatCode>
                <c:ptCount val="18"/>
                <c:pt idx="0" formatCode="#,##0">
                  <c:v>136</c:v>
                </c:pt>
                <c:pt idx="1">
                  <c:v>32500</c:v>
                </c:pt>
                <c:pt idx="2" formatCode="#,##0">
                  <c:v>48</c:v>
                </c:pt>
                <c:pt idx="3">
                  <c:v>33087</c:v>
                </c:pt>
                <c:pt idx="4" formatCode="#,##0">
                  <c:v>979</c:v>
                </c:pt>
                <c:pt idx="5">
                  <c:v>47501</c:v>
                </c:pt>
                <c:pt idx="6" formatCode="General">
                  <c:v>642</c:v>
                </c:pt>
                <c:pt idx="7">
                  <c:v>37862</c:v>
                </c:pt>
                <c:pt idx="8" formatCode="General">
                  <c:v>18</c:v>
                </c:pt>
                <c:pt idx="9">
                  <c:v>34887</c:v>
                </c:pt>
                <c:pt idx="10" formatCode="General">
                  <c:v>110</c:v>
                </c:pt>
                <c:pt idx="11">
                  <c:v>46275</c:v>
                </c:pt>
                <c:pt idx="12" formatCode="General">
                  <c:v>43</c:v>
                </c:pt>
                <c:pt idx="13">
                  <c:v>39122</c:v>
                </c:pt>
                <c:pt idx="14" formatCode="General">
                  <c:v>13</c:v>
                </c:pt>
                <c:pt idx="15">
                  <c:v>28957</c:v>
                </c:pt>
                <c:pt idx="16" formatCode="General">
                  <c:v>391</c:v>
                </c:pt>
                <c:pt idx="17">
                  <c:v>36812</c:v>
                </c:pt>
              </c:numCache>
            </c:numRef>
          </c:val>
          <c:extLst>
            <c:ext xmlns:c16="http://schemas.microsoft.com/office/drawing/2014/chart" uri="{C3380CC4-5D6E-409C-BE32-E72D297353CC}">
              <c16:uniqueId val="{00000001-898F-436B-9971-2AE701F7B2F2}"/>
            </c:ext>
          </c:extLst>
        </c:ser>
        <c:ser>
          <c:idx val="2"/>
          <c:order val="2"/>
          <c:tx>
            <c:strRef>
              <c:f>'LSM '!$D$93</c:f>
              <c:strCache>
                <c:ptCount val="1"/>
                <c:pt idx="0">
                  <c:v>LSM 8-10</c:v>
                </c:pt>
              </c:strCache>
            </c:strRef>
          </c:tx>
          <c:invertIfNegative val="0"/>
          <c:cat>
            <c:numRef>
              <c:f>'LSM '!$E$90:$V$90</c:f>
              <c:numCache>
                <c:formatCode>"R"\ #\ ##0</c:formatCode>
                <c:ptCount val="18"/>
                <c:pt idx="0" formatCode="#,##0">
                  <c:v>257</c:v>
                </c:pt>
                <c:pt idx="1">
                  <c:v>16028</c:v>
                </c:pt>
                <c:pt idx="2" formatCode="#,##0">
                  <c:v>169</c:v>
                </c:pt>
                <c:pt idx="3">
                  <c:v>17575</c:v>
                </c:pt>
                <c:pt idx="4" formatCode="#,##0">
                  <c:v>1381</c:v>
                </c:pt>
                <c:pt idx="5">
                  <c:v>23347</c:v>
                </c:pt>
                <c:pt idx="6" formatCode="General">
                  <c:v>375</c:v>
                </c:pt>
                <c:pt idx="7">
                  <c:v>17321</c:v>
                </c:pt>
                <c:pt idx="8" formatCode="General">
                  <c:v>80</c:v>
                </c:pt>
                <c:pt idx="9">
                  <c:v>21836</c:v>
                </c:pt>
                <c:pt idx="10" formatCode="General">
                  <c:v>182</c:v>
                </c:pt>
                <c:pt idx="11">
                  <c:v>21350</c:v>
                </c:pt>
                <c:pt idx="12" formatCode="General">
                  <c:v>139</c:v>
                </c:pt>
                <c:pt idx="13">
                  <c:v>24272</c:v>
                </c:pt>
                <c:pt idx="14" formatCode="General">
                  <c:v>60</c:v>
                </c:pt>
                <c:pt idx="15">
                  <c:v>12512</c:v>
                </c:pt>
                <c:pt idx="16" formatCode="General">
                  <c:v>657</c:v>
                </c:pt>
                <c:pt idx="17">
                  <c:v>13433</c:v>
                </c:pt>
              </c:numCache>
            </c:numRef>
          </c:cat>
          <c:val>
            <c:numRef>
              <c:f>'LSM '!$E$93:$V$93</c:f>
              <c:numCache>
                <c:formatCode>#,##0</c:formatCode>
                <c:ptCount val="18"/>
                <c:pt idx="0">
                  <c:v>644</c:v>
                </c:pt>
                <c:pt idx="1">
                  <c:v>69037</c:v>
                </c:pt>
                <c:pt idx="2">
                  <c:v>374</c:v>
                </c:pt>
                <c:pt idx="3">
                  <c:v>71457</c:v>
                </c:pt>
                <c:pt idx="4">
                  <c:v>3830</c:v>
                </c:pt>
                <c:pt idx="5">
                  <c:v>102302</c:v>
                </c:pt>
                <c:pt idx="6">
                  <c:v>1599</c:v>
                </c:pt>
                <c:pt idx="7">
                  <c:v>81615</c:v>
                </c:pt>
                <c:pt idx="8">
                  <c:v>146</c:v>
                </c:pt>
                <c:pt idx="9">
                  <c:v>83842</c:v>
                </c:pt>
                <c:pt idx="10">
                  <c:v>567</c:v>
                </c:pt>
                <c:pt idx="11">
                  <c:v>97720</c:v>
                </c:pt>
                <c:pt idx="12">
                  <c:v>296</c:v>
                </c:pt>
                <c:pt idx="13">
                  <c:v>92679</c:v>
                </c:pt>
                <c:pt idx="14">
                  <c:v>134</c:v>
                </c:pt>
                <c:pt idx="15">
                  <c:v>61153</c:v>
                </c:pt>
                <c:pt idx="16">
                  <c:v>1795</c:v>
                </c:pt>
                <c:pt idx="17">
                  <c:v>71298</c:v>
                </c:pt>
              </c:numCache>
            </c:numRef>
          </c:val>
          <c:extLst>
            <c:ext xmlns:c16="http://schemas.microsoft.com/office/drawing/2014/chart" uri="{C3380CC4-5D6E-409C-BE32-E72D297353CC}">
              <c16:uniqueId val="{00000002-898F-436B-9971-2AE701F7B2F2}"/>
            </c:ext>
          </c:extLst>
        </c:ser>
        <c:dLbls>
          <c:showLegendKey val="0"/>
          <c:showVal val="0"/>
          <c:showCatName val="0"/>
          <c:showSerName val="0"/>
          <c:showPercent val="0"/>
          <c:showBubbleSize val="0"/>
        </c:dLbls>
        <c:gapWidth val="150"/>
        <c:overlap val="100"/>
        <c:axId val="403284568"/>
        <c:axId val="403284960"/>
      </c:barChart>
      <c:catAx>
        <c:axId val="403284568"/>
        <c:scaling>
          <c:orientation val="minMax"/>
        </c:scaling>
        <c:delete val="0"/>
        <c:axPos val="b"/>
        <c:numFmt formatCode="#,##0" sourceLinked="1"/>
        <c:majorTickMark val="out"/>
        <c:minorTickMark val="none"/>
        <c:tickLblPos val="nextTo"/>
        <c:crossAx val="403284960"/>
        <c:crosses val="autoZero"/>
        <c:auto val="1"/>
        <c:lblAlgn val="ctr"/>
        <c:lblOffset val="100"/>
        <c:noMultiLvlLbl val="0"/>
      </c:catAx>
      <c:valAx>
        <c:axId val="403284960"/>
        <c:scaling>
          <c:orientation val="minMax"/>
        </c:scaling>
        <c:delete val="0"/>
        <c:axPos val="l"/>
        <c:majorGridlines>
          <c:spPr>
            <a:ln>
              <a:prstDash val="sysDash"/>
            </a:ln>
          </c:spPr>
        </c:majorGridlines>
        <c:numFmt formatCode="0%" sourceLinked="1"/>
        <c:majorTickMark val="out"/>
        <c:minorTickMark val="none"/>
        <c:tickLblPos val="nextTo"/>
        <c:crossAx val="403284568"/>
        <c:crosses val="autoZero"/>
        <c:crossBetween val="between"/>
      </c:valAx>
    </c:plotArea>
    <c:legend>
      <c:legendPos val="b"/>
      <c:overlay val="0"/>
    </c:legend>
    <c:plotVisOnly val="1"/>
    <c:dispBlanksAs val="gap"/>
    <c:showDLblsOverMax val="0"/>
  </c:chart>
  <c:spPr>
    <a:ln>
      <a:noFill/>
    </a:ln>
  </c:spPr>
  <c:txPr>
    <a:bodyPr/>
    <a:lstStyle/>
    <a:p>
      <a:pPr>
        <a:defRPr sz="800">
          <a:latin typeface="Arial Narrow" panose="020B0606020202030204" pitchFamily="34" charset="0"/>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0" i="0" u="none" strike="noStrike" baseline="0">
                <a:solidFill>
                  <a:srgbClr val="000000"/>
                </a:solidFill>
                <a:latin typeface="Arial"/>
                <a:ea typeface="Arial"/>
                <a:cs typeface="Arial"/>
              </a:defRPr>
            </a:pPr>
            <a:r>
              <a:rPr lang="en-ZA"/>
              <a:t>Inequality measures</a:t>
            </a:r>
          </a:p>
        </c:rich>
      </c:tx>
      <c:overlay val="0"/>
      <c:spPr>
        <a:noFill/>
        <a:ln w="25400">
          <a:noFill/>
        </a:ln>
      </c:spPr>
    </c:title>
    <c:autoTitleDeleted val="0"/>
    <c:plotArea>
      <c:layout/>
      <c:lineChart>
        <c:grouping val="standard"/>
        <c:varyColors val="0"/>
        <c:ser>
          <c:idx val="0"/>
          <c:order val="0"/>
          <c:tx>
            <c:strRef>
              <c:f>[12]Inequality!$D$11</c:f>
              <c:strCache>
                <c:ptCount val="1"/>
              </c:strCache>
            </c:strRef>
          </c:tx>
          <c:spPr>
            <a:ln w="25400">
              <a:solidFill>
                <a:srgbClr val="000080"/>
              </a:solidFill>
              <a:prstDash val="solid"/>
            </a:ln>
          </c:spPr>
          <c:marker>
            <c:symbol val="none"/>
          </c:marker>
          <c:cat>
            <c:numRef>
              <c:f>[12]Inequality!$F$8:$T$8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[12]Inequality!$F$11:$T$11</c:f>
              <c:numCache>
                <c:formatCode>General</c:formatCode>
                <c:ptCount val="15"/>
                <c:pt idx="0">
                  <c:v>0.67218999999999995</c:v>
                </c:pt>
                <c:pt idx="1">
                  <c:v>0.66464000000000001</c:v>
                </c:pt>
                <c:pt idx="2">
                  <c:v>0.67388999999999999</c:v>
                </c:pt>
                <c:pt idx="3">
                  <c:v>0.67762999999999995</c:v>
                </c:pt>
                <c:pt idx="4">
                  <c:v>0.67444999999999999</c:v>
                </c:pt>
                <c:pt idx="5">
                  <c:v>0.68332999999999999</c:v>
                </c:pt>
                <c:pt idx="6">
                  <c:v>0.68511999999999995</c:v>
                </c:pt>
                <c:pt idx="7">
                  <c:v>0.68171000000000004</c:v>
                </c:pt>
                <c:pt idx="8">
                  <c:v>0.68498999999999999</c:v>
                </c:pt>
                <c:pt idx="9">
                  <c:v>0.67044000000000004</c:v>
                </c:pt>
                <c:pt idx="10">
                  <c:v>0.68569000000000002</c:v>
                </c:pt>
                <c:pt idx="11">
                  <c:v>0.67750999999999995</c:v>
                </c:pt>
                <c:pt idx="12">
                  <c:v>0.68267</c:v>
                </c:pt>
                <c:pt idx="13">
                  <c:v>0.68462999999999996</c:v>
                </c:pt>
                <c:pt idx="14">
                  <c:v>0.65961999999999998</c:v>
                </c:pt>
              </c:numCache>
            </c:numRef>
          </c:val>
          <c:smooth val="0"/>
          <c:extLst>
            <c:ext xmlns:c16="http://schemas.microsoft.com/office/drawing/2014/chart" uri="{C3380CC4-5D6E-409C-BE32-E72D297353CC}">
              <c16:uniqueId val="{00000000-1CF2-4A5A-904D-6166CD2B4DA2}"/>
            </c:ext>
          </c:extLst>
        </c:ser>
        <c:ser>
          <c:idx val="1"/>
          <c:order val="1"/>
          <c:tx>
            <c:strRef>
              <c:f>[12]Inequality!$D$18</c:f>
              <c:strCache>
                <c:ptCount val="1"/>
                <c:pt idx="0">
                  <c:v>Total value</c:v>
                </c:pt>
              </c:strCache>
            </c:strRef>
          </c:tx>
          <c:spPr>
            <a:ln w="25400">
              <a:solidFill>
                <a:srgbClr val="FF00FF"/>
              </a:solidFill>
              <a:prstDash val="solid"/>
            </a:ln>
          </c:spPr>
          <c:marker>
            <c:symbol val="none"/>
          </c:marker>
          <c:cat>
            <c:numRef>
              <c:f>[12]Inequality!$F$8:$T$8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[12]Inequality!$F$18:$T$18</c:f>
              <c:numCache>
                <c:formatCode>General</c:formatCode>
                <c:ptCount val="15"/>
                <c:pt idx="0">
                  <c:v>0.89875000000000005</c:v>
                </c:pt>
                <c:pt idx="1">
                  <c:v>0.88022</c:v>
                </c:pt>
                <c:pt idx="2">
                  <c:v>0.89901999999999993</c:v>
                </c:pt>
                <c:pt idx="3">
                  <c:v>0.91837999999999997</c:v>
                </c:pt>
                <c:pt idx="4">
                  <c:v>0.90565999999999991</c:v>
                </c:pt>
                <c:pt idx="5">
                  <c:v>0.93734000000000006</c:v>
                </c:pt>
                <c:pt idx="6">
                  <c:v>0.93833999999999995</c:v>
                </c:pt>
                <c:pt idx="7">
                  <c:v>0.93518999999999997</c:v>
                </c:pt>
                <c:pt idx="8">
                  <c:v>0.93652999999999997</c:v>
                </c:pt>
                <c:pt idx="9">
                  <c:v>0.92066000000000003</c:v>
                </c:pt>
                <c:pt idx="10">
                  <c:v>1.0132700000000001</c:v>
                </c:pt>
                <c:pt idx="11">
                  <c:v>0.96665999999999996</c:v>
                </c:pt>
                <c:pt idx="12">
                  <c:v>1.01197</c:v>
                </c:pt>
                <c:pt idx="13">
                  <c:v>1.02963</c:v>
                </c:pt>
                <c:pt idx="14">
                  <c:v>0.91663000000000006</c:v>
                </c:pt>
              </c:numCache>
            </c:numRef>
          </c:val>
          <c:smooth val="0"/>
          <c:extLst>
            <c:ext xmlns:c16="http://schemas.microsoft.com/office/drawing/2014/chart" uri="{C3380CC4-5D6E-409C-BE32-E72D297353CC}">
              <c16:uniqueId val="{00000001-1CF2-4A5A-904D-6166CD2B4DA2}"/>
            </c:ext>
          </c:extLst>
        </c:ser>
        <c:ser>
          <c:idx val="2"/>
          <c:order val="2"/>
          <c:tx>
            <c:strRef>
              <c:f>[12]Inequality!$D$14</c:f>
              <c:strCache>
                <c:ptCount val="1"/>
                <c:pt idx="0">
                  <c:v>Within-Race</c:v>
                </c:pt>
              </c:strCache>
            </c:strRef>
          </c:tx>
          <c:spPr>
            <a:ln w="25400">
              <a:solidFill>
                <a:srgbClr val="FFFF00"/>
              </a:solidFill>
              <a:prstDash val="solid"/>
            </a:ln>
          </c:spPr>
          <c:marker>
            <c:symbol val="none"/>
          </c:marker>
          <c:cat>
            <c:numRef>
              <c:f>[12]Inequality!$F$8:$T$8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[12]Inequality!$F$14:$T$14</c:f>
              <c:numCache>
                <c:formatCode>General</c:formatCode>
                <c:ptCount val="15"/>
                <c:pt idx="0">
                  <c:v>0.35005999999999998</c:v>
                </c:pt>
                <c:pt idx="1">
                  <c:v>0.34866999999999998</c:v>
                </c:pt>
                <c:pt idx="2">
                  <c:v>0.36642999999999998</c:v>
                </c:pt>
                <c:pt idx="3">
                  <c:v>0.37019999999999997</c:v>
                </c:pt>
                <c:pt idx="4">
                  <c:v>0.38213999999999998</c:v>
                </c:pt>
                <c:pt idx="5">
                  <c:v>0.38912000000000002</c:v>
                </c:pt>
                <c:pt idx="6">
                  <c:v>0.40029999999999999</c:v>
                </c:pt>
                <c:pt idx="7">
                  <c:v>0.46387</c:v>
                </c:pt>
                <c:pt idx="8">
                  <c:v>0.45641999999999999</c:v>
                </c:pt>
                <c:pt idx="9">
                  <c:v>0.50229999999999997</c:v>
                </c:pt>
                <c:pt idx="10">
                  <c:v>0.54988000000000004</c:v>
                </c:pt>
                <c:pt idx="11">
                  <c:v>0.51405999999999996</c:v>
                </c:pt>
                <c:pt idx="12">
                  <c:v>0.59704999999999997</c:v>
                </c:pt>
                <c:pt idx="13">
                  <c:v>0.61319000000000001</c:v>
                </c:pt>
                <c:pt idx="14">
                  <c:v>0.57420000000000004</c:v>
                </c:pt>
              </c:numCache>
            </c:numRef>
          </c:val>
          <c:smooth val="0"/>
          <c:extLst>
            <c:ext xmlns:c16="http://schemas.microsoft.com/office/drawing/2014/chart" uri="{C3380CC4-5D6E-409C-BE32-E72D297353CC}">
              <c16:uniqueId val="{00000002-1CF2-4A5A-904D-6166CD2B4DA2}"/>
            </c:ext>
          </c:extLst>
        </c:ser>
        <c:ser>
          <c:idx val="3"/>
          <c:order val="3"/>
          <c:tx>
            <c:strRef>
              <c:f>[12]Inequality!$D$16</c:f>
              <c:strCache>
                <c:ptCount val="1"/>
                <c:pt idx="0">
                  <c:v>Between-Race</c:v>
                </c:pt>
              </c:strCache>
            </c:strRef>
          </c:tx>
          <c:spPr>
            <a:ln w="25400">
              <a:solidFill>
                <a:srgbClr val="00FFFF"/>
              </a:solidFill>
              <a:prstDash val="solid"/>
            </a:ln>
          </c:spPr>
          <c:marker>
            <c:symbol val="none"/>
          </c:marker>
          <c:cat>
            <c:numRef>
              <c:f>[12]Inequality!$F$8:$T$8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[12]Inequality!$F$16:$T$16</c:f>
              <c:numCache>
                <c:formatCode>General</c:formatCode>
                <c:ptCount val="15"/>
                <c:pt idx="0">
                  <c:v>0.54869000000000001</c:v>
                </c:pt>
                <c:pt idx="1">
                  <c:v>0.53154999999999997</c:v>
                </c:pt>
                <c:pt idx="2">
                  <c:v>0.53259000000000001</c:v>
                </c:pt>
                <c:pt idx="3">
                  <c:v>0.54818</c:v>
                </c:pt>
                <c:pt idx="4">
                  <c:v>0.52351999999999999</c:v>
                </c:pt>
                <c:pt idx="5">
                  <c:v>0.54822000000000004</c:v>
                </c:pt>
                <c:pt idx="6">
                  <c:v>0.53803999999999996</c:v>
                </c:pt>
                <c:pt idx="7">
                  <c:v>0.47132000000000002</c:v>
                </c:pt>
                <c:pt idx="8">
                  <c:v>0.48010999999999998</c:v>
                </c:pt>
                <c:pt idx="9">
                  <c:v>0.41836000000000001</c:v>
                </c:pt>
                <c:pt idx="10">
                  <c:v>0.46339000000000002</c:v>
                </c:pt>
                <c:pt idx="11">
                  <c:v>0.4526</c:v>
                </c:pt>
                <c:pt idx="12">
                  <c:v>0.41492000000000001</c:v>
                </c:pt>
                <c:pt idx="13">
                  <c:v>0.41643999999999998</c:v>
                </c:pt>
                <c:pt idx="14">
                  <c:v>0.34243000000000001</c:v>
                </c:pt>
              </c:numCache>
            </c:numRef>
          </c:val>
          <c:smooth val="0"/>
          <c:extLst>
            <c:ext xmlns:c16="http://schemas.microsoft.com/office/drawing/2014/chart" uri="{C3380CC4-5D6E-409C-BE32-E72D297353CC}">
              <c16:uniqueId val="{00000003-1CF2-4A5A-904D-6166CD2B4DA2}"/>
            </c:ext>
          </c:extLst>
        </c:ser>
        <c:dLbls>
          <c:showLegendKey val="0"/>
          <c:showVal val="0"/>
          <c:showCatName val="0"/>
          <c:showSerName val="0"/>
          <c:showPercent val="0"/>
          <c:showBubbleSize val="0"/>
        </c:dLbls>
        <c:smooth val="0"/>
        <c:axId val="403285352"/>
        <c:axId val="403280648"/>
      </c:lineChart>
      <c:catAx>
        <c:axId val="403285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03280648"/>
        <c:crosses val="autoZero"/>
        <c:auto val="1"/>
        <c:lblAlgn val="ctr"/>
        <c:lblOffset val="100"/>
        <c:tickLblSkip val="1"/>
        <c:tickMarkSkip val="1"/>
        <c:noMultiLvlLbl val="0"/>
      </c:catAx>
      <c:valAx>
        <c:axId val="403280648"/>
        <c:scaling>
          <c:orientation val="minMax"/>
        </c:scaling>
        <c:delete val="0"/>
        <c:axPos val="l"/>
        <c:majorGridlines>
          <c:spPr>
            <a:ln w="3175">
              <a:solidFill>
                <a:srgbClr val="000000"/>
              </a:solidFill>
              <a:prstDash val="solid"/>
            </a:ln>
          </c:spPr>
        </c:majorGridlines>
        <c:title>
          <c:tx>
            <c:rich>
              <a:bodyPr/>
              <a:lstStyle/>
              <a:p>
                <a:pPr>
                  <a:defRPr sz="200" b="0" i="0" u="none" strike="noStrike" baseline="0">
                    <a:solidFill>
                      <a:srgbClr val="000000"/>
                    </a:solidFill>
                    <a:latin typeface="Arial"/>
                    <a:ea typeface="Arial"/>
                    <a:cs typeface="Arial"/>
                  </a:defRPr>
                </a:pPr>
                <a:r>
                  <a:rPr lang="en-ZA"/>
                  <a:t>index</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0328535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54469197447202"/>
          <c:y val="4.9088110171007233E-2"/>
          <c:w val="0.74690714052295593"/>
          <c:h val="0.79716104167991675"/>
        </c:manualLayout>
      </c:layout>
      <c:barChart>
        <c:barDir val="col"/>
        <c:grouping val="clustered"/>
        <c:varyColors val="0"/>
        <c:ser>
          <c:idx val="10"/>
          <c:order val="0"/>
          <c:tx>
            <c:strRef>
              <c:f>Inequality!$D$75</c:f>
              <c:strCache>
                <c:ptCount val="1"/>
                <c:pt idx="0">
                  <c:v>South Africa</c:v>
                </c:pt>
              </c:strCache>
            </c:strRef>
          </c:tx>
          <c:spPr>
            <a:solidFill>
              <a:srgbClr val="FCD5B5"/>
            </a:solidFill>
          </c:spPr>
          <c:invertIfNegative val="0"/>
          <c:cat>
            <c:multiLvlStrRef>
              <c:f>Inequality!$E$64:$M$65</c:f>
              <c:multiLvlStrCache>
                <c:ptCount val="9"/>
                <c:lvl>
                  <c:pt idx="0">
                    <c:v>2000</c:v>
                  </c:pt>
                  <c:pt idx="1">
                    <c:v>2005</c:v>
                  </c:pt>
                  <c:pt idx="2">
                    <c:v>2009</c:v>
                  </c:pt>
                  <c:pt idx="3">
                    <c:v>2010</c:v>
                  </c:pt>
                  <c:pt idx="5">
                    <c:v>2000</c:v>
                  </c:pt>
                  <c:pt idx="6">
                    <c:v>2005</c:v>
                  </c:pt>
                  <c:pt idx="7">
                    <c:v>2009</c:v>
                  </c:pt>
                  <c:pt idx="8">
                    <c:v>2010</c:v>
                  </c:pt>
                </c:lvl>
                <c:lvl>
                  <c:pt idx="0">
                    <c:v>Income</c:v>
                  </c:pt>
                  <c:pt idx="5">
                    <c:v>Expenditure</c:v>
                  </c:pt>
                </c:lvl>
              </c:multiLvlStrCache>
            </c:multiLvlStrRef>
          </c:cat>
          <c:val>
            <c:numRef>
              <c:f>Inequality!$E$75:$M$75</c:f>
              <c:numCache>
                <c:formatCode>0.00</c:formatCode>
                <c:ptCount val="9"/>
                <c:pt idx="0">
                  <c:v>0.7</c:v>
                </c:pt>
                <c:pt idx="1">
                  <c:v>0.72</c:v>
                </c:pt>
                <c:pt idx="2">
                  <c:v>0.7</c:v>
                </c:pt>
                <c:pt idx="3">
                  <c:v>0.69</c:v>
                </c:pt>
                <c:pt idx="5">
                  <c:v>0.64</c:v>
                </c:pt>
                <c:pt idx="6">
                  <c:v>0.67</c:v>
                </c:pt>
                <c:pt idx="7">
                  <c:v>0.63</c:v>
                </c:pt>
                <c:pt idx="8">
                  <c:v>0.65</c:v>
                </c:pt>
              </c:numCache>
            </c:numRef>
          </c:val>
          <c:extLst>
            <c:ext xmlns:c16="http://schemas.microsoft.com/office/drawing/2014/chart" uri="{C3380CC4-5D6E-409C-BE32-E72D297353CC}">
              <c16:uniqueId val="{00000000-25AE-4653-9F6B-BC094EDE508C}"/>
            </c:ext>
          </c:extLst>
        </c:ser>
        <c:dLbls>
          <c:showLegendKey val="0"/>
          <c:showVal val="0"/>
          <c:showCatName val="0"/>
          <c:showSerName val="0"/>
          <c:showPercent val="0"/>
          <c:showBubbleSize val="0"/>
        </c:dLbls>
        <c:gapWidth val="150"/>
        <c:axId val="403282608"/>
        <c:axId val="403286528"/>
      </c:barChart>
      <c:catAx>
        <c:axId val="403282608"/>
        <c:scaling>
          <c:orientation val="minMax"/>
        </c:scaling>
        <c:delete val="0"/>
        <c:axPos val="b"/>
        <c:numFmt formatCode="General" sourceLinked="1"/>
        <c:majorTickMark val="out"/>
        <c:minorTickMark val="none"/>
        <c:tickLblPos val="nextTo"/>
        <c:crossAx val="403286528"/>
        <c:crosses val="autoZero"/>
        <c:auto val="1"/>
        <c:lblAlgn val="ctr"/>
        <c:lblOffset val="100"/>
        <c:noMultiLvlLbl val="0"/>
      </c:catAx>
      <c:valAx>
        <c:axId val="403286528"/>
        <c:scaling>
          <c:orientation val="minMax"/>
        </c:scaling>
        <c:delete val="0"/>
        <c:axPos val="l"/>
        <c:majorGridlines/>
        <c:title>
          <c:tx>
            <c:rich>
              <a:bodyPr rot="-5400000" vert="horz" anchor="t" anchorCtr="0"/>
              <a:lstStyle/>
              <a:p>
                <a:pPr>
                  <a:defRPr/>
                </a:pPr>
                <a:r>
                  <a:rPr lang="en-US"/>
                  <a:t>Gini coefficient</a:t>
                </a:r>
              </a:p>
            </c:rich>
          </c:tx>
          <c:overlay val="0"/>
        </c:title>
        <c:numFmt formatCode="0.00" sourceLinked="1"/>
        <c:majorTickMark val="out"/>
        <c:minorTickMark val="none"/>
        <c:tickLblPos val="nextTo"/>
        <c:crossAx val="403282608"/>
        <c:crosses val="autoZero"/>
        <c:crossBetween val="between"/>
      </c:valAx>
    </c:plotArea>
    <c:legend>
      <c:legendPos val="r"/>
      <c:overlay val="0"/>
    </c:legend>
    <c:plotVisOnly val="1"/>
    <c:dispBlanksAs val="gap"/>
    <c:showDLblsOverMax val="0"/>
  </c:chart>
  <c:txPr>
    <a:bodyPr/>
    <a:lstStyle/>
    <a:p>
      <a:pPr>
        <a:defRPr sz="800">
          <a:latin typeface="Arial Narrow"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5"/>
          <c:order val="0"/>
          <c:tx>
            <c:strRef>
              <c:f>Inequality!$J$65</c:f>
              <c:strCache>
                <c:ptCount val="1"/>
                <c:pt idx="0">
                  <c:v>2000</c:v>
                </c:pt>
              </c:strCache>
            </c:strRef>
          </c:tx>
          <c:spPr>
            <a:solidFill>
              <a:srgbClr val="FCD5B5"/>
            </a:solidFill>
          </c:spPr>
          <c:invertIfNegative val="0"/>
          <c:cat>
            <c:strRef>
              <c:f>Inequality!$D$66:$D$75</c:f>
              <c:strCache>
                <c:ptCount val="10"/>
                <c:pt idx="0">
                  <c:v>Eastern Cape</c:v>
                </c:pt>
                <c:pt idx="1">
                  <c:v>Free State</c:v>
                </c:pt>
                <c:pt idx="2">
                  <c:v>Gauteng </c:v>
                </c:pt>
                <c:pt idx="3">
                  <c:v>KwaZulu-Natal</c:v>
                </c:pt>
                <c:pt idx="4">
                  <c:v>Limpopo</c:v>
                </c:pt>
                <c:pt idx="5">
                  <c:v>Mpumalanga</c:v>
                </c:pt>
                <c:pt idx="6">
                  <c:v>Northern Cape</c:v>
                </c:pt>
                <c:pt idx="7">
                  <c:v>North West</c:v>
                </c:pt>
                <c:pt idx="8">
                  <c:v>Western Cape</c:v>
                </c:pt>
                <c:pt idx="9">
                  <c:v>South Africa</c:v>
                </c:pt>
              </c:strCache>
            </c:strRef>
          </c:cat>
          <c:val>
            <c:numRef>
              <c:f>Inequality!$J$66:$J$75</c:f>
              <c:numCache>
                <c:formatCode>0.00</c:formatCode>
                <c:ptCount val="10"/>
                <c:pt idx="0">
                  <c:v>0.62</c:v>
                </c:pt>
                <c:pt idx="1">
                  <c:v>0.65</c:v>
                </c:pt>
                <c:pt idx="2">
                  <c:v>0.6</c:v>
                </c:pt>
                <c:pt idx="3">
                  <c:v>0.64</c:v>
                </c:pt>
                <c:pt idx="4">
                  <c:v>0.57999999999999996</c:v>
                </c:pt>
                <c:pt idx="5">
                  <c:v>0.56999999999999995</c:v>
                </c:pt>
                <c:pt idx="6">
                  <c:v>0.61</c:v>
                </c:pt>
                <c:pt idx="7">
                  <c:v>0.59</c:v>
                </c:pt>
                <c:pt idx="8">
                  <c:v>0.56999999999999995</c:v>
                </c:pt>
                <c:pt idx="9">
                  <c:v>0.64</c:v>
                </c:pt>
              </c:numCache>
            </c:numRef>
          </c:val>
          <c:extLst>
            <c:ext xmlns:c16="http://schemas.microsoft.com/office/drawing/2014/chart" uri="{C3380CC4-5D6E-409C-BE32-E72D297353CC}">
              <c16:uniqueId val="{00000000-1667-4D7F-9ED6-C3FDF2B3DE37}"/>
            </c:ext>
          </c:extLst>
        </c:ser>
        <c:ser>
          <c:idx val="6"/>
          <c:order val="1"/>
          <c:tx>
            <c:strRef>
              <c:f>Inequality!$K$65</c:f>
              <c:strCache>
                <c:ptCount val="1"/>
                <c:pt idx="0">
                  <c:v>2005</c:v>
                </c:pt>
              </c:strCache>
            </c:strRef>
          </c:tx>
          <c:spPr>
            <a:solidFill>
              <a:srgbClr val="F8A662"/>
            </a:solidFill>
          </c:spPr>
          <c:invertIfNegative val="0"/>
          <c:cat>
            <c:strRef>
              <c:f>Inequality!$D$66:$D$75</c:f>
              <c:strCache>
                <c:ptCount val="10"/>
                <c:pt idx="0">
                  <c:v>Eastern Cape</c:v>
                </c:pt>
                <c:pt idx="1">
                  <c:v>Free State</c:v>
                </c:pt>
                <c:pt idx="2">
                  <c:v>Gauteng </c:v>
                </c:pt>
                <c:pt idx="3">
                  <c:v>KwaZulu-Natal</c:v>
                </c:pt>
                <c:pt idx="4">
                  <c:v>Limpopo</c:v>
                </c:pt>
                <c:pt idx="5">
                  <c:v>Mpumalanga</c:v>
                </c:pt>
                <c:pt idx="6">
                  <c:v>Northern Cape</c:v>
                </c:pt>
                <c:pt idx="7">
                  <c:v>North West</c:v>
                </c:pt>
                <c:pt idx="8">
                  <c:v>Western Cape</c:v>
                </c:pt>
                <c:pt idx="9">
                  <c:v>South Africa</c:v>
                </c:pt>
              </c:strCache>
            </c:strRef>
          </c:cat>
          <c:val>
            <c:numRef>
              <c:f>Inequality!$K$66:$K$75</c:f>
              <c:numCache>
                <c:formatCode>0.00</c:formatCode>
                <c:ptCount val="10"/>
                <c:pt idx="0">
                  <c:v>0.62</c:v>
                </c:pt>
                <c:pt idx="1">
                  <c:v>0.63</c:v>
                </c:pt>
                <c:pt idx="2">
                  <c:v>0.63</c:v>
                </c:pt>
                <c:pt idx="3">
                  <c:v>0.65</c:v>
                </c:pt>
                <c:pt idx="4">
                  <c:v>0.55000000000000004</c:v>
                </c:pt>
                <c:pt idx="5">
                  <c:v>0.64</c:v>
                </c:pt>
                <c:pt idx="6">
                  <c:v>0.6</c:v>
                </c:pt>
                <c:pt idx="7">
                  <c:v>0.63</c:v>
                </c:pt>
                <c:pt idx="8">
                  <c:v>0.67</c:v>
                </c:pt>
                <c:pt idx="9">
                  <c:v>0.67</c:v>
                </c:pt>
              </c:numCache>
            </c:numRef>
          </c:val>
          <c:extLst>
            <c:ext xmlns:c16="http://schemas.microsoft.com/office/drawing/2014/chart" uri="{C3380CC4-5D6E-409C-BE32-E72D297353CC}">
              <c16:uniqueId val="{00000001-1667-4D7F-9ED6-C3FDF2B3DE37}"/>
            </c:ext>
          </c:extLst>
        </c:ser>
        <c:ser>
          <c:idx val="7"/>
          <c:order val="2"/>
          <c:tx>
            <c:strRef>
              <c:f>Inequality!$L$65</c:f>
              <c:strCache>
                <c:ptCount val="1"/>
                <c:pt idx="0">
                  <c:v>2009</c:v>
                </c:pt>
              </c:strCache>
            </c:strRef>
          </c:tx>
          <c:spPr>
            <a:solidFill>
              <a:srgbClr val="E46C0A"/>
            </a:solidFill>
          </c:spPr>
          <c:invertIfNegative val="0"/>
          <c:cat>
            <c:strRef>
              <c:f>Inequality!$D$66:$D$75</c:f>
              <c:strCache>
                <c:ptCount val="10"/>
                <c:pt idx="0">
                  <c:v>Eastern Cape</c:v>
                </c:pt>
                <c:pt idx="1">
                  <c:v>Free State</c:v>
                </c:pt>
                <c:pt idx="2">
                  <c:v>Gauteng </c:v>
                </c:pt>
                <c:pt idx="3">
                  <c:v>KwaZulu-Natal</c:v>
                </c:pt>
                <c:pt idx="4">
                  <c:v>Limpopo</c:v>
                </c:pt>
                <c:pt idx="5">
                  <c:v>Mpumalanga</c:v>
                </c:pt>
                <c:pt idx="6">
                  <c:v>Northern Cape</c:v>
                </c:pt>
                <c:pt idx="7">
                  <c:v>North West</c:v>
                </c:pt>
                <c:pt idx="8">
                  <c:v>Western Cape</c:v>
                </c:pt>
                <c:pt idx="9">
                  <c:v>South Africa</c:v>
                </c:pt>
              </c:strCache>
            </c:strRef>
          </c:cat>
          <c:val>
            <c:numRef>
              <c:f>Inequality!$L$66:$L$75</c:f>
              <c:numCache>
                <c:formatCode>0.00</c:formatCode>
                <c:ptCount val="10"/>
                <c:pt idx="0">
                  <c:v>0.59</c:v>
                </c:pt>
                <c:pt idx="1">
                  <c:v>0.59</c:v>
                </c:pt>
                <c:pt idx="2">
                  <c:v>0.6</c:v>
                </c:pt>
                <c:pt idx="3">
                  <c:v>0.59</c:v>
                </c:pt>
                <c:pt idx="4">
                  <c:v>0.59</c:v>
                </c:pt>
                <c:pt idx="5">
                  <c:v>0.63</c:v>
                </c:pt>
                <c:pt idx="6">
                  <c:v>0.61</c:v>
                </c:pt>
                <c:pt idx="7">
                  <c:v>0.6</c:v>
                </c:pt>
                <c:pt idx="8">
                  <c:v>0.6</c:v>
                </c:pt>
                <c:pt idx="9">
                  <c:v>0.63</c:v>
                </c:pt>
              </c:numCache>
            </c:numRef>
          </c:val>
          <c:extLst>
            <c:ext xmlns:c16="http://schemas.microsoft.com/office/drawing/2014/chart" uri="{C3380CC4-5D6E-409C-BE32-E72D297353CC}">
              <c16:uniqueId val="{00000002-1667-4D7F-9ED6-C3FDF2B3DE37}"/>
            </c:ext>
          </c:extLst>
        </c:ser>
        <c:ser>
          <c:idx val="8"/>
          <c:order val="3"/>
          <c:tx>
            <c:strRef>
              <c:f>Inequality!$M$65</c:f>
              <c:strCache>
                <c:ptCount val="1"/>
                <c:pt idx="0">
                  <c:v>2010</c:v>
                </c:pt>
              </c:strCache>
            </c:strRef>
          </c:tx>
          <c:spPr>
            <a:solidFill>
              <a:srgbClr val="984807"/>
            </a:solidFill>
          </c:spPr>
          <c:invertIfNegative val="0"/>
          <c:cat>
            <c:strRef>
              <c:f>Inequality!$D$66:$D$75</c:f>
              <c:strCache>
                <c:ptCount val="10"/>
                <c:pt idx="0">
                  <c:v>Eastern Cape</c:v>
                </c:pt>
                <c:pt idx="1">
                  <c:v>Free State</c:v>
                </c:pt>
                <c:pt idx="2">
                  <c:v>Gauteng </c:v>
                </c:pt>
                <c:pt idx="3">
                  <c:v>KwaZulu-Natal</c:v>
                </c:pt>
                <c:pt idx="4">
                  <c:v>Limpopo</c:v>
                </c:pt>
                <c:pt idx="5">
                  <c:v>Mpumalanga</c:v>
                </c:pt>
                <c:pt idx="6">
                  <c:v>Northern Cape</c:v>
                </c:pt>
                <c:pt idx="7">
                  <c:v>North West</c:v>
                </c:pt>
                <c:pt idx="8">
                  <c:v>Western Cape</c:v>
                </c:pt>
                <c:pt idx="9">
                  <c:v>South Africa</c:v>
                </c:pt>
              </c:strCache>
            </c:strRef>
          </c:cat>
          <c:val>
            <c:numRef>
              <c:f>Inequality!$M$66:$M$75</c:f>
              <c:numCache>
                <c:formatCode>0.00</c:formatCode>
                <c:ptCount val="10"/>
                <c:pt idx="0">
                  <c:v>0.61</c:v>
                </c:pt>
                <c:pt idx="1">
                  <c:v>0.59</c:v>
                </c:pt>
                <c:pt idx="2">
                  <c:v>0.63</c:v>
                </c:pt>
                <c:pt idx="3">
                  <c:v>0.64</c:v>
                </c:pt>
                <c:pt idx="4">
                  <c:v>0.56999999999999995</c:v>
                </c:pt>
                <c:pt idx="5">
                  <c:v>0.63</c:v>
                </c:pt>
                <c:pt idx="6">
                  <c:v>0.61</c:v>
                </c:pt>
                <c:pt idx="7">
                  <c:v>0.65</c:v>
                </c:pt>
                <c:pt idx="8">
                  <c:v>0.59</c:v>
                </c:pt>
                <c:pt idx="9">
                  <c:v>0.65</c:v>
                </c:pt>
              </c:numCache>
            </c:numRef>
          </c:val>
          <c:extLst>
            <c:ext xmlns:c16="http://schemas.microsoft.com/office/drawing/2014/chart" uri="{C3380CC4-5D6E-409C-BE32-E72D297353CC}">
              <c16:uniqueId val="{00000003-1667-4D7F-9ED6-C3FDF2B3DE37}"/>
            </c:ext>
          </c:extLst>
        </c:ser>
        <c:dLbls>
          <c:showLegendKey val="0"/>
          <c:showVal val="0"/>
          <c:showCatName val="0"/>
          <c:showSerName val="0"/>
          <c:showPercent val="0"/>
          <c:showBubbleSize val="0"/>
        </c:dLbls>
        <c:gapWidth val="150"/>
        <c:axId val="403281040"/>
        <c:axId val="403283392"/>
      </c:barChart>
      <c:catAx>
        <c:axId val="403281040"/>
        <c:scaling>
          <c:orientation val="minMax"/>
        </c:scaling>
        <c:delete val="0"/>
        <c:axPos val="b"/>
        <c:numFmt formatCode="General" sourceLinked="0"/>
        <c:majorTickMark val="out"/>
        <c:minorTickMark val="none"/>
        <c:tickLblPos val="nextTo"/>
        <c:crossAx val="403283392"/>
        <c:crosses val="autoZero"/>
        <c:auto val="1"/>
        <c:lblAlgn val="ctr"/>
        <c:lblOffset val="100"/>
        <c:noMultiLvlLbl val="0"/>
      </c:catAx>
      <c:valAx>
        <c:axId val="403283392"/>
        <c:scaling>
          <c:orientation val="minMax"/>
        </c:scaling>
        <c:delete val="0"/>
        <c:axPos val="l"/>
        <c:majorGridlines/>
        <c:title>
          <c:tx>
            <c:rich>
              <a:bodyPr rot="-5400000" vert="horz"/>
              <a:lstStyle/>
              <a:p>
                <a:pPr>
                  <a:defRPr b="0"/>
                </a:pPr>
                <a:r>
                  <a:rPr lang="en-ZA" b="0"/>
                  <a:t>Gini Coefficient (Expenditure)</a:t>
                </a:r>
              </a:p>
            </c:rich>
          </c:tx>
          <c:overlay val="0"/>
        </c:title>
        <c:numFmt formatCode="0.00" sourceLinked="1"/>
        <c:majorTickMark val="out"/>
        <c:minorTickMark val="none"/>
        <c:tickLblPos val="nextTo"/>
        <c:crossAx val="4032810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sz="1400"/>
              <a:t>POVERTY</a:t>
            </a:r>
            <a:r>
              <a:rPr lang="en-ZA" sz="1400" baseline="0"/>
              <a:t> HEADCOUNT</a:t>
            </a:r>
            <a:endParaRPr lang="en-ZA" sz="1400"/>
          </a:p>
        </c:rich>
      </c:tx>
      <c:overlay val="0"/>
    </c:title>
    <c:autoTitleDeleted val="0"/>
    <c:plotArea>
      <c:layout/>
      <c:barChart>
        <c:barDir val="col"/>
        <c:grouping val="clustered"/>
        <c:varyColors val="0"/>
        <c:ser>
          <c:idx val="0"/>
          <c:order val="0"/>
          <c:tx>
            <c:v>2006</c:v>
          </c:tx>
          <c:spPr>
            <a:solidFill>
              <a:srgbClr val="FCD5B5"/>
            </a:solidFill>
          </c:spPr>
          <c:invertIfNegative val="0"/>
          <c:cat>
            <c:strRef>
              <c:f>'Poverty Headcount'!$D$11:$D$20</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c:v>
                </c:pt>
              </c:strCache>
            </c:strRef>
          </c:cat>
          <c:val>
            <c:numRef>
              <c:f>'Poverty Headcount'!$E$11:$E$20</c:f>
              <c:numCache>
                <c:formatCode>#\ ###\ ##0.0</c:formatCode>
                <c:ptCount val="10"/>
                <c:pt idx="0">
                  <c:v>69.5</c:v>
                </c:pt>
                <c:pt idx="1">
                  <c:v>53.2</c:v>
                </c:pt>
                <c:pt idx="2">
                  <c:v>32.4</c:v>
                </c:pt>
                <c:pt idx="3">
                  <c:v>69.099999999999994</c:v>
                </c:pt>
                <c:pt idx="4">
                  <c:v>74.400000000000006</c:v>
                </c:pt>
                <c:pt idx="5">
                  <c:v>66.3</c:v>
                </c:pt>
                <c:pt idx="6">
                  <c:v>63.8</c:v>
                </c:pt>
                <c:pt idx="7">
                  <c:v>60.2</c:v>
                </c:pt>
                <c:pt idx="8">
                  <c:v>36.9</c:v>
                </c:pt>
                <c:pt idx="9" formatCode="General">
                  <c:v>57.2</c:v>
                </c:pt>
              </c:numCache>
            </c:numRef>
          </c:val>
          <c:extLst>
            <c:ext xmlns:c16="http://schemas.microsoft.com/office/drawing/2014/chart" uri="{C3380CC4-5D6E-409C-BE32-E72D297353CC}">
              <c16:uniqueId val="{00000000-D65F-4528-AF62-0D4313EEE6F7}"/>
            </c:ext>
          </c:extLst>
        </c:ser>
        <c:ser>
          <c:idx val="1"/>
          <c:order val="1"/>
          <c:tx>
            <c:v>2009</c:v>
          </c:tx>
          <c:spPr>
            <a:solidFill>
              <a:srgbClr val="F8A662"/>
            </a:solidFill>
          </c:spPr>
          <c:invertIfNegative val="0"/>
          <c:cat>
            <c:strRef>
              <c:f>'Poverty Headcount'!$D$11:$D$20</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c:v>
                </c:pt>
              </c:strCache>
            </c:strRef>
          </c:cat>
          <c:val>
            <c:numRef>
              <c:f>'Poverty Headcount'!$F$11:$F$20</c:f>
              <c:numCache>
                <c:formatCode>General</c:formatCode>
                <c:ptCount val="10"/>
                <c:pt idx="0">
                  <c:v>70.599999999999994</c:v>
                </c:pt>
                <c:pt idx="1">
                  <c:v>61.9</c:v>
                </c:pt>
                <c:pt idx="2">
                  <c:v>33</c:v>
                </c:pt>
                <c:pt idx="3">
                  <c:v>65</c:v>
                </c:pt>
                <c:pt idx="4">
                  <c:v>78.900000000000006</c:v>
                </c:pt>
                <c:pt idx="5">
                  <c:v>67.099999999999994</c:v>
                </c:pt>
                <c:pt idx="6">
                  <c:v>63</c:v>
                </c:pt>
                <c:pt idx="7">
                  <c:v>61.4</c:v>
                </c:pt>
                <c:pt idx="8">
                  <c:v>35.4</c:v>
                </c:pt>
                <c:pt idx="9">
                  <c:v>56.8</c:v>
                </c:pt>
              </c:numCache>
            </c:numRef>
          </c:val>
          <c:extLst>
            <c:ext xmlns:c16="http://schemas.microsoft.com/office/drawing/2014/chart" uri="{C3380CC4-5D6E-409C-BE32-E72D297353CC}">
              <c16:uniqueId val="{00000001-D65F-4528-AF62-0D4313EEE6F7}"/>
            </c:ext>
          </c:extLst>
        </c:ser>
        <c:ser>
          <c:idx val="2"/>
          <c:order val="2"/>
          <c:tx>
            <c:v>2011</c:v>
          </c:tx>
          <c:spPr>
            <a:solidFill>
              <a:srgbClr val="E46C0A"/>
            </a:solidFill>
          </c:spPr>
          <c:invertIfNegative val="0"/>
          <c:cat>
            <c:strRef>
              <c:f>'Poverty Headcount'!$D$11:$D$20</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c:v>
                </c:pt>
              </c:strCache>
            </c:strRef>
          </c:cat>
          <c:val>
            <c:numRef>
              <c:f>'Poverty Headcount'!$G$11:$G$20</c:f>
              <c:numCache>
                <c:formatCode>#\ ###\ ##0.0</c:formatCode>
                <c:ptCount val="10"/>
                <c:pt idx="0">
                  <c:v>60.8</c:v>
                </c:pt>
                <c:pt idx="1">
                  <c:v>41.2</c:v>
                </c:pt>
                <c:pt idx="2">
                  <c:v>22.9</c:v>
                </c:pt>
                <c:pt idx="3">
                  <c:v>56.6</c:v>
                </c:pt>
                <c:pt idx="4">
                  <c:v>63.8</c:v>
                </c:pt>
                <c:pt idx="5">
                  <c:v>52.1</c:v>
                </c:pt>
                <c:pt idx="6">
                  <c:v>46.8</c:v>
                </c:pt>
                <c:pt idx="7">
                  <c:v>50.5</c:v>
                </c:pt>
                <c:pt idx="8">
                  <c:v>24.7</c:v>
                </c:pt>
                <c:pt idx="9" formatCode="General">
                  <c:v>45.5</c:v>
                </c:pt>
              </c:numCache>
            </c:numRef>
          </c:val>
          <c:extLst>
            <c:ext xmlns:c16="http://schemas.microsoft.com/office/drawing/2014/chart" uri="{C3380CC4-5D6E-409C-BE32-E72D297353CC}">
              <c16:uniqueId val="{00000002-D65F-4528-AF62-0D4313EEE6F7}"/>
            </c:ext>
          </c:extLst>
        </c:ser>
        <c:dLbls>
          <c:showLegendKey val="0"/>
          <c:showVal val="0"/>
          <c:showCatName val="0"/>
          <c:showSerName val="0"/>
          <c:showPercent val="0"/>
          <c:showBubbleSize val="0"/>
        </c:dLbls>
        <c:gapWidth val="150"/>
        <c:axId val="403283784"/>
        <c:axId val="403284176"/>
      </c:barChart>
      <c:catAx>
        <c:axId val="403283784"/>
        <c:scaling>
          <c:orientation val="minMax"/>
        </c:scaling>
        <c:delete val="0"/>
        <c:axPos val="b"/>
        <c:numFmt formatCode="General" sourceLinked="0"/>
        <c:majorTickMark val="none"/>
        <c:minorTickMark val="none"/>
        <c:tickLblPos val="nextTo"/>
        <c:crossAx val="403284176"/>
        <c:crosses val="autoZero"/>
        <c:auto val="1"/>
        <c:lblAlgn val="ctr"/>
        <c:lblOffset val="100"/>
        <c:noMultiLvlLbl val="0"/>
      </c:catAx>
      <c:valAx>
        <c:axId val="403284176"/>
        <c:scaling>
          <c:orientation val="minMax"/>
        </c:scaling>
        <c:delete val="0"/>
        <c:axPos val="l"/>
        <c:majorGridlines/>
        <c:numFmt formatCode="#\ ###\ ##0.0" sourceLinked="1"/>
        <c:majorTickMark val="none"/>
        <c:minorTickMark val="none"/>
        <c:tickLblPos val="nextTo"/>
        <c:crossAx val="4032837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2006</c:v>
          </c:tx>
          <c:spPr>
            <a:solidFill>
              <a:srgbClr val="FCD5B5"/>
            </a:solidFill>
          </c:spPr>
          <c:invertIfNegative val="0"/>
          <c:cat>
            <c:strRef>
              <c:f>'Poverty Gap indices  '!$D$10:$D$19</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'!$E$10:$E$19</c:f>
              <c:numCache>
                <c:formatCode>General</c:formatCode>
                <c:ptCount val="10"/>
                <c:pt idx="0">
                  <c:v>34.1</c:v>
                </c:pt>
                <c:pt idx="1">
                  <c:v>22</c:v>
                </c:pt>
                <c:pt idx="2">
                  <c:v>11.3</c:v>
                </c:pt>
                <c:pt idx="3">
                  <c:v>35.700000000000003</c:v>
                </c:pt>
                <c:pt idx="4">
                  <c:v>36.799999999999997</c:v>
                </c:pt>
                <c:pt idx="5">
                  <c:v>32</c:v>
                </c:pt>
                <c:pt idx="6">
                  <c:v>31.1</c:v>
                </c:pt>
                <c:pt idx="7">
                  <c:v>28.1</c:v>
                </c:pt>
                <c:pt idx="8">
                  <c:v>13.8</c:v>
                </c:pt>
                <c:pt idx="9">
                  <c:v>26.7</c:v>
                </c:pt>
              </c:numCache>
            </c:numRef>
          </c:val>
          <c:extLst>
            <c:ext xmlns:c16="http://schemas.microsoft.com/office/drawing/2014/chart" uri="{C3380CC4-5D6E-409C-BE32-E72D297353CC}">
              <c16:uniqueId val="{00000000-9FA0-4EDA-A9BA-0DA9B5E27B30}"/>
            </c:ext>
          </c:extLst>
        </c:ser>
        <c:ser>
          <c:idx val="1"/>
          <c:order val="1"/>
          <c:tx>
            <c:v>2009</c:v>
          </c:tx>
          <c:spPr>
            <a:solidFill>
              <a:srgbClr val="F8A662"/>
            </a:solidFill>
          </c:spPr>
          <c:invertIfNegative val="0"/>
          <c:cat>
            <c:strRef>
              <c:f>'Poverty Gap indices  '!$D$10:$D$19</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'!$F$10:$F$19</c:f>
              <c:numCache>
                <c:formatCode>General</c:formatCode>
                <c:ptCount val="10"/>
                <c:pt idx="0">
                  <c:v>36.700000000000003</c:v>
                </c:pt>
                <c:pt idx="1">
                  <c:v>28.4</c:v>
                </c:pt>
                <c:pt idx="2">
                  <c:v>13.1</c:v>
                </c:pt>
                <c:pt idx="3">
                  <c:v>33.4</c:v>
                </c:pt>
                <c:pt idx="4">
                  <c:v>44.4</c:v>
                </c:pt>
                <c:pt idx="5">
                  <c:v>34.1</c:v>
                </c:pt>
                <c:pt idx="6">
                  <c:v>29.9</c:v>
                </c:pt>
                <c:pt idx="7">
                  <c:v>29.3</c:v>
                </c:pt>
                <c:pt idx="8">
                  <c:v>13.8</c:v>
                </c:pt>
                <c:pt idx="9">
                  <c:v>27.9</c:v>
                </c:pt>
              </c:numCache>
            </c:numRef>
          </c:val>
          <c:extLst>
            <c:ext xmlns:c16="http://schemas.microsoft.com/office/drawing/2014/chart" uri="{C3380CC4-5D6E-409C-BE32-E72D297353CC}">
              <c16:uniqueId val="{00000001-9FA0-4EDA-A9BA-0DA9B5E27B30}"/>
            </c:ext>
          </c:extLst>
        </c:ser>
        <c:ser>
          <c:idx val="2"/>
          <c:order val="2"/>
          <c:tx>
            <c:v>2011</c:v>
          </c:tx>
          <c:spPr>
            <a:solidFill>
              <a:srgbClr val="E46C0A"/>
            </a:solidFill>
          </c:spPr>
          <c:invertIfNegative val="0"/>
          <c:cat>
            <c:strRef>
              <c:f>'Poverty Gap indices  '!$D$10:$D$19</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'!$G$10:$G$19</c:f>
              <c:numCache>
                <c:formatCode>General</c:formatCode>
                <c:ptCount val="10"/>
                <c:pt idx="0">
                  <c:v>27</c:v>
                </c:pt>
                <c:pt idx="1">
                  <c:v>17.5</c:v>
                </c:pt>
                <c:pt idx="2">
                  <c:v>8.1</c:v>
                </c:pt>
                <c:pt idx="3">
                  <c:v>25.5</c:v>
                </c:pt>
                <c:pt idx="4">
                  <c:v>30</c:v>
                </c:pt>
                <c:pt idx="5">
                  <c:v>21.7</c:v>
                </c:pt>
                <c:pt idx="6">
                  <c:v>19.100000000000001</c:v>
                </c:pt>
                <c:pt idx="7">
                  <c:v>22.6</c:v>
                </c:pt>
                <c:pt idx="8">
                  <c:v>8.5</c:v>
                </c:pt>
                <c:pt idx="9">
                  <c:v>19.600000000000001</c:v>
                </c:pt>
              </c:numCache>
            </c:numRef>
          </c:val>
          <c:extLst>
            <c:ext xmlns:c16="http://schemas.microsoft.com/office/drawing/2014/chart" uri="{C3380CC4-5D6E-409C-BE32-E72D297353CC}">
              <c16:uniqueId val="{00000002-9FA0-4EDA-A9BA-0DA9B5E27B30}"/>
            </c:ext>
          </c:extLst>
        </c:ser>
        <c:dLbls>
          <c:showLegendKey val="0"/>
          <c:showVal val="0"/>
          <c:showCatName val="0"/>
          <c:showSerName val="0"/>
          <c:showPercent val="0"/>
          <c:showBubbleSize val="0"/>
        </c:dLbls>
        <c:gapWidth val="150"/>
        <c:axId val="403287312"/>
        <c:axId val="403279864"/>
      </c:barChart>
      <c:catAx>
        <c:axId val="403287312"/>
        <c:scaling>
          <c:orientation val="minMax"/>
        </c:scaling>
        <c:delete val="0"/>
        <c:axPos val="b"/>
        <c:numFmt formatCode="General" sourceLinked="0"/>
        <c:majorTickMark val="out"/>
        <c:minorTickMark val="none"/>
        <c:tickLblPos val="nextTo"/>
        <c:spPr>
          <a:ln>
            <a:solidFill>
              <a:schemeClr val="tx1">
                <a:lumMod val="95000"/>
                <a:lumOff val="5000"/>
              </a:schemeClr>
            </a:solidFill>
          </a:ln>
        </c:spPr>
        <c:crossAx val="403279864"/>
        <c:crosses val="autoZero"/>
        <c:auto val="1"/>
        <c:lblAlgn val="ctr"/>
        <c:lblOffset val="100"/>
        <c:noMultiLvlLbl val="0"/>
      </c:catAx>
      <c:valAx>
        <c:axId val="403279864"/>
        <c:scaling>
          <c:orientation val="minMax"/>
        </c:scaling>
        <c:delete val="0"/>
        <c:axPos val="l"/>
        <c:majorGridlines>
          <c:spPr>
            <a:ln w="6350">
              <a:prstDash val="sysDash"/>
            </a:ln>
          </c:spPr>
        </c:majorGridlines>
        <c:numFmt formatCode="#\,##0.0" sourceLinked="0"/>
        <c:majorTickMark val="out"/>
        <c:minorTickMark val="none"/>
        <c:tickLblPos val="nextTo"/>
        <c:spPr>
          <a:ln>
            <a:solidFill>
              <a:schemeClr val="tx1">
                <a:lumMod val="95000"/>
                <a:lumOff val="5000"/>
              </a:schemeClr>
            </a:solidFill>
          </a:ln>
        </c:spPr>
        <c:crossAx val="40328731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2006</c:v>
          </c:tx>
          <c:spPr>
            <a:solidFill>
              <a:srgbClr val="FCD5B5"/>
            </a:solidFill>
          </c:spPr>
          <c:invertIfNegative val="0"/>
          <c:cat>
            <c:strRef>
              <c:f>'Poverty Gap indices  '!$D$24:$D$33</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'!$E$24:$E$33</c:f>
              <c:numCache>
                <c:formatCode>General</c:formatCode>
                <c:ptCount val="10"/>
                <c:pt idx="0">
                  <c:v>19.7</c:v>
                </c:pt>
                <c:pt idx="1">
                  <c:v>11.4</c:v>
                </c:pt>
                <c:pt idx="2">
                  <c:v>5.3</c:v>
                </c:pt>
                <c:pt idx="3">
                  <c:v>22</c:v>
                </c:pt>
                <c:pt idx="4">
                  <c:v>21.9</c:v>
                </c:pt>
                <c:pt idx="5">
                  <c:v>18.8</c:v>
                </c:pt>
                <c:pt idx="6">
                  <c:v>18.2</c:v>
                </c:pt>
                <c:pt idx="7">
                  <c:v>16.2</c:v>
                </c:pt>
                <c:pt idx="8">
                  <c:v>7</c:v>
                </c:pt>
                <c:pt idx="9">
                  <c:v>15.4</c:v>
                </c:pt>
              </c:numCache>
            </c:numRef>
          </c:val>
          <c:extLst>
            <c:ext xmlns:c16="http://schemas.microsoft.com/office/drawing/2014/chart" uri="{C3380CC4-5D6E-409C-BE32-E72D297353CC}">
              <c16:uniqueId val="{00000000-EDA4-4E0A-8893-39C3D5ADB213}"/>
            </c:ext>
          </c:extLst>
        </c:ser>
        <c:ser>
          <c:idx val="1"/>
          <c:order val="1"/>
          <c:tx>
            <c:v>2009</c:v>
          </c:tx>
          <c:spPr>
            <a:solidFill>
              <a:srgbClr val="F8A662"/>
            </a:solidFill>
          </c:spPr>
          <c:invertIfNegative val="0"/>
          <c:cat>
            <c:strRef>
              <c:f>'Poverty Gap indices  '!$D$24:$D$33</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'!$F$24:$F$33</c:f>
              <c:numCache>
                <c:formatCode>General</c:formatCode>
                <c:ptCount val="10"/>
                <c:pt idx="0">
                  <c:v>22.6</c:v>
                </c:pt>
                <c:pt idx="1">
                  <c:v>15.8</c:v>
                </c:pt>
                <c:pt idx="2">
                  <c:v>6.8</c:v>
                </c:pt>
                <c:pt idx="3">
                  <c:v>20.6</c:v>
                </c:pt>
                <c:pt idx="4">
                  <c:v>28.6</c:v>
                </c:pt>
                <c:pt idx="5">
                  <c:v>20.7</c:v>
                </c:pt>
                <c:pt idx="6">
                  <c:v>17.100000000000001</c:v>
                </c:pt>
                <c:pt idx="7">
                  <c:v>17.2</c:v>
                </c:pt>
                <c:pt idx="8">
                  <c:v>7</c:v>
                </c:pt>
                <c:pt idx="9">
                  <c:v>16.7</c:v>
                </c:pt>
              </c:numCache>
            </c:numRef>
          </c:val>
          <c:extLst>
            <c:ext xmlns:c16="http://schemas.microsoft.com/office/drawing/2014/chart" uri="{C3380CC4-5D6E-409C-BE32-E72D297353CC}">
              <c16:uniqueId val="{00000001-EDA4-4E0A-8893-39C3D5ADB213}"/>
            </c:ext>
          </c:extLst>
        </c:ser>
        <c:ser>
          <c:idx val="2"/>
          <c:order val="2"/>
          <c:tx>
            <c:v>2011</c:v>
          </c:tx>
          <c:spPr>
            <a:solidFill>
              <a:srgbClr val="E46C0A"/>
            </a:solidFill>
          </c:spPr>
          <c:invertIfNegative val="0"/>
          <c:cat>
            <c:strRef>
              <c:f>'Poverty Gap indices  '!$D$24:$D$33</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'!$G$24:$G$33</c:f>
              <c:numCache>
                <c:formatCode>General</c:formatCode>
                <c:ptCount val="10"/>
                <c:pt idx="0">
                  <c:v>15.3</c:v>
                </c:pt>
                <c:pt idx="1">
                  <c:v>9.3000000000000007</c:v>
                </c:pt>
                <c:pt idx="2">
                  <c:v>4.0999999999999996</c:v>
                </c:pt>
                <c:pt idx="3">
                  <c:v>14.4</c:v>
                </c:pt>
                <c:pt idx="4">
                  <c:v>17.3</c:v>
                </c:pt>
                <c:pt idx="5">
                  <c:v>11.5</c:v>
                </c:pt>
                <c:pt idx="6">
                  <c:v>9.9</c:v>
                </c:pt>
                <c:pt idx="7">
                  <c:v>12.6</c:v>
                </c:pt>
                <c:pt idx="8">
                  <c:v>3.9</c:v>
                </c:pt>
                <c:pt idx="9">
                  <c:v>10.8</c:v>
                </c:pt>
              </c:numCache>
            </c:numRef>
          </c:val>
          <c:extLst>
            <c:ext xmlns:c16="http://schemas.microsoft.com/office/drawing/2014/chart" uri="{C3380CC4-5D6E-409C-BE32-E72D297353CC}">
              <c16:uniqueId val="{00000002-EDA4-4E0A-8893-39C3D5ADB213}"/>
            </c:ext>
          </c:extLst>
        </c:ser>
        <c:dLbls>
          <c:showLegendKey val="0"/>
          <c:showVal val="0"/>
          <c:showCatName val="0"/>
          <c:showSerName val="0"/>
          <c:showPercent val="0"/>
          <c:showBubbleSize val="0"/>
        </c:dLbls>
        <c:gapWidth val="150"/>
        <c:axId val="400480480"/>
        <c:axId val="404672872"/>
      </c:barChart>
      <c:catAx>
        <c:axId val="400480480"/>
        <c:scaling>
          <c:orientation val="minMax"/>
        </c:scaling>
        <c:delete val="0"/>
        <c:axPos val="b"/>
        <c:numFmt formatCode="General" sourceLinked="0"/>
        <c:majorTickMark val="none"/>
        <c:minorTickMark val="out"/>
        <c:tickLblPos val="nextTo"/>
        <c:spPr>
          <a:ln>
            <a:solidFill>
              <a:schemeClr val="tx1">
                <a:lumMod val="95000"/>
                <a:lumOff val="5000"/>
              </a:schemeClr>
            </a:solidFill>
          </a:ln>
        </c:spPr>
        <c:crossAx val="404672872"/>
        <c:crosses val="autoZero"/>
        <c:auto val="1"/>
        <c:lblAlgn val="ctr"/>
        <c:lblOffset val="100"/>
        <c:noMultiLvlLbl val="0"/>
      </c:catAx>
      <c:valAx>
        <c:axId val="404672872"/>
        <c:scaling>
          <c:orientation val="minMax"/>
        </c:scaling>
        <c:delete val="0"/>
        <c:axPos val="l"/>
        <c:majorGridlines>
          <c:spPr>
            <a:ln w="6350">
              <a:prstDash val="sysDash"/>
            </a:ln>
          </c:spPr>
        </c:majorGridlines>
        <c:numFmt formatCode="#\,##0.0" sourceLinked="0"/>
        <c:majorTickMark val="out"/>
        <c:minorTickMark val="none"/>
        <c:tickLblPos val="nextTo"/>
        <c:spPr>
          <a:ln>
            <a:solidFill>
              <a:schemeClr val="tx1">
                <a:lumMod val="95000"/>
                <a:lumOff val="5000"/>
              </a:schemeClr>
            </a:solidFill>
          </a:ln>
        </c:spPr>
        <c:crossAx val="4004804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[15]Grants!$B$51</c:f>
              <c:strCache>
                <c:ptCount val="1"/>
                <c:pt idx="0">
                  <c:v>War veterans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[15]Grants!$C$50:$J$50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[15]Grants!$C$51:$J$51</c:f>
              <c:numCache>
                <c:formatCode>General</c:formatCode>
                <c:ptCount val="8"/>
                <c:pt idx="0">
                  <c:v>9197</c:v>
                </c:pt>
                <c:pt idx="1">
                  <c:v>7554</c:v>
                </c:pt>
                <c:pt idx="2">
                  <c:v>6175</c:v>
                </c:pt>
                <c:pt idx="3">
                  <c:v>5266</c:v>
                </c:pt>
                <c:pt idx="4">
                  <c:v>4594</c:v>
                </c:pt>
                <c:pt idx="5">
                  <c:v>3961</c:v>
                </c:pt>
                <c:pt idx="6">
                  <c:v>3340</c:v>
                </c:pt>
                <c:pt idx="7">
                  <c:v>2795</c:v>
                </c:pt>
              </c:numCache>
            </c:numRef>
          </c:val>
          <c:smooth val="0"/>
          <c:extLst>
            <c:ext xmlns:c16="http://schemas.microsoft.com/office/drawing/2014/chart" uri="{C3380CC4-5D6E-409C-BE32-E72D297353CC}">
              <c16:uniqueId val="{00000000-F962-4A01-9393-7005322D388D}"/>
            </c:ext>
          </c:extLst>
        </c:ser>
        <c:ser>
          <c:idx val="0"/>
          <c:order val="1"/>
          <c:tx>
            <c:strRef>
              <c:f>[15]Grants!$B$52</c:f>
              <c:strCache>
                <c:ptCount val="1"/>
                <c:pt idx="0">
                  <c:v>Disability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[15]Grants!$C$50:$J$50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[15]Grants!$C$52:$J$52</c:f>
              <c:numCache>
                <c:formatCode>General</c:formatCode>
                <c:ptCount val="8"/>
                <c:pt idx="0">
                  <c:v>633778</c:v>
                </c:pt>
                <c:pt idx="1">
                  <c:v>612614</c:v>
                </c:pt>
                <c:pt idx="2">
                  <c:v>641459</c:v>
                </c:pt>
                <c:pt idx="3">
                  <c:v>732928</c:v>
                </c:pt>
                <c:pt idx="4">
                  <c:v>953965</c:v>
                </c:pt>
                <c:pt idx="5">
                  <c:v>1270964</c:v>
                </c:pt>
                <c:pt idx="6">
                  <c:v>1307459</c:v>
                </c:pt>
                <c:pt idx="7">
                  <c:v>1332547</c:v>
                </c:pt>
              </c:numCache>
            </c:numRef>
          </c:val>
          <c:smooth val="0"/>
          <c:extLst>
            <c:ext xmlns:c16="http://schemas.microsoft.com/office/drawing/2014/chart" uri="{C3380CC4-5D6E-409C-BE32-E72D297353CC}">
              <c16:uniqueId val="{00000001-F962-4A01-9393-7005322D388D}"/>
            </c:ext>
          </c:extLst>
        </c:ser>
        <c:ser>
          <c:idx val="5"/>
          <c:order val="2"/>
          <c:tx>
            <c:strRef>
              <c:f>[15]Grants!$B$53</c:f>
              <c:strCache>
                <c:ptCount val="1"/>
                <c:pt idx="0">
                  <c:v>Grant in aid</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[15]Grants!$C$50:$J$50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[15]Grants!$C$53:$J$53</c:f>
              <c:numCache>
                <c:formatCode>General</c:formatCode>
                <c:ptCount val="8"/>
                <c:pt idx="0">
                  <c:v>8496</c:v>
                </c:pt>
                <c:pt idx="1">
                  <c:v>8748</c:v>
                </c:pt>
                <c:pt idx="2">
                  <c:v>8529</c:v>
                </c:pt>
                <c:pt idx="3">
                  <c:v>10435</c:v>
                </c:pt>
                <c:pt idx="4">
                  <c:v>12787</c:v>
                </c:pt>
                <c:pt idx="5">
                  <c:v>18170</c:v>
                </c:pt>
                <c:pt idx="6">
                  <c:v>23131</c:v>
                </c:pt>
                <c:pt idx="7">
                  <c:v>27252</c:v>
                </c:pt>
              </c:numCache>
            </c:numRef>
          </c:val>
          <c:smooth val="0"/>
          <c:extLst>
            <c:ext xmlns:c16="http://schemas.microsoft.com/office/drawing/2014/chart" uri="{C3380CC4-5D6E-409C-BE32-E72D297353CC}">
              <c16:uniqueId val="{00000002-F962-4A01-9393-7005322D388D}"/>
            </c:ext>
          </c:extLst>
        </c:ser>
        <c:ser>
          <c:idx val="6"/>
          <c:order val="3"/>
          <c:tx>
            <c:strRef>
              <c:f>[15]Grants!$B$54</c:f>
              <c:strCache>
                <c:ptCount val="1"/>
                <c:pt idx="0">
                  <c:v>Foster care</c:v>
                </c:pt>
              </c:strCache>
            </c:strRef>
          </c:tx>
          <c:spPr>
            <a:ln w="12700">
              <a:solidFill>
                <a:srgbClr val="008080"/>
              </a:solidFill>
              <a:prstDash val="solid"/>
            </a:ln>
          </c:spPr>
          <c:marker>
            <c:symbol val="plus"/>
            <c:size val="5"/>
            <c:spPr>
              <a:noFill/>
              <a:ln>
                <a:solidFill>
                  <a:srgbClr val="008080"/>
                </a:solidFill>
                <a:prstDash val="solid"/>
              </a:ln>
            </c:spPr>
          </c:marker>
          <c:cat>
            <c:numRef>
              <c:f>[15]Grants!$C$50:$J$50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[15]Grants!$C$54:$J$54</c:f>
              <c:numCache>
                <c:formatCode>General</c:formatCode>
                <c:ptCount val="8"/>
                <c:pt idx="0">
                  <c:v>71901</c:v>
                </c:pt>
                <c:pt idx="1">
                  <c:v>79937</c:v>
                </c:pt>
                <c:pt idx="2">
                  <c:v>85315</c:v>
                </c:pt>
                <c:pt idx="3">
                  <c:v>108207</c:v>
                </c:pt>
                <c:pt idx="4">
                  <c:v>138763</c:v>
                </c:pt>
                <c:pt idx="5">
                  <c:v>200340</c:v>
                </c:pt>
                <c:pt idx="6">
                  <c:v>256325</c:v>
                </c:pt>
                <c:pt idx="7">
                  <c:v>209093</c:v>
                </c:pt>
              </c:numCache>
            </c:numRef>
          </c:val>
          <c:smooth val="0"/>
          <c:extLst>
            <c:ext xmlns:c16="http://schemas.microsoft.com/office/drawing/2014/chart" uri="{C3380CC4-5D6E-409C-BE32-E72D297353CC}">
              <c16:uniqueId val="{00000003-F962-4A01-9393-7005322D388D}"/>
            </c:ext>
          </c:extLst>
        </c:ser>
        <c:dLbls>
          <c:showLegendKey val="0"/>
          <c:showVal val="0"/>
          <c:showCatName val="0"/>
          <c:showSerName val="0"/>
          <c:showPercent val="0"/>
          <c:showBubbleSize val="0"/>
        </c:dLbls>
        <c:marker val="1"/>
        <c:smooth val="0"/>
        <c:axId val="404676400"/>
        <c:axId val="404672088"/>
      </c:lineChart>
      <c:lineChart>
        <c:grouping val="standard"/>
        <c:varyColors val="0"/>
        <c:ser>
          <c:idx val="2"/>
          <c:order val="4"/>
          <c:tx>
            <c:strRef>
              <c:f>[15]Grants!$B$55</c:f>
              <c:strCache>
                <c:ptCount val="1"/>
                <c:pt idx="0">
                  <c:v>Care dependency</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[15]Grants!$C$50:$J$50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[15]Grants!$C$55:$J$55</c:f>
              <c:numCache>
                <c:formatCode>General</c:formatCode>
                <c:ptCount val="8"/>
                <c:pt idx="0">
                  <c:v>16835</c:v>
                </c:pt>
                <c:pt idx="1">
                  <c:v>24438</c:v>
                </c:pt>
                <c:pt idx="2">
                  <c:v>33545</c:v>
                </c:pt>
                <c:pt idx="3">
                  <c:v>43325</c:v>
                </c:pt>
                <c:pt idx="4">
                  <c:v>58140</c:v>
                </c:pt>
                <c:pt idx="5">
                  <c:v>77934</c:v>
                </c:pt>
                <c:pt idx="6">
                  <c:v>85818</c:v>
                </c:pt>
                <c:pt idx="7">
                  <c:v>88997</c:v>
                </c:pt>
              </c:numCache>
            </c:numRef>
          </c:val>
          <c:smooth val="0"/>
          <c:extLst>
            <c:ext xmlns:c16="http://schemas.microsoft.com/office/drawing/2014/chart" uri="{C3380CC4-5D6E-409C-BE32-E72D297353CC}">
              <c16:uniqueId val="{00000004-F962-4A01-9393-7005322D388D}"/>
            </c:ext>
          </c:extLst>
        </c:ser>
        <c:ser>
          <c:idx val="3"/>
          <c:order val="5"/>
          <c:tx>
            <c:strRef>
              <c:f>[15]Grants!$B$56</c:f>
              <c:strCache>
                <c:ptCount val="1"/>
                <c:pt idx="0">
                  <c:v>Child Support</c:v>
                </c:pt>
              </c:strCache>
            </c:strRef>
          </c:tx>
          <c:spPr>
            <a:ln w="12700">
              <a:solidFill>
                <a:srgbClr val="00FFFF"/>
              </a:solidFill>
              <a:prstDash val="solid"/>
            </a:ln>
          </c:spPr>
          <c:marker>
            <c:symbol val="x"/>
            <c:size val="5"/>
            <c:spPr>
              <a:noFill/>
              <a:ln>
                <a:solidFill>
                  <a:srgbClr val="00FFFF"/>
                </a:solidFill>
                <a:prstDash val="solid"/>
              </a:ln>
            </c:spPr>
          </c:marker>
          <c:cat>
            <c:numRef>
              <c:f>[15]Grants!$C$50:$J$50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[15]Grants!$C$56:$J$56</c:f>
              <c:numCache>
                <c:formatCode>General</c:formatCode>
                <c:ptCount val="8"/>
                <c:pt idx="0">
                  <c:v>34471</c:v>
                </c:pt>
                <c:pt idx="1">
                  <c:v>352617</c:v>
                </c:pt>
                <c:pt idx="2">
                  <c:v>1102957</c:v>
                </c:pt>
                <c:pt idx="3">
                  <c:v>1751563</c:v>
                </c:pt>
                <c:pt idx="4">
                  <c:v>2630826</c:v>
                </c:pt>
                <c:pt idx="5">
                  <c:v>4309772</c:v>
                </c:pt>
                <c:pt idx="6">
                  <c:v>5633647</c:v>
                </c:pt>
                <c:pt idx="7">
                  <c:v>7170564</c:v>
                </c:pt>
              </c:numCache>
            </c:numRef>
          </c:val>
          <c:smooth val="0"/>
          <c:extLst>
            <c:ext xmlns:c16="http://schemas.microsoft.com/office/drawing/2014/chart" uri="{C3380CC4-5D6E-409C-BE32-E72D297353CC}">
              <c16:uniqueId val="{00000005-F962-4A01-9393-7005322D388D}"/>
            </c:ext>
          </c:extLst>
        </c:ser>
        <c:ser>
          <c:idx val="4"/>
          <c:order val="6"/>
          <c:tx>
            <c:strRef>
              <c:f>[15]Grants!$B$57</c:f>
              <c:strCache>
                <c:ptCount val="1"/>
                <c:pt idx="0">
                  <c:v>Total beneficiaries</c:v>
                </c:pt>
              </c:strCache>
            </c:strRef>
          </c:tx>
          <c:spPr>
            <a:ln w="12700">
              <a:solidFill>
                <a:srgbClr val="800080"/>
              </a:solidFill>
              <a:prstDash val="solid"/>
            </a:ln>
          </c:spPr>
          <c:marker>
            <c:symbol val="star"/>
            <c:size val="5"/>
            <c:spPr>
              <a:noFill/>
              <a:ln>
                <a:solidFill>
                  <a:srgbClr val="800080"/>
                </a:solidFill>
                <a:prstDash val="solid"/>
              </a:ln>
            </c:spPr>
          </c:marker>
          <c:cat>
            <c:numRef>
              <c:f>[15]Grants!$C$50:$J$50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[15]Grants!$C$57:$J$57</c:f>
              <c:numCache>
                <c:formatCode>General</c:formatCode>
                <c:ptCount val="8"/>
                <c:pt idx="0">
                  <c:v>2587373</c:v>
                </c:pt>
                <c:pt idx="1">
                  <c:v>2946618</c:v>
                </c:pt>
                <c:pt idx="2">
                  <c:v>3774912</c:v>
                </c:pt>
                <c:pt idx="3">
                  <c:v>4598037</c:v>
                </c:pt>
                <c:pt idx="4">
                  <c:v>5808494</c:v>
                </c:pt>
                <c:pt idx="5">
                  <c:v>7941562</c:v>
                </c:pt>
                <c:pt idx="6">
                  <c:v>9402795</c:v>
                </c:pt>
                <c:pt idx="7">
                  <c:v>10980654</c:v>
                </c:pt>
              </c:numCache>
            </c:numRef>
          </c:val>
          <c:smooth val="0"/>
          <c:extLst>
            <c:ext xmlns:c16="http://schemas.microsoft.com/office/drawing/2014/chart" uri="{C3380CC4-5D6E-409C-BE32-E72D297353CC}">
              <c16:uniqueId val="{00000006-F962-4A01-9393-7005322D388D}"/>
            </c:ext>
          </c:extLst>
        </c:ser>
        <c:dLbls>
          <c:showLegendKey val="0"/>
          <c:showVal val="0"/>
          <c:showCatName val="0"/>
          <c:showSerName val="0"/>
          <c:showPercent val="0"/>
          <c:showBubbleSize val="0"/>
        </c:dLbls>
        <c:marker val="1"/>
        <c:smooth val="0"/>
        <c:axId val="404676008"/>
        <c:axId val="404683456"/>
      </c:lineChart>
      <c:catAx>
        <c:axId val="4046764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4672088"/>
        <c:crosses val="autoZero"/>
        <c:auto val="0"/>
        <c:lblAlgn val="ctr"/>
        <c:lblOffset val="100"/>
        <c:tickLblSkip val="1"/>
        <c:tickMarkSkip val="1"/>
        <c:noMultiLvlLbl val="0"/>
      </c:catAx>
      <c:valAx>
        <c:axId val="40467208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4676400"/>
        <c:crosses val="autoZero"/>
        <c:crossBetween val="between"/>
      </c:valAx>
      <c:catAx>
        <c:axId val="404676008"/>
        <c:scaling>
          <c:orientation val="minMax"/>
        </c:scaling>
        <c:delete val="1"/>
        <c:axPos val="b"/>
        <c:numFmt formatCode="General" sourceLinked="1"/>
        <c:majorTickMark val="out"/>
        <c:minorTickMark val="none"/>
        <c:tickLblPos val="nextTo"/>
        <c:crossAx val="404683456"/>
        <c:crosses val="autoZero"/>
        <c:auto val="0"/>
        <c:lblAlgn val="ctr"/>
        <c:lblOffset val="100"/>
        <c:noMultiLvlLbl val="0"/>
      </c:catAx>
      <c:valAx>
        <c:axId val="404683456"/>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4676008"/>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22" r="0.7500000000000052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a:pPr>
            <a:r>
              <a:rPr lang="en-US"/>
              <a:t>Households with access to potable water</a:t>
            </a:r>
          </a:p>
        </c:rich>
      </c:tx>
      <c:overlay val="0"/>
    </c:title>
    <c:autoTitleDeleted val="0"/>
    <c:plotArea>
      <c:layout/>
      <c:barChart>
        <c:barDir val="col"/>
        <c:grouping val="clustered"/>
        <c:varyColors val="0"/>
        <c:ser>
          <c:idx val="0"/>
          <c:order val="0"/>
          <c:tx>
            <c:strRef>
              <c:f>Water!$D$9:$E$9</c:f>
              <c:strCache>
                <c:ptCount val="2"/>
                <c:pt idx="0">
                  <c:v>Total number of Households (HH)</c:v>
                </c:pt>
              </c:strCache>
            </c:strRef>
          </c:tx>
          <c:spPr>
            <a:solidFill>
              <a:srgbClr val="FCD5B5"/>
            </a:solidFill>
          </c:spPr>
          <c:invertIfNegative val="0"/>
          <c:cat>
            <c:numRef>
              <c:f>Water!$F$8:$S$8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Water!$F$9:$S$9</c:f>
              <c:numCache>
                <c:formatCode>#\ ###\ ##0</c:formatCode>
                <c:ptCount val="14"/>
                <c:pt idx="0">
                  <c:v>10814219</c:v>
                </c:pt>
                <c:pt idx="1">
                  <c:v>11113079</c:v>
                </c:pt>
                <c:pt idx="2">
                  <c:v>11425278</c:v>
                </c:pt>
                <c:pt idx="3">
                  <c:v>11753563</c:v>
                </c:pt>
                <c:pt idx="4">
                  <c:v>12106894</c:v>
                </c:pt>
                <c:pt idx="5">
                  <c:v>12485206</c:v>
                </c:pt>
                <c:pt idx="6">
                  <c:v>12885628</c:v>
                </c:pt>
                <c:pt idx="7">
                  <c:v>13302549</c:v>
                </c:pt>
                <c:pt idx="8">
                  <c:v>13730737</c:v>
                </c:pt>
                <c:pt idx="9">
                  <c:v>14173334</c:v>
                </c:pt>
                <c:pt idx="10">
                  <c:v>14631096</c:v>
                </c:pt>
                <c:pt idx="11">
                  <c:v>15106552</c:v>
                </c:pt>
                <c:pt idx="12">
                  <c:v>15602251</c:v>
                </c:pt>
                <c:pt idx="13">
                  <c:v>16121989</c:v>
                </c:pt>
              </c:numCache>
            </c:numRef>
          </c:val>
          <c:extLst>
            <c:ext xmlns:c16="http://schemas.microsoft.com/office/drawing/2014/chart" uri="{C3380CC4-5D6E-409C-BE32-E72D297353CC}">
              <c16:uniqueId val="{00000000-31FA-44F9-8220-92E59121AD99}"/>
            </c:ext>
          </c:extLst>
        </c:ser>
        <c:ser>
          <c:idx val="1"/>
          <c:order val="1"/>
          <c:tx>
            <c:strRef>
              <c:f>Water!$D$11:$E$11</c:f>
              <c:strCache>
                <c:ptCount val="2"/>
                <c:pt idx="0">
                  <c:v>HH with access to water infrastructure &gt; or = to RDP standards</c:v>
                </c:pt>
              </c:strCache>
            </c:strRef>
          </c:tx>
          <c:spPr>
            <a:solidFill>
              <a:srgbClr val="F8A662"/>
            </a:solidFill>
          </c:spPr>
          <c:invertIfNegative val="0"/>
          <c:cat>
            <c:numRef>
              <c:f>Water!$F$8:$S$8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Water!$F$10:$S$10</c:f>
              <c:numCache>
                <c:formatCode>#\ ###\ ##0</c:formatCode>
                <c:ptCount val="14"/>
                <c:pt idx="0">
                  <c:v>8597873</c:v>
                </c:pt>
                <c:pt idx="1">
                  <c:v>7822537</c:v>
                </c:pt>
                <c:pt idx="2">
                  <c:v>9512653</c:v>
                </c:pt>
                <c:pt idx="3">
                  <c:v>8929901</c:v>
                </c:pt>
                <c:pt idx="4">
                  <c:v>10046553</c:v>
                </c:pt>
                <c:pt idx="5">
                  <c:v>10602799</c:v>
                </c:pt>
                <c:pt idx="6">
                  <c:v>10690262</c:v>
                </c:pt>
                <c:pt idx="7">
                  <c:v>11193306</c:v>
                </c:pt>
                <c:pt idx="8">
                  <c:v>11569799</c:v>
                </c:pt>
                <c:pt idx="9">
                  <c:v>12053558</c:v>
                </c:pt>
                <c:pt idx="10">
                  <c:v>12517033</c:v>
                </c:pt>
                <c:pt idx="11">
                  <c:v>12868254</c:v>
                </c:pt>
                <c:pt idx="12">
                  <c:v>13387750</c:v>
                </c:pt>
                <c:pt idx="13">
                  <c:v>13669134</c:v>
                </c:pt>
              </c:numCache>
            </c:numRef>
          </c:val>
          <c:extLst>
            <c:ext xmlns:c16="http://schemas.microsoft.com/office/drawing/2014/chart" uri="{C3380CC4-5D6E-409C-BE32-E72D297353CC}">
              <c16:uniqueId val="{00000001-31FA-44F9-8220-92E59121AD99}"/>
            </c:ext>
          </c:extLst>
        </c:ser>
        <c:dLbls>
          <c:showLegendKey val="0"/>
          <c:showVal val="0"/>
          <c:showCatName val="0"/>
          <c:showSerName val="0"/>
          <c:showPercent val="0"/>
          <c:showBubbleSize val="0"/>
        </c:dLbls>
        <c:gapWidth val="150"/>
        <c:axId val="415000024"/>
        <c:axId val="409651928"/>
      </c:barChart>
      <c:catAx>
        <c:axId val="415000024"/>
        <c:scaling>
          <c:orientation val="minMax"/>
        </c:scaling>
        <c:delete val="0"/>
        <c:axPos val="b"/>
        <c:numFmt formatCode="General" sourceLinked="1"/>
        <c:majorTickMark val="none"/>
        <c:minorTickMark val="none"/>
        <c:tickLblPos val="nextTo"/>
        <c:txPr>
          <a:bodyPr/>
          <a:lstStyle/>
          <a:p>
            <a:pPr>
              <a:defRPr lang="en-ZA"/>
            </a:pPr>
            <a:endParaRPr lang="en-US"/>
          </a:p>
        </c:txPr>
        <c:crossAx val="409651928"/>
        <c:crosses val="autoZero"/>
        <c:auto val="1"/>
        <c:lblAlgn val="ctr"/>
        <c:lblOffset val="100"/>
        <c:noMultiLvlLbl val="0"/>
      </c:catAx>
      <c:valAx>
        <c:axId val="409651928"/>
        <c:scaling>
          <c:orientation val="minMax"/>
        </c:scaling>
        <c:delete val="0"/>
        <c:axPos val="l"/>
        <c:majorGridlines>
          <c:spPr>
            <a:ln>
              <a:prstDash val="dash"/>
            </a:ln>
          </c:spPr>
        </c:majorGridlines>
        <c:numFmt formatCode="#\ ###\ ##0" sourceLinked="1"/>
        <c:majorTickMark val="none"/>
        <c:minorTickMark val="none"/>
        <c:tickLblPos val="nextTo"/>
        <c:spPr>
          <a:ln w="9525">
            <a:noFill/>
          </a:ln>
        </c:spPr>
        <c:txPr>
          <a:bodyPr/>
          <a:lstStyle/>
          <a:p>
            <a:pPr>
              <a:defRPr lang="en-ZA"/>
            </a:pPr>
            <a:endParaRPr lang="en-US"/>
          </a:p>
        </c:txPr>
        <c:crossAx val="415000024"/>
        <c:crosses val="autoZero"/>
        <c:crossBetween val="between"/>
      </c:valAx>
    </c:plotArea>
    <c:legend>
      <c:legendPos val="b"/>
      <c:overlay val="0"/>
      <c:txPr>
        <a:bodyPr/>
        <a:lstStyle/>
        <a:p>
          <a:pPr>
            <a:defRPr lang="en-ZA"/>
          </a:pPr>
          <a:endParaRPr lang="en-US"/>
        </a:p>
      </c:txPr>
    </c:legend>
    <c:plotVisOnly val="1"/>
    <c:dispBlanksAs val="gap"/>
    <c:showDLblsOverMax val="0"/>
  </c:chart>
  <c:txPr>
    <a:bodyPr/>
    <a:lstStyle/>
    <a:p>
      <a:pPr>
        <a:defRPr sz="800">
          <a:latin typeface="Arial Narrow"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Water!$D$9:$E$9</c:f>
              <c:strCache>
                <c:ptCount val="2"/>
                <c:pt idx="0">
                  <c:v>Total number of Households (HH)</c:v>
                </c:pt>
              </c:strCache>
            </c:strRef>
          </c:tx>
          <c:spPr>
            <a:solidFill>
              <a:srgbClr val="BD8E31"/>
            </a:solidFill>
          </c:spPr>
          <c:invertIfNegative val="0"/>
          <c:cat>
            <c:numRef>
              <c:f>Water!$F$8:$S$8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Water!$F$9:$S$9</c:f>
              <c:numCache>
                <c:formatCode>#\ ###\ ##0</c:formatCode>
                <c:ptCount val="14"/>
                <c:pt idx="0">
                  <c:v>10814219</c:v>
                </c:pt>
                <c:pt idx="1">
                  <c:v>11113079</c:v>
                </c:pt>
                <c:pt idx="2">
                  <c:v>11425278</c:v>
                </c:pt>
                <c:pt idx="3">
                  <c:v>11753563</c:v>
                </c:pt>
                <c:pt idx="4">
                  <c:v>12106894</c:v>
                </c:pt>
                <c:pt idx="5">
                  <c:v>12485206</c:v>
                </c:pt>
                <c:pt idx="6">
                  <c:v>12885628</c:v>
                </c:pt>
                <c:pt idx="7">
                  <c:v>13302549</c:v>
                </c:pt>
                <c:pt idx="8">
                  <c:v>13730737</c:v>
                </c:pt>
                <c:pt idx="9">
                  <c:v>14173334</c:v>
                </c:pt>
                <c:pt idx="10">
                  <c:v>14631096</c:v>
                </c:pt>
                <c:pt idx="11">
                  <c:v>15106552</c:v>
                </c:pt>
                <c:pt idx="12">
                  <c:v>15602251</c:v>
                </c:pt>
                <c:pt idx="13">
                  <c:v>16121989</c:v>
                </c:pt>
              </c:numCache>
            </c:numRef>
          </c:val>
          <c:extLst>
            <c:ext xmlns:c16="http://schemas.microsoft.com/office/drawing/2014/chart" uri="{C3380CC4-5D6E-409C-BE32-E72D297353CC}">
              <c16:uniqueId val="{00000000-E86A-4E64-AF42-0FD109F7084E}"/>
            </c:ext>
          </c:extLst>
        </c:ser>
        <c:ser>
          <c:idx val="1"/>
          <c:order val="1"/>
          <c:tx>
            <c:strRef>
              <c:f>Water!$D$11:$E$11</c:f>
              <c:strCache>
                <c:ptCount val="2"/>
                <c:pt idx="0">
                  <c:v>HH with access to water infrastructure &gt; or = to RDP standards</c:v>
                </c:pt>
              </c:strCache>
            </c:strRef>
          </c:tx>
          <c:invertIfNegative val="0"/>
          <c:cat>
            <c:numRef>
              <c:f>Water!$F$8:$S$8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Water!$F$10:$S$10</c:f>
              <c:numCache>
                <c:formatCode>#\ ###\ ##0</c:formatCode>
                <c:ptCount val="14"/>
                <c:pt idx="0">
                  <c:v>8597873</c:v>
                </c:pt>
                <c:pt idx="1">
                  <c:v>7822537</c:v>
                </c:pt>
                <c:pt idx="2">
                  <c:v>9512653</c:v>
                </c:pt>
                <c:pt idx="3">
                  <c:v>8929901</c:v>
                </c:pt>
                <c:pt idx="4">
                  <c:v>10046553</c:v>
                </c:pt>
                <c:pt idx="5">
                  <c:v>10602799</c:v>
                </c:pt>
                <c:pt idx="6">
                  <c:v>10690262</c:v>
                </c:pt>
                <c:pt idx="7">
                  <c:v>11193306</c:v>
                </c:pt>
                <c:pt idx="8">
                  <c:v>11569799</c:v>
                </c:pt>
                <c:pt idx="9">
                  <c:v>12053558</c:v>
                </c:pt>
                <c:pt idx="10">
                  <c:v>12517033</c:v>
                </c:pt>
                <c:pt idx="11">
                  <c:v>12868254</c:v>
                </c:pt>
                <c:pt idx="12">
                  <c:v>13387750</c:v>
                </c:pt>
                <c:pt idx="13">
                  <c:v>13669134</c:v>
                </c:pt>
              </c:numCache>
            </c:numRef>
          </c:val>
          <c:extLst>
            <c:ext xmlns:c16="http://schemas.microsoft.com/office/drawing/2014/chart" uri="{C3380CC4-5D6E-409C-BE32-E72D297353CC}">
              <c16:uniqueId val="{00000001-E86A-4E64-AF42-0FD109F7084E}"/>
            </c:ext>
          </c:extLst>
        </c:ser>
        <c:dLbls>
          <c:showLegendKey val="0"/>
          <c:showVal val="0"/>
          <c:showCatName val="0"/>
          <c:showSerName val="0"/>
          <c:showPercent val="0"/>
          <c:showBubbleSize val="0"/>
        </c:dLbls>
        <c:gapWidth val="150"/>
        <c:axId val="409654280"/>
        <c:axId val="409657416"/>
      </c:barChart>
      <c:catAx>
        <c:axId val="409654280"/>
        <c:scaling>
          <c:orientation val="minMax"/>
        </c:scaling>
        <c:delete val="0"/>
        <c:axPos val="b"/>
        <c:numFmt formatCode="General" sourceLinked="1"/>
        <c:majorTickMark val="none"/>
        <c:minorTickMark val="none"/>
        <c:tickLblPos val="nextTo"/>
        <c:txPr>
          <a:bodyPr/>
          <a:lstStyle/>
          <a:p>
            <a:pPr>
              <a:defRPr lang="en-ZA"/>
            </a:pPr>
            <a:endParaRPr lang="en-US"/>
          </a:p>
        </c:txPr>
        <c:crossAx val="409657416"/>
        <c:crosses val="autoZero"/>
        <c:auto val="1"/>
        <c:lblAlgn val="ctr"/>
        <c:lblOffset val="100"/>
        <c:noMultiLvlLbl val="0"/>
      </c:catAx>
      <c:valAx>
        <c:axId val="409657416"/>
        <c:scaling>
          <c:orientation val="minMax"/>
        </c:scaling>
        <c:delete val="0"/>
        <c:axPos val="l"/>
        <c:majorGridlines>
          <c:spPr>
            <a:ln>
              <a:prstDash val="dash"/>
            </a:ln>
          </c:spPr>
        </c:majorGridlines>
        <c:numFmt formatCode="#\ ###\ ##0" sourceLinked="1"/>
        <c:majorTickMark val="none"/>
        <c:minorTickMark val="none"/>
        <c:tickLblPos val="nextTo"/>
        <c:spPr>
          <a:ln w="9525">
            <a:noFill/>
          </a:ln>
        </c:spPr>
        <c:txPr>
          <a:bodyPr/>
          <a:lstStyle/>
          <a:p>
            <a:pPr>
              <a:defRPr lang="en-ZA"/>
            </a:pPr>
            <a:endParaRPr lang="en-US"/>
          </a:p>
        </c:txPr>
        <c:crossAx val="409654280"/>
        <c:crosses val="autoZero"/>
        <c:crossBetween val="between"/>
      </c:valAx>
    </c:plotArea>
    <c:legend>
      <c:legendPos val="b"/>
      <c:overlay val="0"/>
      <c:txPr>
        <a:bodyPr/>
        <a:lstStyle/>
        <a:p>
          <a:pPr>
            <a:defRPr lang="en-ZA"/>
          </a:pPr>
          <a:endParaRPr lang="en-US"/>
        </a:p>
      </c:txPr>
    </c:legend>
    <c:plotVisOnly val="1"/>
    <c:dispBlanksAs val="gap"/>
    <c:showDLblsOverMax val="0"/>
  </c:chart>
  <c:spPr>
    <a:solidFill>
      <a:schemeClr val="bg1"/>
    </a:solidFill>
    <a:ln>
      <a:noFill/>
    </a:ln>
  </c:spPr>
  <c:txPr>
    <a:bodyPr/>
    <a:lstStyle/>
    <a:p>
      <a:pPr>
        <a:defRPr sz="800">
          <a:latin typeface="Arial Narrow"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REAL PER CAPITA GDP GROWTH </a:t>
            </a:r>
          </a:p>
        </c:rich>
      </c:tx>
      <c:layout>
        <c:manualLayout>
          <c:xMode val="edge"/>
          <c:yMode val="edge"/>
          <c:x val="4.0086669295578761E-2"/>
          <c:y val="3.1249877187811415E-2"/>
        </c:manualLayout>
      </c:layout>
      <c:overlay val="0"/>
      <c:spPr>
        <a:noFill/>
        <a:ln w="25400">
          <a:noFill/>
        </a:ln>
      </c:spPr>
    </c:title>
    <c:autoTitleDeleted val="0"/>
    <c:plotArea>
      <c:layout>
        <c:manualLayout>
          <c:layoutTarget val="inner"/>
          <c:xMode val="edge"/>
          <c:yMode val="edge"/>
          <c:x val="7.1505958829902488E-2"/>
          <c:y val="0.18750000000000044"/>
          <c:w val="0.89815817984832058"/>
          <c:h val="0.68437499999999996"/>
        </c:manualLayout>
      </c:layout>
      <c:lineChart>
        <c:grouping val="stacked"/>
        <c:varyColors val="0"/>
        <c:ser>
          <c:idx val="0"/>
          <c:order val="0"/>
          <c:tx>
            <c:strRef>
              <c:f>'GDP per Capita '!$E$8</c:f>
              <c:strCache>
                <c:ptCount val="1"/>
                <c:pt idx="0">
                  <c:v>%</c:v>
                </c:pt>
              </c:strCache>
            </c:strRef>
          </c:tx>
          <c:spPr>
            <a:ln w="25400">
              <a:solidFill>
                <a:srgbClr val="FF6600"/>
              </a:solidFill>
              <a:prstDash val="solid"/>
            </a:ln>
          </c:spPr>
          <c:marker>
            <c:symbol val="none"/>
          </c:marker>
          <c:cat>
            <c:strRef>
              <c:f>'GDP per Capita '!$F$7:$AA$7</c:f>
              <c:strCach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strCache>
            </c:strRef>
          </c:cat>
          <c:val>
            <c:numRef>
              <c:f>'GDP per Capita '!$F$8:$AA$8</c:f>
              <c:numCache>
                <c:formatCode>0.0</c:formatCode>
                <c:ptCount val="22"/>
                <c:pt idx="0">
                  <c:v>1.092341810975328</c:v>
                </c:pt>
                <c:pt idx="1">
                  <c:v>0.97551868188288093</c:v>
                </c:pt>
                <c:pt idx="2">
                  <c:v>2.1401992280490889</c:v>
                </c:pt>
                <c:pt idx="3">
                  <c:v>0.51365600887018914</c:v>
                </c:pt>
                <c:pt idx="4">
                  <c:v>-1.5758667266996818</c:v>
                </c:pt>
                <c:pt idx="5">
                  <c:v>0.24245196706313976</c:v>
                </c:pt>
                <c:pt idx="6">
                  <c:v>2.0741112581572629</c:v>
                </c:pt>
                <c:pt idx="7">
                  <c:v>0.76003129540627157</c:v>
                </c:pt>
                <c:pt idx="8">
                  <c:v>1.603993344425958</c:v>
                </c:pt>
                <c:pt idx="9">
                  <c:v>1.0677322153805902</c:v>
                </c:pt>
                <c:pt idx="10">
                  <c:v>2.847451768315068</c:v>
                </c:pt>
                <c:pt idx="11">
                  <c:v>3.6340720512551217</c:v>
                </c:pt>
                <c:pt idx="12">
                  <c:v>4.0458092632005727</c:v>
                </c:pt>
                <c:pt idx="13">
                  <c:v>3.9021254212853851</c:v>
                </c:pt>
                <c:pt idx="14">
                  <c:v>1.8524768440394412</c:v>
                </c:pt>
                <c:pt idx="15">
                  <c:v>-2.7318581790066632</c:v>
                </c:pt>
                <c:pt idx="16">
                  <c:v>1.8641886521064466</c:v>
                </c:pt>
                <c:pt idx="17">
                  <c:v>2.0567415417200863</c:v>
                </c:pt>
                <c:pt idx="18" formatCode="_ * #\ ##0.0_ ;_ * \-#\ ##0.0_ ;_ * &quot;-&quot;??_ ;_ @_ ">
                  <c:v>1</c:v>
                </c:pt>
                <c:pt idx="19" formatCode="_ * #\ ##0.0_ ;_ * \-#\ ##0.0_ ;_ * &quot;-&quot;??_ ;_ @_ ">
                  <c:v>1.1000000000000001</c:v>
                </c:pt>
                <c:pt idx="20" formatCode="_ * #\ ##0.0_ ;_ * \-#\ ##0.0_ ;_ * &quot;-&quot;??_ ;_ @_ ">
                  <c:v>0.3</c:v>
                </c:pt>
                <c:pt idx="21" formatCode="_ * #\ ##0.0_ ;_ * \-#\ ##0.0_ ;_ * &quot;-&quot;??_ ;_ @_ ">
                  <c:v>-0.1</c:v>
                </c:pt>
              </c:numCache>
            </c:numRef>
          </c:val>
          <c:smooth val="0"/>
          <c:extLst>
            <c:ext xmlns:c16="http://schemas.microsoft.com/office/drawing/2014/chart" uri="{C3380CC4-5D6E-409C-BE32-E72D297353CC}">
              <c16:uniqueId val="{00000000-24C7-42AF-9BE1-3A97D36DCF5D}"/>
            </c:ext>
          </c:extLst>
        </c:ser>
        <c:dLbls>
          <c:showLegendKey val="0"/>
          <c:showVal val="0"/>
          <c:showCatName val="0"/>
          <c:showSerName val="0"/>
          <c:showPercent val="0"/>
          <c:showBubbleSize val="0"/>
        </c:dLbls>
        <c:smooth val="0"/>
        <c:axId val="399074968"/>
        <c:axId val="399075360"/>
      </c:lineChart>
      <c:catAx>
        <c:axId val="399074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5360"/>
        <c:crossesAt val="-4"/>
        <c:auto val="1"/>
        <c:lblAlgn val="ctr"/>
        <c:lblOffset val="100"/>
        <c:tickLblSkip val="1"/>
        <c:tickMarkSkip val="1"/>
        <c:noMultiLvlLbl val="0"/>
      </c:catAx>
      <c:valAx>
        <c:axId val="399075360"/>
        <c:scaling>
          <c:orientation val="minMax"/>
        </c:scaling>
        <c:delete val="0"/>
        <c:axPos val="l"/>
        <c:majorGridlines>
          <c:spPr>
            <a:ln w="3175">
              <a:solidFill>
                <a:srgbClr val="969696"/>
              </a:solidFill>
              <a:prstDash val="sysDash"/>
            </a:ln>
          </c:spPr>
        </c:majorGridlines>
        <c:title>
          <c:tx>
            <c:rich>
              <a:bodyPr/>
              <a:lstStyle/>
              <a:p>
                <a:pPr>
                  <a:defRPr lang="en-US" sz="800" b="1" i="0" u="none" strike="noStrike" baseline="0">
                    <a:solidFill>
                      <a:srgbClr val="000000"/>
                    </a:solidFill>
                    <a:latin typeface="Arial"/>
                    <a:ea typeface="Arial"/>
                    <a:cs typeface="Arial"/>
                  </a:defRPr>
                </a:pPr>
                <a:r>
                  <a:rPr lang="en-US"/>
                  <a:t>%</a:t>
                </a:r>
              </a:p>
            </c:rich>
          </c:tx>
          <c:layout>
            <c:manualLayout>
              <c:xMode val="edge"/>
              <c:yMode val="edge"/>
              <c:x val="1.7334707151912959E-2"/>
              <c:y val="0.509374991227700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4968"/>
        <c:crossesAt val="1"/>
        <c:crossBetween val="midCat"/>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Sanitation!$D$9:$E$9</c:f>
              <c:strCache>
                <c:ptCount val="2"/>
                <c:pt idx="0">
                  <c:v>Number of households</c:v>
                </c:pt>
              </c:strCache>
            </c:strRef>
          </c:tx>
          <c:spPr>
            <a:solidFill>
              <a:srgbClr val="FCD5B5"/>
            </a:solidFill>
          </c:spPr>
          <c:invertIfNegative val="0"/>
          <c:cat>
            <c:strRef>
              <c:f>Sanitation!$F$8:$S$8</c:f>
              <c:strCach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strCache>
            </c:strRef>
          </c:cat>
          <c:val>
            <c:numRef>
              <c:f>Sanitation!$F$9:$S$9</c:f>
              <c:numCache>
                <c:formatCode>#\ ###\ ##0</c:formatCode>
                <c:ptCount val="14"/>
                <c:pt idx="0">
                  <c:v>10814219</c:v>
                </c:pt>
                <c:pt idx="1">
                  <c:v>11113079</c:v>
                </c:pt>
                <c:pt idx="2">
                  <c:v>11425278</c:v>
                </c:pt>
                <c:pt idx="3">
                  <c:v>11753563</c:v>
                </c:pt>
                <c:pt idx="4">
                  <c:v>12106894</c:v>
                </c:pt>
                <c:pt idx="5">
                  <c:v>12485206</c:v>
                </c:pt>
                <c:pt idx="6">
                  <c:v>12885628</c:v>
                </c:pt>
                <c:pt idx="7">
                  <c:v>13302549</c:v>
                </c:pt>
                <c:pt idx="8">
                  <c:v>13730737</c:v>
                </c:pt>
                <c:pt idx="9">
                  <c:v>14173334</c:v>
                </c:pt>
                <c:pt idx="10">
                  <c:v>14631096</c:v>
                </c:pt>
                <c:pt idx="11">
                  <c:v>15106552</c:v>
                </c:pt>
                <c:pt idx="12">
                  <c:v>15602251</c:v>
                </c:pt>
                <c:pt idx="13">
                  <c:v>16121989.4</c:v>
                </c:pt>
              </c:numCache>
            </c:numRef>
          </c:val>
          <c:extLst>
            <c:ext xmlns:c16="http://schemas.microsoft.com/office/drawing/2014/chart" uri="{C3380CC4-5D6E-409C-BE32-E72D297353CC}">
              <c16:uniqueId val="{00000000-B3DB-4E4B-8B2C-F73D73AF93CE}"/>
            </c:ext>
          </c:extLst>
        </c:ser>
        <c:ser>
          <c:idx val="1"/>
          <c:order val="1"/>
          <c:tx>
            <c:strRef>
              <c:f>Sanitation!$D$10:$E$10</c:f>
              <c:strCache>
                <c:ptCount val="2"/>
                <c:pt idx="0">
                  <c:v>HH with access to sanitation</c:v>
                </c:pt>
              </c:strCache>
            </c:strRef>
          </c:tx>
          <c:spPr>
            <a:solidFill>
              <a:srgbClr val="F8A662"/>
            </a:solidFill>
          </c:spPr>
          <c:invertIfNegative val="0"/>
          <c:cat>
            <c:strRef>
              <c:f>Sanitation!$F$8:$S$8</c:f>
              <c:strCach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strCache>
            </c:strRef>
          </c:cat>
          <c:val>
            <c:numRef>
              <c:f>Sanitation!$F$10:$S$10</c:f>
              <c:numCache>
                <c:formatCode>#\ ###\ ##0</c:formatCode>
                <c:ptCount val="14"/>
                <c:pt idx="0">
                  <c:v>6735615</c:v>
                </c:pt>
                <c:pt idx="1">
                  <c:v>7151254</c:v>
                </c:pt>
                <c:pt idx="2">
                  <c:v>7577590</c:v>
                </c:pt>
                <c:pt idx="3">
                  <c:v>7860980</c:v>
                </c:pt>
                <c:pt idx="4">
                  <c:v>8277386</c:v>
                </c:pt>
                <c:pt idx="5">
                  <c:v>8729585</c:v>
                </c:pt>
                <c:pt idx="6">
                  <c:v>8984900</c:v>
                </c:pt>
                <c:pt idx="7">
                  <c:v>9634325</c:v>
                </c:pt>
                <c:pt idx="8">
                  <c:v>10014372</c:v>
                </c:pt>
                <c:pt idx="9">
                  <c:v>10598549</c:v>
                </c:pt>
                <c:pt idx="10">
                  <c:v>11041137</c:v>
                </c:pt>
                <c:pt idx="11">
                  <c:v>11714054</c:v>
                </c:pt>
                <c:pt idx="12">
                  <c:v>12360793</c:v>
                </c:pt>
                <c:pt idx="13">
                  <c:v>12881883</c:v>
                </c:pt>
              </c:numCache>
            </c:numRef>
          </c:val>
          <c:extLst>
            <c:ext xmlns:c16="http://schemas.microsoft.com/office/drawing/2014/chart" uri="{C3380CC4-5D6E-409C-BE32-E72D297353CC}">
              <c16:uniqueId val="{00000001-B3DB-4E4B-8B2C-F73D73AF93CE}"/>
            </c:ext>
          </c:extLst>
        </c:ser>
        <c:dLbls>
          <c:showLegendKey val="0"/>
          <c:showVal val="0"/>
          <c:showCatName val="0"/>
          <c:showSerName val="0"/>
          <c:showPercent val="0"/>
          <c:showBubbleSize val="0"/>
        </c:dLbls>
        <c:gapWidth val="150"/>
        <c:axId val="409649576"/>
        <c:axId val="414989832"/>
      </c:barChart>
      <c:catAx>
        <c:axId val="409649576"/>
        <c:scaling>
          <c:orientation val="minMax"/>
        </c:scaling>
        <c:delete val="0"/>
        <c:axPos val="b"/>
        <c:numFmt formatCode="General" sourceLinked="0"/>
        <c:majorTickMark val="out"/>
        <c:minorTickMark val="none"/>
        <c:tickLblPos val="nextTo"/>
        <c:crossAx val="414989832"/>
        <c:crosses val="autoZero"/>
        <c:auto val="1"/>
        <c:lblAlgn val="ctr"/>
        <c:lblOffset val="100"/>
        <c:noMultiLvlLbl val="0"/>
      </c:catAx>
      <c:valAx>
        <c:axId val="414989832"/>
        <c:scaling>
          <c:orientation val="minMax"/>
        </c:scaling>
        <c:delete val="0"/>
        <c:axPos val="l"/>
        <c:majorGridlines/>
        <c:numFmt formatCode="#\ ###\ ##0" sourceLinked="1"/>
        <c:majorTickMark val="out"/>
        <c:minorTickMark val="none"/>
        <c:tickLblPos val="nextTo"/>
        <c:crossAx val="409649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800" b="1" i="0" u="none" strike="noStrike" baseline="0">
                <a:solidFill>
                  <a:srgbClr val="000000"/>
                </a:solidFill>
                <a:latin typeface="Arial"/>
                <a:ea typeface="Arial"/>
                <a:cs typeface="Arial"/>
              </a:defRPr>
            </a:pPr>
            <a:r>
              <a:rPr lang="en-US"/>
              <a:t>Dwellings</a:t>
            </a:r>
          </a:p>
        </c:rich>
      </c:tx>
      <c:overlay val="0"/>
      <c:spPr>
        <a:noFill/>
        <a:ln w="25400">
          <a:noFill/>
        </a:ln>
      </c:spPr>
    </c:title>
    <c:autoTitleDeleted val="0"/>
    <c:plotArea>
      <c:layout/>
      <c:barChart>
        <c:barDir val="col"/>
        <c:grouping val="clustered"/>
        <c:varyColors val="0"/>
        <c:ser>
          <c:idx val="1"/>
          <c:order val="0"/>
          <c:tx>
            <c:strRef>
              <c:f>[18]Dwellings!$D$9</c:f>
              <c:strCache>
                <c:ptCount val="1"/>
                <c:pt idx="0">
                  <c:v>Number of households (HH)</c:v>
                </c:pt>
              </c:strCache>
            </c:strRef>
          </c:tx>
          <c:spPr>
            <a:solidFill>
              <a:srgbClr val="993366"/>
            </a:solidFill>
            <a:ln w="12700">
              <a:solidFill>
                <a:srgbClr val="000000"/>
              </a:solidFill>
              <a:prstDash val="solid"/>
            </a:ln>
          </c:spPr>
          <c:invertIfNegative val="0"/>
          <c:cat>
            <c:numRef>
              <c:f>[18]Dwellings!$E$8:$R$8</c:f>
              <c:numCache>
                <c:formatCode>General</c:formatCode>
                <c:ptCount val="1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numCache>
            </c:numRef>
          </c:cat>
          <c:val>
            <c:numRef>
              <c:f>[18]Dwellings!$E$9:$R$9</c:f>
              <c:numCache>
                <c:formatCode>General</c:formatCode>
                <c:ptCount val="14"/>
                <c:pt idx="0">
                  <c:v>8584556</c:v>
                </c:pt>
                <c:pt idx="2">
                  <c:v>9059606</c:v>
                </c:pt>
                <c:pt idx="3">
                  <c:v>9256706.9999995604</c:v>
                </c:pt>
                <c:pt idx="4">
                  <c:v>9287695.6120841391</c:v>
                </c:pt>
                <c:pt idx="5">
                  <c:v>10770793.000000101</c:v>
                </c:pt>
                <c:pt idx="7">
                  <c:v>11205705</c:v>
                </c:pt>
                <c:pt idx="8">
                  <c:v>11479000</c:v>
                </c:pt>
                <c:pt idx="9">
                  <c:v>12041000</c:v>
                </c:pt>
                <c:pt idx="10">
                  <c:v>12194000</c:v>
                </c:pt>
                <c:pt idx="11">
                  <c:v>12726000</c:v>
                </c:pt>
                <c:pt idx="12">
                  <c:v>12972000</c:v>
                </c:pt>
                <c:pt idx="13">
                  <c:v>12500610</c:v>
                </c:pt>
              </c:numCache>
            </c:numRef>
          </c:val>
          <c:extLst>
            <c:ext xmlns:c16="http://schemas.microsoft.com/office/drawing/2014/chart" uri="{C3380CC4-5D6E-409C-BE32-E72D297353CC}">
              <c16:uniqueId val="{00000000-6C93-433B-8B02-CB2350BD201C}"/>
            </c:ext>
          </c:extLst>
        </c:ser>
        <c:ser>
          <c:idx val="0"/>
          <c:order val="1"/>
          <c:tx>
            <c:strRef>
              <c:f>[18]Dwellings!$D$10</c:f>
              <c:strCache>
                <c:ptCount val="1"/>
                <c:pt idx="0">
                  <c:v>HH in formal dwelling</c:v>
                </c:pt>
              </c:strCache>
            </c:strRef>
          </c:tx>
          <c:spPr>
            <a:solidFill>
              <a:srgbClr val="9999FF"/>
            </a:solidFill>
            <a:ln w="12700">
              <a:solidFill>
                <a:srgbClr val="000000"/>
              </a:solidFill>
              <a:prstDash val="solid"/>
            </a:ln>
          </c:spPr>
          <c:invertIfNegative val="0"/>
          <c:cat>
            <c:numRef>
              <c:f>[18]Dwellings!$E$8:$R$8</c:f>
              <c:numCache>
                <c:formatCode>General</c:formatCode>
                <c:ptCount val="1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numCache>
            </c:numRef>
          </c:cat>
          <c:val>
            <c:numRef>
              <c:f>[18]Dwellings!$E$10:$R$10</c:f>
              <c:numCache>
                <c:formatCode>General</c:formatCode>
                <c:ptCount val="14"/>
                <c:pt idx="2">
                  <c:v>5794386</c:v>
                </c:pt>
                <c:pt idx="3">
                  <c:v>6832118.9999995902</c:v>
                </c:pt>
                <c:pt idx="4">
                  <c:v>6624272.6928029303</c:v>
                </c:pt>
                <c:pt idx="5">
                  <c:v>7957934.0000000903</c:v>
                </c:pt>
                <c:pt idx="7">
                  <c:v>7680422</c:v>
                </c:pt>
                <c:pt idx="8">
                  <c:v>8349000</c:v>
                </c:pt>
                <c:pt idx="9">
                  <c:v>8865000</c:v>
                </c:pt>
                <c:pt idx="10">
                  <c:v>8974000</c:v>
                </c:pt>
                <c:pt idx="11">
                  <c:v>8878000</c:v>
                </c:pt>
                <c:pt idx="12">
                  <c:v>9111000</c:v>
                </c:pt>
                <c:pt idx="13">
                  <c:v>8812930</c:v>
                </c:pt>
              </c:numCache>
            </c:numRef>
          </c:val>
          <c:extLst>
            <c:ext xmlns:c16="http://schemas.microsoft.com/office/drawing/2014/chart" uri="{C3380CC4-5D6E-409C-BE32-E72D297353CC}">
              <c16:uniqueId val="{00000001-6C93-433B-8B02-CB2350BD201C}"/>
            </c:ext>
          </c:extLst>
        </c:ser>
        <c:dLbls>
          <c:showLegendKey val="0"/>
          <c:showVal val="0"/>
          <c:showCatName val="0"/>
          <c:showSerName val="0"/>
          <c:showPercent val="0"/>
          <c:showBubbleSize val="0"/>
        </c:dLbls>
        <c:gapWidth val="150"/>
        <c:axId val="422028224"/>
        <c:axId val="422026264"/>
      </c:barChart>
      <c:lineChart>
        <c:grouping val="standard"/>
        <c:varyColors val="0"/>
        <c:ser>
          <c:idx val="2"/>
          <c:order val="2"/>
          <c:tx>
            <c:strRef>
              <c:f>[18]Dwellings!$D$20</c:f>
              <c:strCache>
                <c:ptCount val="1"/>
                <c:pt idx="0">
                  <c:v>Subsidised Housing units completed / in progress</c:v>
                </c:pt>
              </c:strCache>
            </c:strRef>
          </c:tx>
          <c:spPr>
            <a:ln w="25400">
              <a:solidFill>
                <a:srgbClr val="FFFF00"/>
              </a:solidFill>
              <a:prstDash val="solid"/>
            </a:ln>
          </c:spPr>
          <c:marker>
            <c:symbol val="square"/>
            <c:size val="7"/>
            <c:spPr>
              <a:noFill/>
              <a:ln w="9525">
                <a:noFill/>
              </a:ln>
            </c:spPr>
          </c:marker>
          <c:cat>
            <c:numRef>
              <c:f>[18]Dwellings!$E$8:$R$8</c:f>
              <c:numCache>
                <c:formatCode>General</c:formatCode>
                <c:ptCount val="1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numCache>
            </c:numRef>
          </c:cat>
          <c:val>
            <c:numRef>
              <c:f>[1]Dwellings!#REF!</c:f>
              <c:numCache>
                <c:formatCode>General</c:formatCode>
                <c:ptCount val="1"/>
                <c:pt idx="0">
                  <c:v>1</c:v>
                </c:pt>
              </c:numCache>
            </c:numRef>
          </c:val>
          <c:smooth val="1"/>
          <c:extLst>
            <c:ext xmlns:c16="http://schemas.microsoft.com/office/drawing/2014/chart" uri="{C3380CC4-5D6E-409C-BE32-E72D297353CC}">
              <c16:uniqueId val="{00000002-6C93-433B-8B02-CB2350BD201C}"/>
            </c:ext>
          </c:extLst>
        </c:ser>
        <c:dLbls>
          <c:showLegendKey val="0"/>
          <c:showVal val="0"/>
          <c:showCatName val="0"/>
          <c:showSerName val="0"/>
          <c:showPercent val="0"/>
          <c:showBubbleSize val="0"/>
        </c:dLbls>
        <c:marker val="1"/>
        <c:smooth val="0"/>
        <c:axId val="422021952"/>
        <c:axId val="422027832"/>
      </c:lineChart>
      <c:catAx>
        <c:axId val="4220282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lang="en-US" sz="800" b="0" i="0" u="none" strike="noStrike" baseline="0">
                <a:solidFill>
                  <a:srgbClr val="000000"/>
                </a:solidFill>
                <a:latin typeface="Arial"/>
                <a:ea typeface="Arial"/>
                <a:cs typeface="Arial"/>
              </a:defRPr>
            </a:pPr>
            <a:endParaRPr lang="en-US"/>
          </a:p>
        </c:txPr>
        <c:crossAx val="422026264"/>
        <c:crosses val="autoZero"/>
        <c:auto val="0"/>
        <c:lblAlgn val="ctr"/>
        <c:lblOffset val="100"/>
        <c:tickLblSkip val="1"/>
        <c:tickMarkSkip val="1"/>
        <c:noMultiLvlLbl val="0"/>
      </c:catAx>
      <c:valAx>
        <c:axId val="422026264"/>
        <c:scaling>
          <c:orientation val="minMax"/>
        </c:scaling>
        <c:delete val="0"/>
        <c:axPos val="l"/>
        <c:majorGridlines>
          <c:spPr>
            <a:ln w="3175">
              <a:solidFill>
                <a:srgbClr val="000000"/>
              </a:solidFill>
              <a:prstDash val="solid"/>
            </a:ln>
          </c:spPr>
        </c:majorGridlines>
        <c:title>
          <c:tx>
            <c:rich>
              <a:bodyPr/>
              <a:lstStyle/>
              <a:p>
                <a:pPr>
                  <a:defRPr lang="en-US" sz="800" b="0"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lang="en-US" sz="800" b="0" i="0" u="none" strike="noStrike" baseline="0">
                <a:solidFill>
                  <a:srgbClr val="000000"/>
                </a:solidFill>
                <a:latin typeface="Arial"/>
                <a:ea typeface="Arial"/>
                <a:cs typeface="Arial"/>
              </a:defRPr>
            </a:pPr>
            <a:endParaRPr lang="en-US"/>
          </a:p>
        </c:txPr>
        <c:crossAx val="422028224"/>
        <c:crosses val="autoZero"/>
        <c:crossBetween val="between"/>
      </c:valAx>
      <c:catAx>
        <c:axId val="422021952"/>
        <c:scaling>
          <c:orientation val="minMax"/>
        </c:scaling>
        <c:delete val="1"/>
        <c:axPos val="b"/>
        <c:numFmt formatCode="General" sourceLinked="1"/>
        <c:majorTickMark val="out"/>
        <c:minorTickMark val="none"/>
        <c:tickLblPos val="none"/>
        <c:crossAx val="422027832"/>
        <c:crosses val="autoZero"/>
        <c:auto val="0"/>
        <c:lblAlgn val="ctr"/>
        <c:lblOffset val="100"/>
        <c:noMultiLvlLbl val="0"/>
      </c:catAx>
      <c:valAx>
        <c:axId val="422027832"/>
        <c:scaling>
          <c:orientation val="minMax"/>
        </c:scaling>
        <c:delete val="1"/>
        <c:axPos val="l"/>
        <c:numFmt formatCode="General" sourceLinked="1"/>
        <c:majorTickMark val="out"/>
        <c:minorTickMark val="none"/>
        <c:tickLblPos val="none"/>
        <c:crossAx val="422021952"/>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lang="en-US"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89" r="0.75000000000000189"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 b="1" i="0" u="none" strike="noStrike" baseline="0">
                <a:solidFill>
                  <a:srgbClr val="000000"/>
                </a:solidFill>
                <a:latin typeface="Arial"/>
                <a:ea typeface="Arial"/>
                <a:cs typeface="Arial"/>
              </a:defRPr>
            </a:pPr>
            <a:r>
              <a:rPr lang="en-US"/>
              <a:t>Access to electricity</a:t>
            </a:r>
          </a:p>
        </c:rich>
      </c:tx>
      <c:overlay val="0"/>
      <c:spPr>
        <a:noFill/>
        <a:ln w="25400">
          <a:noFill/>
        </a:ln>
      </c:spPr>
    </c:title>
    <c:autoTitleDeleted val="0"/>
    <c:plotArea>
      <c:layout/>
      <c:lineChart>
        <c:grouping val="standard"/>
        <c:varyColors val="0"/>
        <c:ser>
          <c:idx val="0"/>
          <c:order val="0"/>
          <c:tx>
            <c:strRef>
              <c:f>[19]electricity!$C$9</c:f>
              <c:strCache>
                <c:ptCount val="1"/>
                <c:pt idx="0">
                  <c:v>Household with access to electricity for lighting</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[19]electricity!$D$8:$P$8</c:f>
              <c:numCache>
                <c:formatCode>General</c:formatCod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numCache>
            </c:numRef>
          </c:cat>
          <c:val>
            <c:numRef>
              <c:f>[19]electricity!$D$9:$P$9</c:f>
              <c:numCache>
                <c:formatCode>General</c:formatCode>
                <c:ptCount val="13"/>
                <c:pt idx="0">
                  <c:v>0.51900000000000002</c:v>
                </c:pt>
                <c:pt idx="2">
                  <c:v>0.57299999999999995</c:v>
                </c:pt>
                <c:pt idx="5">
                  <c:v>0.69499999999999995</c:v>
                </c:pt>
                <c:pt idx="8">
                  <c:v>0.76200000000000001</c:v>
                </c:pt>
                <c:pt idx="9">
                  <c:v>0.77800000000000002</c:v>
                </c:pt>
                <c:pt idx="10">
                  <c:v>0.80200000000000005</c:v>
                </c:pt>
                <c:pt idx="11">
                  <c:v>0.80200000000000005</c:v>
                </c:pt>
              </c:numCache>
            </c:numRef>
          </c:val>
          <c:smooth val="0"/>
          <c:extLst>
            <c:ext xmlns:c16="http://schemas.microsoft.com/office/drawing/2014/chart" uri="{C3380CC4-5D6E-409C-BE32-E72D297353CC}">
              <c16:uniqueId val="{00000000-1C33-4E84-962A-52C1B2C72553}"/>
            </c:ext>
          </c:extLst>
        </c:ser>
        <c:ser>
          <c:idx val="1"/>
          <c:order val="1"/>
          <c:tx>
            <c:strRef>
              <c:f>[19]electricity!$C$11</c:f>
              <c:strCache>
                <c:ptCount val="1"/>
                <c:pt idx="0">
                  <c:v>Total number of households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[19]electricity!$D$8:$P$8</c:f>
              <c:numCache>
                <c:formatCode>General</c:formatCod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numCache>
            </c:numRef>
          </c:cat>
          <c:val>
            <c:numRef>
              <c:f>[19]electricity!$D$11:$P$11</c:f>
              <c:numCache>
                <c:formatCode>General</c:formatCode>
                <c:ptCount val="13"/>
              </c:numCache>
            </c:numRef>
          </c:val>
          <c:smooth val="0"/>
          <c:extLst>
            <c:ext xmlns:c16="http://schemas.microsoft.com/office/drawing/2014/chart" uri="{C3380CC4-5D6E-409C-BE32-E72D297353CC}">
              <c16:uniqueId val="{00000001-1C33-4E84-962A-52C1B2C72553}"/>
            </c:ext>
          </c:extLst>
        </c:ser>
        <c:ser>
          <c:idx val="2"/>
          <c:order val="2"/>
          <c:tx>
            <c:strRef>
              <c:f>[19]electricity!$C$10</c:f>
              <c:strCache>
                <c:ptCount val="1"/>
                <c:pt idx="0">
                  <c:v>Proportion of Households with access to electricity</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[19]electricity!$D$8:$P$8</c:f>
              <c:numCache>
                <c:formatCode>General</c:formatCod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numCache>
            </c:numRef>
          </c:cat>
          <c:val>
            <c:numRef>
              <c:f>[19]electricity!$D$10:$P$10</c:f>
              <c:numCache>
                <c:formatCode>General</c:formatCode>
                <c:ptCount val="13"/>
              </c:numCache>
            </c:numRef>
          </c:val>
          <c:smooth val="0"/>
          <c:extLst>
            <c:ext xmlns:c16="http://schemas.microsoft.com/office/drawing/2014/chart" uri="{C3380CC4-5D6E-409C-BE32-E72D297353CC}">
              <c16:uniqueId val="{00000002-1C33-4E84-962A-52C1B2C72553}"/>
            </c:ext>
          </c:extLst>
        </c:ser>
        <c:dLbls>
          <c:showLegendKey val="0"/>
          <c:showVal val="0"/>
          <c:showCatName val="0"/>
          <c:showSerName val="0"/>
          <c:showPercent val="0"/>
          <c:showBubbleSize val="0"/>
        </c:dLbls>
        <c:marker val="1"/>
        <c:smooth val="0"/>
        <c:axId val="422029400"/>
        <c:axId val="422025088"/>
      </c:lineChart>
      <c:catAx>
        <c:axId val="422029400"/>
        <c:scaling>
          <c:orientation val="minMax"/>
        </c:scaling>
        <c:delete val="0"/>
        <c:axPos val="t"/>
        <c:title>
          <c:tx>
            <c:rich>
              <a:bodyPr/>
              <a:lstStyle/>
              <a:p>
                <a:pPr>
                  <a:defRPr lang="en-US" sz="200" b="0" i="0" u="none" strike="noStrike" baseline="0">
                    <a:solidFill>
                      <a:srgbClr val="000000"/>
                    </a:solidFill>
                    <a:latin typeface="Arial"/>
                    <a:ea typeface="Arial"/>
                    <a:cs typeface="Arial"/>
                  </a:defRPr>
                </a:pPr>
                <a:r>
                  <a:rPr lang="en-US"/>
                  <a:t>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US" sz="200" b="0" i="0" u="none" strike="noStrike" baseline="0">
                <a:solidFill>
                  <a:srgbClr val="000000"/>
                </a:solidFill>
                <a:latin typeface="Arial"/>
                <a:ea typeface="Arial"/>
                <a:cs typeface="Arial"/>
              </a:defRPr>
            </a:pPr>
            <a:endParaRPr lang="en-US"/>
          </a:p>
        </c:txPr>
        <c:crossAx val="422025088"/>
        <c:crosses val="max"/>
        <c:auto val="1"/>
        <c:lblAlgn val="ctr"/>
        <c:lblOffset val="100"/>
        <c:tickLblSkip val="1"/>
        <c:tickMarkSkip val="1"/>
        <c:noMultiLvlLbl val="0"/>
      </c:catAx>
      <c:valAx>
        <c:axId val="422025088"/>
        <c:scaling>
          <c:orientation val="minMax"/>
        </c:scaling>
        <c:delete val="0"/>
        <c:axPos val="l"/>
        <c:majorGridlines>
          <c:spPr>
            <a:ln w="3175">
              <a:solidFill>
                <a:srgbClr val="000000"/>
              </a:solidFill>
              <a:prstDash val="solid"/>
            </a:ln>
          </c:spPr>
        </c:majorGridlines>
        <c:title>
          <c:tx>
            <c:rich>
              <a:bodyPr/>
              <a:lstStyle/>
              <a:p>
                <a:pPr>
                  <a:defRPr lang="en-US" sz="200" b="0" i="0" u="none" strike="noStrike" baseline="0">
                    <a:solidFill>
                      <a:srgbClr val="000000"/>
                    </a:solidFill>
                    <a:latin typeface="Arial"/>
                    <a:ea typeface="Arial"/>
                    <a:cs typeface="Arial"/>
                  </a:defRPr>
                </a:pPr>
                <a:r>
                  <a:rPr lang="en-US"/>
                  <a:t>Number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US" sz="200" b="0" i="0" u="none" strike="noStrike" baseline="0">
                <a:solidFill>
                  <a:srgbClr val="000000"/>
                </a:solidFill>
                <a:latin typeface="Arial"/>
                <a:ea typeface="Arial"/>
                <a:cs typeface="Arial"/>
              </a:defRPr>
            </a:pPr>
            <a:endParaRPr lang="en-US"/>
          </a:p>
        </c:txPr>
        <c:crossAx val="42202940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50" b="0" i="0" u="none" strike="noStrike" baseline="0">
                <a:solidFill>
                  <a:srgbClr val="000000"/>
                </a:solidFill>
                <a:latin typeface="Arial"/>
                <a:ea typeface="Arial"/>
                <a:cs typeface="Arial"/>
              </a:defRPr>
            </a:pPr>
            <a:r>
              <a:rPr lang="en-US"/>
              <a:t>Electricity</a:t>
            </a:r>
          </a:p>
        </c:rich>
      </c:tx>
      <c:overlay val="0"/>
      <c:spPr>
        <a:noFill/>
        <a:ln w="25400">
          <a:noFill/>
        </a:ln>
      </c:spPr>
    </c:title>
    <c:autoTitleDeleted val="0"/>
    <c:plotArea>
      <c:layout/>
      <c:lineChart>
        <c:grouping val="standard"/>
        <c:varyColors val="0"/>
        <c:ser>
          <c:idx val="0"/>
          <c:order val="0"/>
          <c:tx>
            <c:strRef>
              <c:f>[18]Electricity!$D$60</c:f>
              <c:strCache>
                <c:ptCount val="1"/>
                <c:pt idx="0">
                  <c:v>Total number of households</c:v>
                </c:pt>
              </c:strCache>
            </c:strRef>
          </c:tx>
          <c:spPr>
            <a:ln w="12700">
              <a:solidFill>
                <a:srgbClr val="000080"/>
              </a:solidFill>
              <a:prstDash val="solid"/>
            </a:ln>
          </c:spPr>
          <c:marker>
            <c:symbol val="none"/>
          </c:marker>
          <c:cat>
            <c:numRef>
              <c:f>[18]Electricity!$E$59:$P$59</c:f>
              <c:numCache>
                <c:formatCode>General</c:formatCode>
                <c:ptCount val="12"/>
                <c:pt idx="0">
                  <c:v>1995</c:v>
                </c:pt>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[18]Electricity!$E$60:$P$60</c:f>
              <c:numCache>
                <c:formatCode>General</c:formatCode>
                <c:ptCount val="12"/>
                <c:pt idx="0">
                  <c:v>8802000</c:v>
                </c:pt>
                <c:pt idx="1">
                  <c:v>9059571</c:v>
                </c:pt>
                <c:pt idx="2">
                  <c:v>9258000</c:v>
                </c:pt>
                <c:pt idx="3">
                  <c:v>9288000</c:v>
                </c:pt>
                <c:pt idx="4">
                  <c:v>11077100</c:v>
                </c:pt>
                <c:pt idx="5">
                  <c:v>11098642</c:v>
                </c:pt>
                <c:pt idx="6">
                  <c:v>11205705</c:v>
                </c:pt>
                <c:pt idx="7">
                  <c:v>11147900</c:v>
                </c:pt>
                <c:pt idx="8">
                  <c:v>11205706</c:v>
                </c:pt>
                <c:pt idx="9">
                  <c:v>11634817</c:v>
                </c:pt>
                <c:pt idx="10">
                  <c:v>12726000</c:v>
                </c:pt>
                <c:pt idx="11">
                  <c:v>12980520</c:v>
                </c:pt>
              </c:numCache>
            </c:numRef>
          </c:val>
          <c:smooth val="0"/>
          <c:extLst>
            <c:ext xmlns:c16="http://schemas.microsoft.com/office/drawing/2014/chart" uri="{C3380CC4-5D6E-409C-BE32-E72D297353CC}">
              <c16:uniqueId val="{00000000-7133-4CB8-BAD4-70CD3980347D}"/>
            </c:ext>
          </c:extLst>
        </c:ser>
        <c:ser>
          <c:idx val="1"/>
          <c:order val="1"/>
          <c:tx>
            <c:strRef>
              <c:f>[18]Electricity!$D$61</c:f>
              <c:strCache>
                <c:ptCount val="1"/>
                <c:pt idx="0">
                  <c:v>HH with access to electricity</c:v>
                </c:pt>
              </c:strCache>
            </c:strRef>
          </c:tx>
          <c:spPr>
            <a:ln w="12700">
              <a:solidFill>
                <a:srgbClr val="FF00FF"/>
              </a:solidFill>
              <a:prstDash val="solid"/>
            </a:ln>
          </c:spPr>
          <c:marker>
            <c:symbol val="none"/>
          </c:marker>
          <c:cat>
            <c:numRef>
              <c:f>[18]Electricity!$E$59:$P$59</c:f>
              <c:numCache>
                <c:formatCode>General</c:formatCode>
                <c:ptCount val="12"/>
                <c:pt idx="0">
                  <c:v>1995</c:v>
                </c:pt>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[18]Electricity!$E$61:$P$61</c:f>
              <c:numCache>
                <c:formatCode>General</c:formatCode>
                <c:ptCount val="12"/>
                <c:pt idx="0">
                  <c:v>4477400</c:v>
                </c:pt>
                <c:pt idx="1">
                  <c:v>4900694</c:v>
                </c:pt>
                <c:pt idx="2">
                  <c:v>5544968</c:v>
                </c:pt>
                <c:pt idx="3">
                  <c:v>5801242</c:v>
                </c:pt>
                <c:pt idx="4">
                  <c:v>6774207</c:v>
                </c:pt>
                <c:pt idx="5">
                  <c:v>6777997</c:v>
                </c:pt>
                <c:pt idx="6">
                  <c:v>7735748</c:v>
                </c:pt>
                <c:pt idx="7">
                  <c:v>8459895</c:v>
                </c:pt>
                <c:pt idx="8">
                  <c:v>8571043</c:v>
                </c:pt>
                <c:pt idx="9">
                  <c:v>8677400</c:v>
                </c:pt>
                <c:pt idx="10">
                  <c:v>9508000</c:v>
                </c:pt>
                <c:pt idx="11">
                  <c:v>9563987</c:v>
                </c:pt>
              </c:numCache>
            </c:numRef>
          </c:val>
          <c:smooth val="0"/>
          <c:extLst>
            <c:ext xmlns:c16="http://schemas.microsoft.com/office/drawing/2014/chart" uri="{C3380CC4-5D6E-409C-BE32-E72D297353CC}">
              <c16:uniqueId val="{00000001-7133-4CB8-BAD4-70CD3980347D}"/>
            </c:ext>
          </c:extLst>
        </c:ser>
        <c:ser>
          <c:idx val="2"/>
          <c:order val="2"/>
          <c:tx>
            <c:strRef>
              <c:f>[18]Electricity!$D$63</c:f>
              <c:strCache>
                <c:ptCount val="1"/>
                <c:pt idx="0">
                  <c:v>New electrical connections</c:v>
                </c:pt>
              </c:strCache>
            </c:strRef>
          </c:tx>
          <c:spPr>
            <a:ln w="12700">
              <a:solidFill>
                <a:srgbClr val="FFFF00"/>
              </a:solidFill>
              <a:prstDash val="solid"/>
            </a:ln>
          </c:spPr>
          <c:marker>
            <c:symbol val="none"/>
          </c:marker>
          <c:cat>
            <c:numRef>
              <c:f>[18]Electricity!$E$59:$P$59</c:f>
              <c:numCache>
                <c:formatCode>General</c:formatCode>
                <c:ptCount val="12"/>
                <c:pt idx="0">
                  <c:v>1995</c:v>
                </c:pt>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[18]Electricity!$E$63:$P$63</c:f>
              <c:numCache>
                <c:formatCode>General</c:formatCode>
                <c:ptCount val="12"/>
                <c:pt idx="1">
                  <c:v>932762</c:v>
                </c:pt>
                <c:pt idx="2">
                  <c:v>1432073</c:v>
                </c:pt>
                <c:pt idx="3">
                  <c:v>1859499</c:v>
                </c:pt>
                <c:pt idx="4">
                  <c:v>2302789</c:v>
                </c:pt>
                <c:pt idx="5">
                  <c:v>2699808</c:v>
                </c:pt>
                <c:pt idx="6">
                  <c:v>3036726</c:v>
                </c:pt>
                <c:pt idx="7">
                  <c:v>3375298</c:v>
                </c:pt>
                <c:pt idx="8">
                  <c:v>3654060</c:v>
                </c:pt>
                <c:pt idx="9">
                  <c:v>3900899</c:v>
                </c:pt>
                <c:pt idx="10">
                  <c:v>4124912</c:v>
                </c:pt>
                <c:pt idx="11">
                  <c:v>4283396</c:v>
                </c:pt>
              </c:numCache>
            </c:numRef>
          </c:val>
          <c:smooth val="0"/>
          <c:extLst>
            <c:ext xmlns:c16="http://schemas.microsoft.com/office/drawing/2014/chart" uri="{C3380CC4-5D6E-409C-BE32-E72D297353CC}">
              <c16:uniqueId val="{00000002-7133-4CB8-BAD4-70CD3980347D}"/>
            </c:ext>
          </c:extLst>
        </c:ser>
        <c:dLbls>
          <c:showLegendKey val="0"/>
          <c:showVal val="0"/>
          <c:showCatName val="0"/>
          <c:showSerName val="0"/>
          <c:showPercent val="0"/>
          <c:showBubbleSize val="0"/>
        </c:dLbls>
        <c:smooth val="0"/>
        <c:axId val="422018816"/>
        <c:axId val="422029792"/>
      </c:lineChart>
      <c:catAx>
        <c:axId val="422018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US" sz="150" b="0" i="0" u="none" strike="noStrike" baseline="0">
                <a:solidFill>
                  <a:srgbClr val="000000"/>
                </a:solidFill>
                <a:latin typeface="Arial"/>
                <a:ea typeface="Arial"/>
                <a:cs typeface="Arial"/>
              </a:defRPr>
            </a:pPr>
            <a:endParaRPr lang="en-US"/>
          </a:p>
        </c:txPr>
        <c:crossAx val="422029792"/>
        <c:crosses val="autoZero"/>
        <c:auto val="1"/>
        <c:lblAlgn val="ctr"/>
        <c:lblOffset val="100"/>
        <c:tickLblSkip val="1"/>
        <c:tickMarkSkip val="1"/>
        <c:noMultiLvlLbl val="0"/>
      </c:catAx>
      <c:valAx>
        <c:axId val="422029792"/>
        <c:scaling>
          <c:orientation val="minMax"/>
        </c:scaling>
        <c:delete val="0"/>
        <c:axPos val="l"/>
        <c:majorGridlines>
          <c:spPr>
            <a:ln w="3175">
              <a:solidFill>
                <a:srgbClr val="000000"/>
              </a:solidFill>
              <a:prstDash val="solid"/>
            </a:ln>
          </c:spPr>
        </c:majorGridlines>
        <c:title>
          <c:tx>
            <c:rich>
              <a:bodyPr/>
              <a:lstStyle/>
              <a:p>
                <a:pPr>
                  <a:defRPr lang="en-US" sz="150" b="0" i="0" u="none" strike="noStrike" baseline="0">
                    <a:solidFill>
                      <a:srgbClr val="000000"/>
                    </a:solidFill>
                    <a:latin typeface="Arial"/>
                    <a:ea typeface="Arial"/>
                    <a:cs typeface="Arial"/>
                  </a:defRPr>
                </a:pPr>
                <a:r>
                  <a:rPr lang="en-US"/>
                  <a:t>nu</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US" sz="150" b="0" i="0" u="none" strike="noStrike" baseline="0">
                <a:solidFill>
                  <a:srgbClr val="000000"/>
                </a:solidFill>
                <a:latin typeface="Arial"/>
                <a:ea typeface="Arial"/>
                <a:cs typeface="Arial"/>
              </a:defRPr>
            </a:pPr>
            <a:endParaRPr lang="en-US"/>
          </a:p>
        </c:txPr>
        <c:crossAx val="422018816"/>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lang="en-US"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800" b="1" i="0" u="none" strike="noStrike" baseline="0">
                <a:solidFill>
                  <a:srgbClr val="000000"/>
                </a:solidFill>
                <a:latin typeface="Arial"/>
                <a:ea typeface="Arial"/>
                <a:cs typeface="Arial"/>
              </a:defRPr>
            </a:pPr>
            <a:r>
              <a:rPr lang="en-US"/>
              <a:t>HOUSEHOLDS WITH ACCESS TO ELECTRICITY</a:t>
            </a:r>
          </a:p>
        </c:rich>
      </c:tx>
      <c:layout>
        <c:manualLayout>
          <c:xMode val="edge"/>
          <c:yMode val="edge"/>
          <c:x val="0.14631200511700801"/>
          <c:y val="3.1620553359683785E-2"/>
        </c:manualLayout>
      </c:layout>
      <c:overlay val="0"/>
      <c:spPr>
        <a:noFill/>
        <a:ln w="25400">
          <a:noFill/>
        </a:ln>
      </c:spPr>
    </c:title>
    <c:autoTitleDeleted val="0"/>
    <c:plotArea>
      <c:layout>
        <c:manualLayout>
          <c:layoutTarget val="inner"/>
          <c:xMode val="edge"/>
          <c:yMode val="edge"/>
          <c:x val="0.11487303506650549"/>
          <c:y val="0.15810307193187981"/>
          <c:w val="0.86819830713422064"/>
          <c:h val="0.5098824069803124"/>
        </c:manualLayout>
      </c:layout>
      <c:barChart>
        <c:barDir val="col"/>
        <c:grouping val="clustered"/>
        <c:varyColors val="0"/>
        <c:ser>
          <c:idx val="0"/>
          <c:order val="0"/>
          <c:tx>
            <c:strRef>
              <c:f>Electricity!$D$9</c:f>
              <c:strCache>
                <c:ptCount val="1"/>
                <c:pt idx="0">
                  <c:v>Total number of households</c:v>
                </c:pt>
              </c:strCache>
            </c:strRef>
          </c:tx>
          <c:spPr>
            <a:solidFill>
              <a:srgbClr val="FCD5B5"/>
            </a:solidFill>
            <a:ln w="12700">
              <a:noFill/>
              <a:prstDash val="solid"/>
            </a:ln>
          </c:spPr>
          <c:invertIfNegative val="0"/>
          <c:cat>
            <c:strRef>
              <c:f>Electricity!$E$8:$R$8</c:f>
              <c:strCach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strCache>
            </c:strRef>
          </c:cat>
          <c:val>
            <c:numRef>
              <c:f>Electricity!$E$9:$R$9</c:f>
              <c:numCache>
                <c:formatCode>#\ ###\ ##0</c:formatCode>
                <c:ptCount val="14"/>
                <c:pt idx="0">
                  <c:v>10814220</c:v>
                </c:pt>
                <c:pt idx="1">
                  <c:v>11113078</c:v>
                </c:pt>
                <c:pt idx="2">
                  <c:v>11425278</c:v>
                </c:pt>
                <c:pt idx="3">
                  <c:v>11753564</c:v>
                </c:pt>
                <c:pt idx="4">
                  <c:v>12106893</c:v>
                </c:pt>
                <c:pt idx="5">
                  <c:v>12485207</c:v>
                </c:pt>
                <c:pt idx="6">
                  <c:v>12885627</c:v>
                </c:pt>
                <c:pt idx="7">
                  <c:v>13302549</c:v>
                </c:pt>
                <c:pt idx="8">
                  <c:v>13730738</c:v>
                </c:pt>
                <c:pt idx="9">
                  <c:v>14173335</c:v>
                </c:pt>
                <c:pt idx="10">
                  <c:v>14631095</c:v>
                </c:pt>
                <c:pt idx="11">
                  <c:v>15106553</c:v>
                </c:pt>
                <c:pt idx="12">
                  <c:v>15602251</c:v>
                </c:pt>
                <c:pt idx="13">
                  <c:v>16121989.4</c:v>
                </c:pt>
              </c:numCache>
            </c:numRef>
          </c:val>
          <c:extLst>
            <c:ext xmlns:c16="http://schemas.microsoft.com/office/drawing/2014/chart" uri="{C3380CC4-5D6E-409C-BE32-E72D297353CC}">
              <c16:uniqueId val="{00000000-F2FC-44B2-B222-B27877FF68A5}"/>
            </c:ext>
          </c:extLst>
        </c:ser>
        <c:ser>
          <c:idx val="1"/>
          <c:order val="1"/>
          <c:tx>
            <c:strRef>
              <c:f>Electricity!$D$10</c:f>
              <c:strCache>
                <c:ptCount val="1"/>
                <c:pt idx="0">
                  <c:v>HH with access to electricity</c:v>
                </c:pt>
              </c:strCache>
            </c:strRef>
          </c:tx>
          <c:spPr>
            <a:solidFill>
              <a:srgbClr val="F8A662"/>
            </a:solidFill>
            <a:ln w="12700">
              <a:noFill/>
              <a:prstDash val="solid"/>
            </a:ln>
          </c:spPr>
          <c:invertIfNegative val="0"/>
          <c:cat>
            <c:strRef>
              <c:f>Electricity!$E$8:$R$8</c:f>
              <c:strCach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strCache>
            </c:strRef>
          </c:cat>
          <c:val>
            <c:numRef>
              <c:f>Electricity!$E$10:$R$10</c:f>
              <c:numCache>
                <c:formatCode>#\ ###\ ##0</c:formatCode>
                <c:ptCount val="14"/>
                <c:pt idx="0">
                  <c:v>8319918</c:v>
                </c:pt>
                <c:pt idx="1">
                  <c:v>8721406</c:v>
                </c:pt>
                <c:pt idx="2">
                  <c:v>9226374</c:v>
                </c:pt>
                <c:pt idx="3">
                  <c:v>9496902</c:v>
                </c:pt>
                <c:pt idx="4">
                  <c:v>9741605</c:v>
                </c:pt>
                <c:pt idx="5">
                  <c:v>10205387</c:v>
                </c:pt>
                <c:pt idx="6">
                  <c:v>10507268</c:v>
                </c:pt>
                <c:pt idx="7">
                  <c:v>10990206</c:v>
                </c:pt>
                <c:pt idx="8">
                  <c:v>11385699</c:v>
                </c:pt>
                <c:pt idx="9">
                  <c:v>11863208</c:v>
                </c:pt>
                <c:pt idx="10">
                  <c:v>12382880</c:v>
                </c:pt>
                <c:pt idx="11">
                  <c:v>12868860</c:v>
                </c:pt>
                <c:pt idx="12">
                  <c:v>13403107</c:v>
                </c:pt>
                <c:pt idx="13">
                  <c:v>13776527.4</c:v>
                </c:pt>
              </c:numCache>
            </c:numRef>
          </c:val>
          <c:extLst>
            <c:ext xmlns:c16="http://schemas.microsoft.com/office/drawing/2014/chart" uri="{C3380CC4-5D6E-409C-BE32-E72D297353CC}">
              <c16:uniqueId val="{00000001-F2FC-44B2-B222-B27877FF68A5}"/>
            </c:ext>
          </c:extLst>
        </c:ser>
        <c:ser>
          <c:idx val="2"/>
          <c:order val="2"/>
          <c:tx>
            <c:strRef>
              <c:f>Electricity!$D$11</c:f>
              <c:strCache>
                <c:ptCount val="1"/>
                <c:pt idx="0">
                  <c:v>%</c:v>
                </c:pt>
              </c:strCache>
            </c:strRef>
          </c:tx>
          <c:invertIfNegative val="0"/>
          <c:cat>
            <c:strRef>
              <c:f>Electricity!$E$8:$R$8</c:f>
              <c:strCach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strCache>
            </c:strRef>
          </c:cat>
          <c:val>
            <c:numRef>
              <c:f>Electricity!$E$11:$P$11</c:f>
              <c:numCache>
                <c:formatCode>#\ ##0.0</c:formatCode>
                <c:ptCount val="12"/>
                <c:pt idx="0">
                  <c:v>77.099999999999994</c:v>
                </c:pt>
                <c:pt idx="1">
                  <c:v>78.7</c:v>
                </c:pt>
                <c:pt idx="2">
                  <c:v>80.900000000000006</c:v>
                </c:pt>
                <c:pt idx="3">
                  <c:v>80.900000000000006</c:v>
                </c:pt>
                <c:pt idx="4">
                  <c:v>80.7</c:v>
                </c:pt>
                <c:pt idx="5">
                  <c:v>82</c:v>
                </c:pt>
                <c:pt idx="6">
                  <c:v>81.900000000000006</c:v>
                </c:pt>
                <c:pt idx="7">
                  <c:v>82.7</c:v>
                </c:pt>
                <c:pt idx="8">
                  <c:v>82.9</c:v>
                </c:pt>
                <c:pt idx="9">
                  <c:v>83.8</c:v>
                </c:pt>
                <c:pt idx="10">
                  <c:v>85.3</c:v>
                </c:pt>
                <c:pt idx="11">
                  <c:v>85.4</c:v>
                </c:pt>
              </c:numCache>
            </c:numRef>
          </c:val>
          <c:extLst>
            <c:ext xmlns:c16="http://schemas.microsoft.com/office/drawing/2014/chart" uri="{C3380CC4-5D6E-409C-BE32-E72D297353CC}">
              <c16:uniqueId val="{00000002-F2FC-44B2-B222-B27877FF68A5}"/>
            </c:ext>
          </c:extLst>
        </c:ser>
        <c:dLbls>
          <c:showLegendKey val="0"/>
          <c:showVal val="0"/>
          <c:showCatName val="0"/>
          <c:showSerName val="0"/>
          <c:showPercent val="0"/>
          <c:showBubbleSize val="0"/>
        </c:dLbls>
        <c:gapWidth val="150"/>
        <c:axId val="422022736"/>
        <c:axId val="422030576"/>
      </c:barChart>
      <c:catAx>
        <c:axId val="422022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lang="en-US" sz="800" b="0" i="0" u="none" strike="noStrike" baseline="0">
                <a:solidFill>
                  <a:srgbClr val="000000"/>
                </a:solidFill>
                <a:latin typeface="Arial"/>
                <a:ea typeface="Arial"/>
                <a:cs typeface="Arial"/>
              </a:defRPr>
            </a:pPr>
            <a:endParaRPr lang="en-US"/>
          </a:p>
        </c:txPr>
        <c:crossAx val="422030576"/>
        <c:crosses val="autoZero"/>
        <c:auto val="1"/>
        <c:lblAlgn val="ctr"/>
        <c:lblOffset val="100"/>
        <c:tickLblSkip val="1"/>
        <c:tickMarkSkip val="1"/>
        <c:noMultiLvlLbl val="0"/>
      </c:catAx>
      <c:valAx>
        <c:axId val="422030576"/>
        <c:scaling>
          <c:orientation val="minMax"/>
          <c:min val="0"/>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number</a:t>
                </a:r>
              </a:p>
            </c:rich>
          </c:tx>
          <c:layout>
            <c:manualLayout>
              <c:xMode val="edge"/>
              <c:yMode val="edge"/>
              <c:x val="1.934699339053212E-2"/>
              <c:y val="0.33201664021246557"/>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lang="en-US" sz="800" b="0" i="0" u="none" strike="noStrike" baseline="0">
                <a:solidFill>
                  <a:srgbClr val="000000"/>
                </a:solidFill>
                <a:latin typeface="Arial"/>
                <a:ea typeface="Arial"/>
                <a:cs typeface="Arial"/>
              </a:defRPr>
            </a:pPr>
            <a:endParaRPr lang="en-US"/>
          </a:p>
        </c:txPr>
        <c:crossAx val="422022736"/>
        <c:crosses val="autoZero"/>
        <c:crossBetween val="between"/>
        <c:majorUnit val="2000500"/>
      </c:valAx>
      <c:spPr>
        <a:solidFill>
          <a:srgbClr val="FFFFFF"/>
        </a:solidFill>
        <a:ln w="12700">
          <a:solidFill>
            <a:srgbClr val="808080"/>
          </a:solidFill>
          <a:prstDash val="solid"/>
        </a:ln>
      </c:spPr>
    </c:plotArea>
    <c:legend>
      <c:legendPos val="b"/>
      <c:legendEntry>
        <c:idx val="2"/>
        <c:delete val="1"/>
      </c:legendEntry>
      <c:layout>
        <c:manualLayout>
          <c:xMode val="edge"/>
          <c:yMode val="edge"/>
          <c:x val="0.25513908800615498"/>
          <c:y val="0.88932972311267411"/>
          <c:w val="0.43583646012442118"/>
          <c:h val="6.8679249829807998E-2"/>
        </c:manualLayout>
      </c:layout>
      <c:overlay val="0"/>
      <c:spPr>
        <a:solidFill>
          <a:srgbClr val="FFFFFF"/>
        </a:solidFill>
        <a:ln w="3175">
          <a:solidFill>
            <a:srgbClr val="000000"/>
          </a:solidFill>
          <a:prstDash val="solid"/>
        </a:ln>
      </c:spPr>
      <c:txPr>
        <a:bodyPr/>
        <a:lstStyle/>
        <a:p>
          <a:pPr>
            <a:defRPr lang="en-US"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55914861787317"/>
          <c:y val="7.6135964532488137E-2"/>
          <c:w val="0.83851205145158381"/>
          <c:h val="0.5918498514746845"/>
        </c:manualLayout>
      </c:layout>
      <c:barChart>
        <c:barDir val="col"/>
        <c:grouping val="clustered"/>
        <c:varyColors val="0"/>
        <c:ser>
          <c:idx val="0"/>
          <c:order val="0"/>
          <c:tx>
            <c:strRef>
              <c:f>Electricity!$D$9</c:f>
              <c:strCache>
                <c:ptCount val="1"/>
                <c:pt idx="0">
                  <c:v>Total number of households</c:v>
                </c:pt>
              </c:strCache>
            </c:strRef>
          </c:tx>
          <c:spPr>
            <a:solidFill>
              <a:srgbClr val="993300"/>
            </a:solidFill>
            <a:ln w="12700">
              <a:noFill/>
              <a:prstDash val="solid"/>
            </a:ln>
          </c:spPr>
          <c:invertIfNegative val="0"/>
          <c:cat>
            <c:strRef>
              <c:f>Electricity!$E$8:$R$8</c:f>
              <c:strCach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strCache>
            </c:strRef>
          </c:cat>
          <c:val>
            <c:numRef>
              <c:f>Electricity!$E$9:$R$9</c:f>
              <c:numCache>
                <c:formatCode>#\ ###\ ##0</c:formatCode>
                <c:ptCount val="14"/>
                <c:pt idx="0">
                  <c:v>10814220</c:v>
                </c:pt>
                <c:pt idx="1">
                  <c:v>11113078</c:v>
                </c:pt>
                <c:pt idx="2">
                  <c:v>11425278</c:v>
                </c:pt>
                <c:pt idx="3">
                  <c:v>11753564</c:v>
                </c:pt>
                <c:pt idx="4">
                  <c:v>12106893</c:v>
                </c:pt>
                <c:pt idx="5">
                  <c:v>12485207</c:v>
                </c:pt>
                <c:pt idx="6">
                  <c:v>12885627</c:v>
                </c:pt>
                <c:pt idx="7">
                  <c:v>13302549</c:v>
                </c:pt>
                <c:pt idx="8">
                  <c:v>13730738</c:v>
                </c:pt>
                <c:pt idx="9">
                  <c:v>14173335</c:v>
                </c:pt>
                <c:pt idx="10">
                  <c:v>14631095</c:v>
                </c:pt>
                <c:pt idx="11">
                  <c:v>15106553</c:v>
                </c:pt>
                <c:pt idx="12">
                  <c:v>15602251</c:v>
                </c:pt>
                <c:pt idx="13">
                  <c:v>16121989.4</c:v>
                </c:pt>
              </c:numCache>
            </c:numRef>
          </c:val>
          <c:extLst>
            <c:ext xmlns:c16="http://schemas.microsoft.com/office/drawing/2014/chart" uri="{C3380CC4-5D6E-409C-BE32-E72D297353CC}">
              <c16:uniqueId val="{00000000-6501-4430-8224-41CF1BE91AC8}"/>
            </c:ext>
          </c:extLst>
        </c:ser>
        <c:ser>
          <c:idx val="1"/>
          <c:order val="1"/>
          <c:tx>
            <c:strRef>
              <c:f>Electricity!$D$10</c:f>
              <c:strCache>
                <c:ptCount val="1"/>
                <c:pt idx="0">
                  <c:v>HH with access to electricity</c:v>
                </c:pt>
              </c:strCache>
            </c:strRef>
          </c:tx>
          <c:spPr>
            <a:solidFill>
              <a:srgbClr val="FF9900"/>
            </a:solidFill>
            <a:ln w="12700">
              <a:noFill/>
              <a:prstDash val="solid"/>
            </a:ln>
          </c:spPr>
          <c:invertIfNegative val="0"/>
          <c:cat>
            <c:strRef>
              <c:f>Electricity!$E$8:$R$8</c:f>
              <c:strCach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strCache>
            </c:strRef>
          </c:cat>
          <c:val>
            <c:numRef>
              <c:f>Electricity!$E$10:$R$10</c:f>
              <c:numCache>
                <c:formatCode>#\ ###\ ##0</c:formatCode>
                <c:ptCount val="14"/>
                <c:pt idx="0">
                  <c:v>8319918</c:v>
                </c:pt>
                <c:pt idx="1">
                  <c:v>8721406</c:v>
                </c:pt>
                <c:pt idx="2">
                  <c:v>9226374</c:v>
                </c:pt>
                <c:pt idx="3">
                  <c:v>9496902</c:v>
                </c:pt>
                <c:pt idx="4">
                  <c:v>9741605</c:v>
                </c:pt>
                <c:pt idx="5">
                  <c:v>10205387</c:v>
                </c:pt>
                <c:pt idx="6">
                  <c:v>10507268</c:v>
                </c:pt>
                <c:pt idx="7">
                  <c:v>10990206</c:v>
                </c:pt>
                <c:pt idx="8">
                  <c:v>11385699</c:v>
                </c:pt>
                <c:pt idx="9">
                  <c:v>11863208</c:v>
                </c:pt>
                <c:pt idx="10">
                  <c:v>12382880</c:v>
                </c:pt>
                <c:pt idx="11">
                  <c:v>12868860</c:v>
                </c:pt>
                <c:pt idx="12">
                  <c:v>13403107</c:v>
                </c:pt>
                <c:pt idx="13">
                  <c:v>13776527.4</c:v>
                </c:pt>
              </c:numCache>
            </c:numRef>
          </c:val>
          <c:extLst>
            <c:ext xmlns:c16="http://schemas.microsoft.com/office/drawing/2014/chart" uri="{C3380CC4-5D6E-409C-BE32-E72D297353CC}">
              <c16:uniqueId val="{00000001-6501-4430-8224-41CF1BE91AC8}"/>
            </c:ext>
          </c:extLst>
        </c:ser>
        <c:ser>
          <c:idx val="2"/>
          <c:order val="2"/>
          <c:tx>
            <c:strRef>
              <c:f>Electricity!$D$11</c:f>
              <c:strCache>
                <c:ptCount val="1"/>
                <c:pt idx="0">
                  <c:v>%</c:v>
                </c:pt>
              </c:strCache>
            </c:strRef>
          </c:tx>
          <c:invertIfNegative val="0"/>
          <c:cat>
            <c:strRef>
              <c:f>Electricity!$E$8:$R$8</c:f>
              <c:strCach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strCache>
            </c:strRef>
          </c:cat>
          <c:val>
            <c:numRef>
              <c:f>Electricity!$E$11:$R$11</c:f>
              <c:numCache>
                <c:formatCode>#\ ##0.0</c:formatCode>
                <c:ptCount val="14"/>
                <c:pt idx="0">
                  <c:v>77.099999999999994</c:v>
                </c:pt>
                <c:pt idx="1">
                  <c:v>78.7</c:v>
                </c:pt>
                <c:pt idx="2">
                  <c:v>80.900000000000006</c:v>
                </c:pt>
                <c:pt idx="3">
                  <c:v>80.900000000000006</c:v>
                </c:pt>
                <c:pt idx="4">
                  <c:v>80.7</c:v>
                </c:pt>
                <c:pt idx="5">
                  <c:v>82</c:v>
                </c:pt>
                <c:pt idx="6">
                  <c:v>81.900000000000006</c:v>
                </c:pt>
                <c:pt idx="7">
                  <c:v>82.7</c:v>
                </c:pt>
                <c:pt idx="8">
                  <c:v>82.9</c:v>
                </c:pt>
                <c:pt idx="9">
                  <c:v>83.8</c:v>
                </c:pt>
                <c:pt idx="10">
                  <c:v>85.3</c:v>
                </c:pt>
                <c:pt idx="11">
                  <c:v>85.4</c:v>
                </c:pt>
                <c:pt idx="12">
                  <c:v>86</c:v>
                </c:pt>
                <c:pt idx="13">
                  <c:v>85.5</c:v>
                </c:pt>
              </c:numCache>
            </c:numRef>
          </c:val>
          <c:extLst>
            <c:ext xmlns:c16="http://schemas.microsoft.com/office/drawing/2014/chart" uri="{C3380CC4-5D6E-409C-BE32-E72D297353CC}">
              <c16:uniqueId val="{00000002-6501-4430-8224-41CF1BE91AC8}"/>
            </c:ext>
          </c:extLst>
        </c:ser>
        <c:dLbls>
          <c:showLegendKey val="0"/>
          <c:showVal val="0"/>
          <c:showCatName val="0"/>
          <c:showSerName val="0"/>
          <c:showPercent val="0"/>
          <c:showBubbleSize val="0"/>
        </c:dLbls>
        <c:gapWidth val="150"/>
        <c:axId val="422018424"/>
        <c:axId val="422019992"/>
      </c:barChart>
      <c:catAx>
        <c:axId val="422018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422019992"/>
        <c:crosses val="autoZero"/>
        <c:auto val="1"/>
        <c:lblAlgn val="ctr"/>
        <c:lblOffset val="100"/>
        <c:tickLblSkip val="1"/>
        <c:tickMarkSkip val="1"/>
        <c:noMultiLvlLbl val="0"/>
      </c:catAx>
      <c:valAx>
        <c:axId val="422019992"/>
        <c:scaling>
          <c:orientation val="minMax"/>
          <c:max val="13000000"/>
          <c:min val="0"/>
        </c:scaling>
        <c:delete val="0"/>
        <c:axPos val="l"/>
        <c:majorGridlines>
          <c:spPr>
            <a:ln w="3175">
              <a:solidFill>
                <a:srgbClr val="969696"/>
              </a:solidFill>
              <a:prstDash val="sysDash"/>
            </a:ln>
          </c:spPr>
        </c:majorGridlines>
        <c:title>
          <c:tx>
            <c:rich>
              <a:bodyPr/>
              <a:lstStyle/>
              <a:p>
                <a:pPr>
                  <a:defRPr/>
                </a:pPr>
                <a:r>
                  <a:rPr lang="en-US"/>
                  <a:t>number</a:t>
                </a:r>
              </a:p>
            </c:rich>
          </c:tx>
          <c:layout>
            <c:manualLayout>
              <c:xMode val="edge"/>
              <c:yMode val="edge"/>
              <c:x val="1.934699339053212E-2"/>
              <c:y val="0.33201664021246557"/>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a:pPr>
            <a:endParaRPr lang="en-US"/>
          </a:p>
        </c:txPr>
        <c:crossAx val="422018424"/>
        <c:crosses val="autoZero"/>
        <c:crossBetween val="between"/>
        <c:majorUnit val="2000500"/>
      </c:valAx>
      <c:spPr>
        <a:solidFill>
          <a:srgbClr val="FFFFFF"/>
        </a:solidFill>
        <a:ln w="12700">
          <a:solidFill>
            <a:srgbClr val="808080"/>
          </a:solidFill>
          <a:prstDash val="solid"/>
        </a:ln>
      </c:spPr>
    </c:plotArea>
    <c:legend>
      <c:legendPos val="b"/>
      <c:legendEntry>
        <c:idx val="2"/>
        <c:delete val="1"/>
      </c:legendEntry>
      <c:layout>
        <c:manualLayout>
          <c:xMode val="edge"/>
          <c:yMode val="edge"/>
          <c:x val="1.6347600190327102E-2"/>
          <c:y val="0.88932972311267411"/>
          <c:w val="0.67462778775460097"/>
          <c:h val="6.8679249829807998E-2"/>
        </c:manualLayout>
      </c:layout>
      <c:overlay val="0"/>
      <c:spPr>
        <a:solidFill>
          <a:srgbClr val="FFFFFF"/>
        </a:solidFill>
        <a:ln w="3175">
          <a:noFill/>
          <a:prstDash val="solid"/>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189" r="0.75000000000000189" t="1" header="0.5" footer="0.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Arial"/>
                <a:ea typeface="Arial"/>
                <a:cs typeface="Arial"/>
              </a:defRPr>
            </a:pPr>
            <a:r>
              <a:rPr lang="en-ZA"/>
              <a:t>Land restitution - claims settled</a:t>
            </a:r>
          </a:p>
        </c:rich>
      </c:tx>
      <c:overlay val="0"/>
      <c:spPr>
        <a:noFill/>
        <a:ln w="25400">
          <a:noFill/>
        </a:ln>
      </c:spPr>
    </c:title>
    <c:autoTitleDeleted val="0"/>
    <c:plotArea>
      <c:layout/>
      <c:lineChart>
        <c:grouping val="standard"/>
        <c:varyColors val="0"/>
        <c:ser>
          <c:idx val="0"/>
          <c:order val="0"/>
          <c:tx>
            <c:strRef>
              <c:f>'[20]Land restitution'!$D$13</c:f>
              <c:strCache>
                <c:ptCount val="1"/>
              </c:strCache>
            </c:strRef>
          </c:tx>
          <c:spPr>
            <a:ln w="25400">
              <a:solidFill>
                <a:srgbClr val="FF00FF"/>
              </a:solidFill>
              <a:prstDash val="solid"/>
            </a:ln>
          </c:spPr>
          <c:marker>
            <c:symbol val="none"/>
          </c:marker>
          <c:cat>
            <c:strRef>
              <c:f>'[20]Land restitution'!$E$12:$R$12</c:f>
              <c:strCache>
                <c:ptCount val="14"/>
                <c:pt idx="6">
                  <c:v>GRANTS IN RANDS </c:v>
                </c:pt>
              </c:strCache>
            </c:strRef>
          </c:cat>
          <c:val>
            <c:numRef>
              <c:f>'[20]Land restitution'!$E$13:$R$13</c:f>
              <c:numCache>
                <c:formatCode>General</c:formatCode>
                <c:ptCount val="14"/>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5C2-455A-A1AF-6DD70015B8C6}"/>
            </c:ext>
          </c:extLst>
        </c:ser>
        <c:dLbls>
          <c:showLegendKey val="0"/>
          <c:showVal val="0"/>
          <c:showCatName val="0"/>
          <c:showSerName val="0"/>
          <c:showPercent val="0"/>
          <c:showBubbleSize val="0"/>
        </c:dLbls>
        <c:smooth val="0"/>
        <c:axId val="404684632"/>
        <c:axId val="404686592"/>
      </c:lineChart>
      <c:catAx>
        <c:axId val="404684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4686592"/>
        <c:crosses val="autoZero"/>
        <c:auto val="1"/>
        <c:lblAlgn val="ctr"/>
        <c:lblOffset val="100"/>
        <c:tickLblSkip val="1"/>
        <c:tickMarkSkip val="1"/>
        <c:noMultiLvlLbl val="0"/>
      </c:catAx>
      <c:valAx>
        <c:axId val="404686592"/>
        <c:scaling>
          <c:orientation val="minMax"/>
        </c:scaling>
        <c:delete val="0"/>
        <c:axPos val="l"/>
        <c:majorGridlines>
          <c:spPr>
            <a:ln w="3175">
              <a:solidFill>
                <a:srgbClr val="000000"/>
              </a:solidFill>
              <a:prstDash val="solid"/>
            </a:ln>
          </c:spPr>
        </c:majorGridlines>
        <c:title>
          <c:tx>
            <c:rich>
              <a:bodyPr/>
              <a:lstStyle/>
              <a:p>
                <a:pPr>
                  <a:defRPr sz="175" b="0" i="0" u="none" strike="noStrike" baseline="0">
                    <a:solidFill>
                      <a:srgbClr val="000000"/>
                    </a:solidFill>
                    <a:latin typeface="Arial"/>
                    <a:ea typeface="Arial"/>
                    <a:cs typeface="Arial"/>
                  </a:defRPr>
                </a:pPr>
                <a:r>
                  <a:rPr lang="en-ZA"/>
                  <a:t>hectars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468463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CUMULATIVE CLAIMS SETLTLED</a:t>
            </a:r>
          </a:p>
        </c:rich>
      </c:tx>
      <c:layout>
        <c:manualLayout>
          <c:xMode val="edge"/>
          <c:yMode val="edge"/>
          <c:x val="2.652556609337571E-2"/>
          <c:y val="4.2296482376700334E-2"/>
        </c:manualLayout>
      </c:layout>
      <c:overlay val="0"/>
      <c:spPr>
        <a:noFill/>
        <a:ln w="25400">
          <a:noFill/>
        </a:ln>
      </c:spPr>
    </c:title>
    <c:autoTitleDeleted val="0"/>
    <c:plotArea>
      <c:layout>
        <c:manualLayout>
          <c:layoutTarget val="inner"/>
          <c:xMode val="edge"/>
          <c:yMode val="edge"/>
          <c:x val="6.7092721533798652E-2"/>
          <c:y val="0.15281521344987659"/>
          <c:w val="0.92012875246352011"/>
          <c:h val="0.67560410156786965"/>
        </c:manualLayout>
      </c:layout>
      <c:lineChart>
        <c:grouping val="standard"/>
        <c:varyColors val="0"/>
        <c:ser>
          <c:idx val="0"/>
          <c:order val="0"/>
          <c:tx>
            <c:strRef>
              <c:f>'Land restitution'!$D$8</c:f>
              <c:strCache>
                <c:ptCount val="1"/>
                <c:pt idx="0">
                  <c:v>Cumulative Settled claims </c:v>
                </c:pt>
              </c:strCache>
            </c:strRef>
          </c:tx>
          <c:spPr>
            <a:ln w="25400">
              <a:solidFill>
                <a:srgbClr val="FF6600"/>
              </a:solidFill>
              <a:prstDash val="solid"/>
            </a:ln>
          </c:spPr>
          <c:marker>
            <c:symbol val="none"/>
          </c:marker>
          <c:cat>
            <c:strRef>
              <c:f>'Land restitution'!$E$7:$Z$7</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'Land restitution'!$E$8:$Z$8</c:f>
              <c:numCache>
                <c:formatCode>#\ ###\ ###</c:formatCode>
                <c:ptCount val="22"/>
                <c:pt idx="0" formatCode="#\ ###\ ##0">
                  <c:v>0</c:v>
                </c:pt>
                <c:pt idx="1">
                  <c:v>1</c:v>
                </c:pt>
                <c:pt idx="2">
                  <c:v>3</c:v>
                </c:pt>
                <c:pt idx="3">
                  <c:v>208</c:v>
                </c:pt>
                <c:pt idx="4">
                  <c:v>408</c:v>
                </c:pt>
                <c:pt idx="5">
                  <c:v>3916</c:v>
                </c:pt>
                <c:pt idx="6">
                  <c:v>12094</c:v>
                </c:pt>
                <c:pt idx="7">
                  <c:v>29877</c:v>
                </c:pt>
                <c:pt idx="8">
                  <c:v>36488</c:v>
                </c:pt>
                <c:pt idx="9">
                  <c:v>48825</c:v>
                </c:pt>
                <c:pt idx="10">
                  <c:v>59345</c:v>
                </c:pt>
                <c:pt idx="11">
                  <c:v>71645</c:v>
                </c:pt>
                <c:pt idx="12">
                  <c:v>74417</c:v>
                </c:pt>
                <c:pt idx="13">
                  <c:v>74747</c:v>
                </c:pt>
                <c:pt idx="14">
                  <c:v>75400</c:v>
                </c:pt>
                <c:pt idx="15">
                  <c:v>75844</c:v>
                </c:pt>
                <c:pt idx="16">
                  <c:v>76228</c:v>
                </c:pt>
                <c:pt idx="17">
                  <c:v>76705</c:v>
                </c:pt>
                <c:pt idx="18">
                  <c:v>77334</c:v>
                </c:pt>
                <c:pt idx="19">
                  <c:v>77622</c:v>
                </c:pt>
                <c:pt idx="20">
                  <c:v>78100</c:v>
                </c:pt>
                <c:pt idx="21">
                  <c:v>78750</c:v>
                </c:pt>
              </c:numCache>
            </c:numRef>
          </c:val>
          <c:smooth val="0"/>
          <c:extLst>
            <c:ext xmlns:c16="http://schemas.microsoft.com/office/drawing/2014/chart" uri="{C3380CC4-5D6E-409C-BE32-E72D297353CC}">
              <c16:uniqueId val="{00000000-D565-416C-B2C6-D7E1052E19E0}"/>
            </c:ext>
          </c:extLst>
        </c:ser>
        <c:dLbls>
          <c:showLegendKey val="0"/>
          <c:showVal val="0"/>
          <c:showCatName val="0"/>
          <c:showSerName val="0"/>
          <c:showPercent val="0"/>
          <c:showBubbleSize val="0"/>
        </c:dLbls>
        <c:smooth val="0"/>
        <c:axId val="404685808"/>
        <c:axId val="404686200"/>
      </c:lineChart>
      <c:catAx>
        <c:axId val="40468580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04686200"/>
        <c:crosses val="autoZero"/>
        <c:auto val="1"/>
        <c:lblAlgn val="ctr"/>
        <c:lblOffset val="100"/>
        <c:tickLblSkip val="1"/>
        <c:tickMarkSkip val="1"/>
        <c:noMultiLvlLbl val="0"/>
      </c:catAx>
      <c:valAx>
        <c:axId val="404686200"/>
        <c:scaling>
          <c:orientation val="minMax"/>
        </c:scaling>
        <c:delete val="0"/>
        <c:axPos val="l"/>
        <c:majorGridlines>
          <c:spPr>
            <a:ln w="3175">
              <a:solidFill>
                <a:srgbClr val="969696"/>
              </a:solidFill>
              <a:prstDash val="sysDash"/>
            </a:ln>
          </c:spPr>
        </c:majorGridlines>
        <c:numFmt formatCode="###\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4685808"/>
        <c:crosses val="autoZero"/>
        <c:crossBetween val="midCat"/>
        <c:majorUnit val="10500"/>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Land Redistribution - Hectars delivered </a:t>
            </a:r>
          </a:p>
        </c:rich>
      </c:tx>
      <c:layout>
        <c:manualLayout>
          <c:xMode val="edge"/>
          <c:yMode val="edge"/>
          <c:x val="0.41644602757988924"/>
          <c:y val="3.3426297903238283E-2"/>
        </c:manualLayout>
      </c:layout>
      <c:overlay val="0"/>
      <c:spPr>
        <a:noFill/>
        <a:ln w="25400">
          <a:noFill/>
        </a:ln>
      </c:spPr>
    </c:title>
    <c:autoTitleDeleted val="0"/>
    <c:plotArea>
      <c:layout>
        <c:manualLayout>
          <c:layoutTarget val="inner"/>
          <c:xMode val="edge"/>
          <c:yMode val="edge"/>
          <c:x val="6.4285764110370264E-2"/>
          <c:y val="0.13832230176955287"/>
          <c:w val="0.92222293699074354"/>
          <c:h val="0.62131656860422058"/>
        </c:manualLayout>
      </c:layout>
      <c:lineChart>
        <c:grouping val="standard"/>
        <c:varyColors val="0"/>
        <c:ser>
          <c:idx val="0"/>
          <c:order val="0"/>
          <c:tx>
            <c:strRef>
              <c:f>'Land redistribution '!$D$9</c:f>
              <c:strCache>
                <c:ptCount val="1"/>
                <c:pt idx="0">
                  <c:v>Distributed hectares per year</c:v>
                </c:pt>
              </c:strCache>
            </c:strRef>
          </c:tx>
          <c:spPr>
            <a:ln w="25400">
              <a:solidFill>
                <a:srgbClr val="FF6600"/>
              </a:solidFill>
              <a:prstDash val="solid"/>
            </a:ln>
          </c:spPr>
          <c:marker>
            <c:symbol val="none"/>
          </c:marker>
          <c:cat>
            <c:strRef>
              <c:f>'Land redistribution '!$E$7:$AB$7</c:f>
              <c:strCache>
                <c:ptCount val="23"/>
                <c:pt idx="0">
                  <c:v>1994</c:v>
                </c:pt>
                <c:pt idx="1">
                  <c:v>1995</c:v>
                </c:pt>
                <c:pt idx="2">
                  <c:v>1996</c:v>
                </c:pt>
                <c:pt idx="3">
                  <c:v>1997</c:v>
                </c:pt>
                <c:pt idx="4">
                  <c:v>1998</c:v>
                </c:pt>
                <c:pt idx="5">
                  <c:v>1999</c:v>
                </c:pt>
                <c:pt idx="6">
                  <c:v>2000
(Jan-Mar)</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strCache>
            </c:strRef>
          </c:cat>
          <c:val>
            <c:numRef>
              <c:f>'Land redistribution '!$E$9:$AA$9</c:f>
              <c:numCache>
                <c:formatCode>_ * #\ ##0_ ;_ * \-#\ ##0_ ;_ * "-"??_ ;_ @_ </c:formatCode>
                <c:ptCount val="23"/>
                <c:pt idx="0">
                  <c:v>8678.7134000000005</c:v>
                </c:pt>
                <c:pt idx="1">
                  <c:v>10791.642</c:v>
                </c:pt>
                <c:pt idx="2">
                  <c:v>42789.037700000001</c:v>
                </c:pt>
                <c:pt idx="3">
                  <c:v>103039.3664</c:v>
                </c:pt>
                <c:pt idx="4">
                  <c:v>202350.56830000001</c:v>
                </c:pt>
                <c:pt idx="5">
                  <c:v>153491.09330000001</c:v>
                </c:pt>
                <c:pt idx="6">
                  <c:v>29628.576300000001</c:v>
                </c:pt>
                <c:pt idx="7">
                  <c:v>135854.10999999999</c:v>
                </c:pt>
                <c:pt idx="8">
                  <c:v>195399.5177</c:v>
                </c:pt>
                <c:pt idx="9">
                  <c:v>251063.94690000001</c:v>
                </c:pt>
                <c:pt idx="10">
                  <c:v>176719.0165</c:v>
                </c:pt>
                <c:pt idx="11">
                  <c:v>207302.02129999999</c:v>
                </c:pt>
                <c:pt idx="12">
                  <c:v>220766.45910000001</c:v>
                </c:pt>
                <c:pt idx="13">
                  <c:v>353471.86820000003</c:v>
                </c:pt>
                <c:pt idx="14">
                  <c:v>506035.67389999999</c:v>
                </c:pt>
                <c:pt idx="15">
                  <c:v>470375.57650000002</c:v>
                </c:pt>
                <c:pt idx="16">
                  <c:v>242050.6551</c:v>
                </c:pt>
                <c:pt idx="17">
                  <c:v>331794.11790000001</c:v>
                </c:pt>
                <c:pt idx="18">
                  <c:v>392858.71519999998</c:v>
                </c:pt>
                <c:pt idx="19">
                  <c:v>157556</c:v>
                </c:pt>
                <c:pt idx="20">
                  <c:v>153585.72070000001</c:v>
                </c:pt>
                <c:pt idx="21">
                  <c:v>210396</c:v>
                </c:pt>
                <c:pt idx="22" formatCode="###\ ###\ ###">
                  <c:v>140670</c:v>
                </c:pt>
              </c:numCache>
            </c:numRef>
          </c:val>
          <c:smooth val="0"/>
          <c:extLst>
            <c:ext xmlns:c16="http://schemas.microsoft.com/office/drawing/2014/chart" uri="{C3380CC4-5D6E-409C-BE32-E72D297353CC}">
              <c16:uniqueId val="{00000000-628A-4938-960F-1602FF8E623D}"/>
            </c:ext>
          </c:extLst>
        </c:ser>
        <c:dLbls>
          <c:showLegendKey val="0"/>
          <c:showVal val="0"/>
          <c:showCatName val="0"/>
          <c:showSerName val="0"/>
          <c:showPercent val="0"/>
          <c:showBubbleSize val="0"/>
        </c:dLbls>
        <c:smooth val="0"/>
        <c:axId val="409662120"/>
        <c:axId val="414988264"/>
      </c:lineChart>
      <c:catAx>
        <c:axId val="409662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4988264"/>
        <c:crosses val="autoZero"/>
        <c:auto val="1"/>
        <c:lblAlgn val="ctr"/>
        <c:lblOffset val="100"/>
        <c:tickLblSkip val="1"/>
        <c:tickMarkSkip val="1"/>
        <c:noMultiLvlLbl val="0"/>
      </c:catAx>
      <c:valAx>
        <c:axId val="414988264"/>
        <c:scaling>
          <c:orientation val="minMax"/>
          <c:min val="0"/>
        </c:scaling>
        <c:delete val="0"/>
        <c:axPos val="l"/>
        <c:majorGridlines>
          <c:spPr>
            <a:ln w="3175">
              <a:solidFill>
                <a:schemeClr val="bg1">
                  <a:lumMod val="65000"/>
                </a:schemeClr>
              </a:solidFill>
              <a:prstDash val="sysDash"/>
            </a:ln>
          </c:spPr>
        </c:majorGridlines>
        <c:numFmt formatCode="###\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966212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85764110370264E-2"/>
          <c:y val="7.259475531209765E-2"/>
          <c:w val="0.92222293699074354"/>
          <c:h val="0.68704435586276136"/>
        </c:manualLayout>
      </c:layout>
      <c:lineChart>
        <c:grouping val="standard"/>
        <c:varyColors val="0"/>
        <c:ser>
          <c:idx val="0"/>
          <c:order val="0"/>
          <c:tx>
            <c:strRef>
              <c:f>'Land redistribution '!$D$9</c:f>
              <c:strCache>
                <c:ptCount val="1"/>
                <c:pt idx="0">
                  <c:v>Distributed hectares per year</c:v>
                </c:pt>
              </c:strCache>
            </c:strRef>
          </c:tx>
          <c:spPr>
            <a:ln w="15875">
              <a:solidFill>
                <a:srgbClr val="800000"/>
              </a:solidFill>
              <a:prstDash val="solid"/>
            </a:ln>
          </c:spPr>
          <c:marker>
            <c:symbol val="none"/>
          </c:marker>
          <c:cat>
            <c:strRef>
              <c:f>'Land redistribution '!$E$7:$Z$7</c:f>
              <c:strCache>
                <c:ptCount val="22"/>
                <c:pt idx="0">
                  <c:v>1994</c:v>
                </c:pt>
                <c:pt idx="1">
                  <c:v>1995</c:v>
                </c:pt>
                <c:pt idx="2">
                  <c:v>1996</c:v>
                </c:pt>
                <c:pt idx="3">
                  <c:v>1997</c:v>
                </c:pt>
                <c:pt idx="4">
                  <c:v>1998</c:v>
                </c:pt>
                <c:pt idx="5">
                  <c:v>1999</c:v>
                </c:pt>
                <c:pt idx="6">
                  <c:v>2000
(Jan-Mar)</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strCache>
            </c:strRef>
          </c:cat>
          <c:val>
            <c:numRef>
              <c:f>'Land redistribution '!$E$9:$Z$9</c:f>
              <c:numCache>
                <c:formatCode>_ * #\ ##0_ ;_ * \-#\ ##0_ ;_ * "-"??_ ;_ @_ </c:formatCode>
                <c:ptCount val="22"/>
                <c:pt idx="0">
                  <c:v>8678.7134000000005</c:v>
                </c:pt>
                <c:pt idx="1">
                  <c:v>10791.642</c:v>
                </c:pt>
                <c:pt idx="2">
                  <c:v>42789.037700000001</c:v>
                </c:pt>
                <c:pt idx="3">
                  <c:v>103039.3664</c:v>
                </c:pt>
                <c:pt idx="4">
                  <c:v>202350.56830000001</c:v>
                </c:pt>
                <c:pt idx="5">
                  <c:v>153491.09330000001</c:v>
                </c:pt>
                <c:pt idx="6">
                  <c:v>29628.576300000001</c:v>
                </c:pt>
                <c:pt idx="7">
                  <c:v>135854.10999999999</c:v>
                </c:pt>
                <c:pt idx="8">
                  <c:v>195399.5177</c:v>
                </c:pt>
                <c:pt idx="9">
                  <c:v>251063.94690000001</c:v>
                </c:pt>
                <c:pt idx="10">
                  <c:v>176719.0165</c:v>
                </c:pt>
                <c:pt idx="11">
                  <c:v>207302.02129999999</c:v>
                </c:pt>
                <c:pt idx="12">
                  <c:v>220766.45910000001</c:v>
                </c:pt>
                <c:pt idx="13">
                  <c:v>353471.86820000003</c:v>
                </c:pt>
                <c:pt idx="14">
                  <c:v>506035.67389999999</c:v>
                </c:pt>
                <c:pt idx="15">
                  <c:v>470375.57650000002</c:v>
                </c:pt>
                <c:pt idx="16">
                  <c:v>242050.6551</c:v>
                </c:pt>
                <c:pt idx="17">
                  <c:v>331794.11790000001</c:v>
                </c:pt>
                <c:pt idx="18">
                  <c:v>392858.71519999998</c:v>
                </c:pt>
                <c:pt idx="19">
                  <c:v>157556</c:v>
                </c:pt>
                <c:pt idx="20">
                  <c:v>153585.72070000001</c:v>
                </c:pt>
                <c:pt idx="21">
                  <c:v>210396</c:v>
                </c:pt>
              </c:numCache>
            </c:numRef>
          </c:val>
          <c:smooth val="0"/>
          <c:extLst>
            <c:ext xmlns:c16="http://schemas.microsoft.com/office/drawing/2014/chart" uri="{C3380CC4-5D6E-409C-BE32-E72D297353CC}">
              <c16:uniqueId val="{00000000-5A6B-400C-9D64-6D95C9200898}"/>
            </c:ext>
          </c:extLst>
        </c:ser>
        <c:dLbls>
          <c:showLegendKey val="0"/>
          <c:showVal val="0"/>
          <c:showCatName val="0"/>
          <c:showSerName val="0"/>
          <c:showPercent val="0"/>
          <c:showBubbleSize val="0"/>
        </c:dLbls>
        <c:smooth val="0"/>
        <c:axId val="414996496"/>
        <c:axId val="415000808"/>
      </c:lineChart>
      <c:catAx>
        <c:axId val="414996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15000808"/>
        <c:crosses val="autoZero"/>
        <c:auto val="1"/>
        <c:lblAlgn val="ctr"/>
        <c:lblOffset val="100"/>
        <c:tickLblSkip val="1"/>
        <c:tickMarkSkip val="1"/>
        <c:noMultiLvlLbl val="0"/>
      </c:catAx>
      <c:valAx>
        <c:axId val="415000808"/>
        <c:scaling>
          <c:orientation val="minMax"/>
          <c:min val="0"/>
        </c:scaling>
        <c:delete val="0"/>
        <c:axPos val="l"/>
        <c:majorGridlines>
          <c:spPr>
            <a:ln w="3175">
              <a:solidFill>
                <a:schemeClr val="bg1">
                  <a:lumMod val="65000"/>
                </a:schemeClr>
              </a:solidFill>
              <a:prstDash val="sysDash"/>
            </a:ln>
          </c:spPr>
        </c:majorGridlines>
        <c:numFmt formatCode="###\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49964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25123198885849E-2"/>
          <c:y val="9.7515803482311203E-2"/>
          <c:w val="0.87689970673308693"/>
          <c:h val="0.77435923502519932"/>
        </c:manualLayout>
      </c:layout>
      <c:lineChart>
        <c:grouping val="stacked"/>
        <c:varyColors val="0"/>
        <c:ser>
          <c:idx val="0"/>
          <c:order val="0"/>
          <c:tx>
            <c:strRef>
              <c:f>'GDP per Capita '!$E$8</c:f>
              <c:strCache>
                <c:ptCount val="1"/>
                <c:pt idx="0">
                  <c:v>%</c:v>
                </c:pt>
              </c:strCache>
            </c:strRef>
          </c:tx>
          <c:spPr>
            <a:ln w="3175">
              <a:solidFill>
                <a:srgbClr val="FF6600"/>
              </a:solidFill>
              <a:prstDash val="solid"/>
            </a:ln>
          </c:spPr>
          <c:marker>
            <c:symbol val="none"/>
          </c:marker>
          <c:cat>
            <c:strRef>
              <c:f>'GDP per Capita '!$G$7:$AA$7</c:f>
              <c:strCach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strCache>
            </c:strRef>
          </c:cat>
          <c:val>
            <c:numRef>
              <c:f>'GDP per Capita '!$G$8:$AA$8</c:f>
              <c:numCache>
                <c:formatCode>0.0</c:formatCode>
                <c:ptCount val="21"/>
                <c:pt idx="0">
                  <c:v>0.97551868188288093</c:v>
                </c:pt>
                <c:pt idx="1">
                  <c:v>2.1401992280490889</c:v>
                </c:pt>
                <c:pt idx="2">
                  <c:v>0.51365600887018914</c:v>
                </c:pt>
                <c:pt idx="3">
                  <c:v>-1.5758667266996818</c:v>
                </c:pt>
                <c:pt idx="4">
                  <c:v>0.24245196706313976</c:v>
                </c:pt>
                <c:pt idx="5">
                  <c:v>2.0741112581572629</c:v>
                </c:pt>
                <c:pt idx="6">
                  <c:v>0.76003129540627157</c:v>
                </c:pt>
                <c:pt idx="7">
                  <c:v>1.603993344425958</c:v>
                </c:pt>
                <c:pt idx="8">
                  <c:v>1.0677322153805902</c:v>
                </c:pt>
                <c:pt idx="9">
                  <c:v>2.847451768315068</c:v>
                </c:pt>
                <c:pt idx="10">
                  <c:v>3.6340720512551217</c:v>
                </c:pt>
                <c:pt idx="11">
                  <c:v>4.0458092632005727</c:v>
                </c:pt>
                <c:pt idx="12">
                  <c:v>3.9021254212853851</c:v>
                </c:pt>
                <c:pt idx="13">
                  <c:v>1.8524768440394412</c:v>
                </c:pt>
                <c:pt idx="14">
                  <c:v>-2.7318581790066632</c:v>
                </c:pt>
                <c:pt idx="15">
                  <c:v>1.8641886521064466</c:v>
                </c:pt>
                <c:pt idx="16">
                  <c:v>2.0567415417200863</c:v>
                </c:pt>
                <c:pt idx="17" formatCode="_ * #\ ##0.0_ ;_ * \-#\ ##0.0_ ;_ * &quot;-&quot;??_ ;_ @_ ">
                  <c:v>1</c:v>
                </c:pt>
                <c:pt idx="18" formatCode="_ * #\ ##0.0_ ;_ * \-#\ ##0.0_ ;_ * &quot;-&quot;??_ ;_ @_ ">
                  <c:v>1.1000000000000001</c:v>
                </c:pt>
                <c:pt idx="19" formatCode="_ * #\ ##0.0_ ;_ * \-#\ ##0.0_ ;_ * &quot;-&quot;??_ ;_ @_ ">
                  <c:v>0.3</c:v>
                </c:pt>
                <c:pt idx="20" formatCode="_ * #\ ##0.0_ ;_ * \-#\ ##0.0_ ;_ * &quot;-&quot;??_ ;_ @_ ">
                  <c:v>-0.1</c:v>
                </c:pt>
              </c:numCache>
            </c:numRef>
          </c:val>
          <c:smooth val="0"/>
          <c:extLst>
            <c:ext xmlns:c16="http://schemas.microsoft.com/office/drawing/2014/chart" uri="{C3380CC4-5D6E-409C-BE32-E72D297353CC}">
              <c16:uniqueId val="{00000000-C4CA-43BF-B79F-FD70345B63D9}"/>
            </c:ext>
          </c:extLst>
        </c:ser>
        <c:dLbls>
          <c:showLegendKey val="0"/>
          <c:showVal val="0"/>
          <c:showCatName val="0"/>
          <c:showSerName val="0"/>
          <c:showPercent val="0"/>
          <c:showBubbleSize val="0"/>
        </c:dLbls>
        <c:smooth val="0"/>
        <c:axId val="399072224"/>
        <c:axId val="399076536"/>
      </c:lineChart>
      <c:catAx>
        <c:axId val="399072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076536"/>
        <c:crossesAt val="-4"/>
        <c:auto val="1"/>
        <c:lblAlgn val="ctr"/>
        <c:lblOffset val="100"/>
        <c:tickLblSkip val="1"/>
        <c:tickMarkSkip val="1"/>
        <c:noMultiLvlLbl val="0"/>
      </c:catAx>
      <c:valAx>
        <c:axId val="399076536"/>
        <c:scaling>
          <c:orientation val="minMax"/>
        </c:scaling>
        <c:delete val="0"/>
        <c:axPos val="l"/>
        <c:majorGridlines>
          <c:spPr>
            <a:ln w="3175">
              <a:solidFill>
                <a:srgbClr val="969696"/>
              </a:solidFill>
              <a:prstDash val="sysDash"/>
            </a:ln>
          </c:spPr>
        </c:majorGridlines>
        <c:title>
          <c:tx>
            <c:rich>
              <a:bodyPr/>
              <a:lstStyle/>
              <a:p>
                <a:pPr>
                  <a:defRPr/>
                </a:pPr>
                <a:r>
                  <a:rPr lang="en-US"/>
                  <a:t>%</a:t>
                </a:r>
              </a:p>
            </c:rich>
          </c:tx>
          <c:layout>
            <c:manualLayout>
              <c:xMode val="edge"/>
              <c:yMode val="edge"/>
              <c:x val="1.7334707151912959E-2"/>
              <c:y val="0.509374991227700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399072224"/>
        <c:crossesAt val="1"/>
        <c:crossBetween val="midCat"/>
      </c:valAx>
      <c:spPr>
        <a:noFill/>
        <a:ln w="25400">
          <a:noFill/>
        </a:ln>
      </c:spPr>
    </c:plotArea>
    <c:plotVisOnly val="1"/>
    <c:dispBlanksAs val="zero"/>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ZA"/>
              <a:t>LIFE EXPECTANCY</a:t>
            </a:r>
          </a:p>
        </c:rich>
      </c:tx>
      <c:layout>
        <c:manualLayout>
          <c:xMode val="edge"/>
          <c:yMode val="edge"/>
          <c:x val="7.8320097447627093E-2"/>
          <c:y val="1.6611295681063183E-2"/>
        </c:manualLayout>
      </c:layout>
      <c:overlay val="0"/>
      <c:spPr>
        <a:noFill/>
        <a:ln w="25400">
          <a:noFill/>
        </a:ln>
      </c:spPr>
    </c:title>
    <c:autoTitleDeleted val="0"/>
    <c:plotArea>
      <c:layout>
        <c:manualLayout>
          <c:layoutTarget val="inner"/>
          <c:xMode val="edge"/>
          <c:yMode val="edge"/>
          <c:x val="9.5346197502837696E-2"/>
          <c:y val="0.11627925839528792"/>
          <c:w val="0.88989784335982525"/>
          <c:h val="0.61794120175781564"/>
        </c:manualLayout>
      </c:layout>
      <c:lineChart>
        <c:grouping val="standard"/>
        <c:varyColors val="0"/>
        <c:ser>
          <c:idx val="0"/>
          <c:order val="0"/>
          <c:tx>
            <c:strRef>
              <c:f>'Life Expectancy '!$D$9</c:f>
              <c:strCache>
                <c:ptCount val="1"/>
                <c:pt idx="0">
                  <c:v>LE male  StatsSA</c:v>
                </c:pt>
              </c:strCache>
            </c:strRef>
          </c:tx>
          <c:spPr>
            <a:ln w="25400">
              <a:solidFill>
                <a:srgbClr val="FF6600"/>
              </a:solidFill>
              <a:prstDash val="solid"/>
            </a:ln>
          </c:spPr>
          <c:marker>
            <c:symbol val="none"/>
          </c:marker>
          <c:cat>
            <c:numRef>
              <c:f>'Life Expectancy '!$E$8:$T$8</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'Life Expectancy '!$E$9:$T$9</c:f>
              <c:numCache>
                <c:formatCode>0.0</c:formatCode>
                <c:ptCount val="16"/>
                <c:pt idx="0">
                  <c:v>51.8</c:v>
                </c:pt>
                <c:pt idx="1">
                  <c:v>53.6</c:v>
                </c:pt>
                <c:pt idx="2">
                  <c:v>53.2</c:v>
                </c:pt>
                <c:pt idx="3">
                  <c:v>52.9</c:v>
                </c:pt>
                <c:pt idx="4">
                  <c:v>52.8</c:v>
                </c:pt>
                <c:pt idx="5">
                  <c:v>53</c:v>
                </c:pt>
                <c:pt idx="6">
                  <c:v>53.4</c:v>
                </c:pt>
                <c:pt idx="7">
                  <c:v>54.2</c:v>
                </c:pt>
                <c:pt idx="8">
                  <c:v>54.7</c:v>
                </c:pt>
                <c:pt idx="9">
                  <c:v>55.3</c:v>
                </c:pt>
                <c:pt idx="10">
                  <c:v>56.2</c:v>
                </c:pt>
                <c:pt idx="11">
                  <c:v>57.4</c:v>
                </c:pt>
                <c:pt idx="12">
                  <c:v>58.3</c:v>
                </c:pt>
                <c:pt idx="13">
                  <c:v>58.9</c:v>
                </c:pt>
                <c:pt idx="14">
                  <c:v>59.3</c:v>
                </c:pt>
                <c:pt idx="15" formatCode="General">
                  <c:v>59.7</c:v>
                </c:pt>
              </c:numCache>
            </c:numRef>
          </c:val>
          <c:smooth val="0"/>
          <c:extLst>
            <c:ext xmlns:c16="http://schemas.microsoft.com/office/drawing/2014/chart" uri="{C3380CC4-5D6E-409C-BE32-E72D297353CC}">
              <c16:uniqueId val="{00000000-BF9D-4281-A642-8BBBC02C77E9}"/>
            </c:ext>
          </c:extLst>
        </c:ser>
        <c:ser>
          <c:idx val="1"/>
          <c:order val="1"/>
          <c:tx>
            <c:strRef>
              <c:f>'Life Expectancy '!$D$10</c:f>
              <c:strCache>
                <c:ptCount val="1"/>
                <c:pt idx="0">
                  <c:v>LE female  StatsSA</c:v>
                </c:pt>
              </c:strCache>
            </c:strRef>
          </c:tx>
          <c:spPr>
            <a:ln w="25400">
              <a:solidFill>
                <a:srgbClr val="BE4B48"/>
              </a:solidFill>
              <a:prstDash val="solid"/>
            </a:ln>
          </c:spPr>
          <c:marker>
            <c:symbol val="none"/>
          </c:marker>
          <c:cat>
            <c:numRef>
              <c:f>'Life Expectancy '!$E$8:$T$8</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'Life Expectancy '!$E$10:$T$10</c:f>
              <c:numCache>
                <c:formatCode>0.0</c:formatCode>
                <c:ptCount val="16"/>
                <c:pt idx="0">
                  <c:v>56.8</c:v>
                </c:pt>
                <c:pt idx="1">
                  <c:v>56.6</c:v>
                </c:pt>
                <c:pt idx="2">
                  <c:v>55.7</c:v>
                </c:pt>
                <c:pt idx="3">
                  <c:v>55.1</c:v>
                </c:pt>
                <c:pt idx="4">
                  <c:v>54.8</c:v>
                </c:pt>
                <c:pt idx="5">
                  <c:v>55</c:v>
                </c:pt>
                <c:pt idx="6">
                  <c:v>55.5</c:v>
                </c:pt>
                <c:pt idx="7">
                  <c:v>56.9</c:v>
                </c:pt>
                <c:pt idx="8">
                  <c:v>57.9</c:v>
                </c:pt>
                <c:pt idx="9">
                  <c:v>58.6</c:v>
                </c:pt>
                <c:pt idx="10">
                  <c:v>60.2</c:v>
                </c:pt>
                <c:pt idx="11">
                  <c:v>62.2</c:v>
                </c:pt>
                <c:pt idx="12">
                  <c:v>63.6</c:v>
                </c:pt>
                <c:pt idx="13">
                  <c:v>64.2</c:v>
                </c:pt>
                <c:pt idx="14">
                  <c:v>64.7</c:v>
                </c:pt>
                <c:pt idx="15" formatCode="General">
                  <c:v>65.099999999999994</c:v>
                </c:pt>
              </c:numCache>
            </c:numRef>
          </c:val>
          <c:smooth val="0"/>
          <c:extLst>
            <c:ext xmlns:c16="http://schemas.microsoft.com/office/drawing/2014/chart" uri="{C3380CC4-5D6E-409C-BE32-E72D297353CC}">
              <c16:uniqueId val="{00000001-BF9D-4281-A642-8BBBC02C77E9}"/>
            </c:ext>
          </c:extLst>
        </c:ser>
        <c:ser>
          <c:idx val="2"/>
          <c:order val="2"/>
          <c:tx>
            <c:strRef>
              <c:f>'Life Expectancy '!$D$11</c:f>
              <c:strCache>
                <c:ptCount val="1"/>
                <c:pt idx="0">
                  <c:v>LE combined  StatsSA</c:v>
                </c:pt>
              </c:strCache>
            </c:strRef>
          </c:tx>
          <c:spPr>
            <a:ln w="25400">
              <a:solidFill>
                <a:srgbClr val="FFC600"/>
              </a:solidFill>
              <a:prstDash val="solid"/>
            </a:ln>
          </c:spPr>
          <c:marker>
            <c:symbol val="none"/>
          </c:marker>
          <c:cat>
            <c:numRef>
              <c:f>'Life Expectancy '!$E$8:$T$8</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'Life Expectancy '!$E$11:$T$11</c:f>
              <c:numCache>
                <c:formatCode>0.0</c:formatCode>
                <c:ptCount val="16"/>
                <c:pt idx="0">
                  <c:v>54.4</c:v>
                </c:pt>
                <c:pt idx="1">
                  <c:v>55.2</c:v>
                </c:pt>
                <c:pt idx="2">
                  <c:v>54.5</c:v>
                </c:pt>
                <c:pt idx="3">
                  <c:v>54</c:v>
                </c:pt>
                <c:pt idx="4">
                  <c:v>53.8</c:v>
                </c:pt>
                <c:pt idx="5">
                  <c:v>54</c:v>
                </c:pt>
                <c:pt idx="6">
                  <c:v>54.5</c:v>
                </c:pt>
                <c:pt idx="7">
                  <c:v>55.6</c:v>
                </c:pt>
                <c:pt idx="8">
                  <c:v>56.4</c:v>
                </c:pt>
                <c:pt idx="9">
                  <c:v>57</c:v>
                </c:pt>
                <c:pt idx="10">
                  <c:v>58.3</c:v>
                </c:pt>
                <c:pt idx="11">
                  <c:v>59.9</c:v>
                </c:pt>
                <c:pt idx="12">
                  <c:v>61</c:v>
                </c:pt>
                <c:pt idx="13">
                  <c:v>61.6</c:v>
                </c:pt>
                <c:pt idx="14">
                  <c:v>62.1</c:v>
                </c:pt>
                <c:pt idx="15" formatCode="General">
                  <c:v>62.4</c:v>
                </c:pt>
              </c:numCache>
            </c:numRef>
          </c:val>
          <c:smooth val="0"/>
          <c:extLst>
            <c:ext xmlns:c16="http://schemas.microsoft.com/office/drawing/2014/chart" uri="{C3380CC4-5D6E-409C-BE32-E72D297353CC}">
              <c16:uniqueId val="{00000002-BF9D-4281-A642-8BBBC02C77E9}"/>
            </c:ext>
          </c:extLst>
        </c:ser>
        <c:dLbls>
          <c:showLegendKey val="0"/>
          <c:showVal val="0"/>
          <c:showCatName val="0"/>
          <c:showSerName val="0"/>
          <c:showPercent val="0"/>
          <c:showBubbleSize val="0"/>
        </c:dLbls>
        <c:smooth val="0"/>
        <c:axId val="256196448"/>
        <c:axId val="256195272"/>
      </c:lineChart>
      <c:catAx>
        <c:axId val="256196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6195272"/>
        <c:crosses val="autoZero"/>
        <c:auto val="1"/>
        <c:lblAlgn val="ctr"/>
        <c:lblOffset val="100"/>
        <c:tickLblSkip val="1"/>
        <c:tickMarkSkip val="1"/>
        <c:noMultiLvlLbl val="0"/>
      </c:catAx>
      <c:valAx>
        <c:axId val="256195272"/>
        <c:scaling>
          <c:orientation val="minMax"/>
          <c:min val="48"/>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Years</a:t>
                </a:r>
              </a:p>
            </c:rich>
          </c:tx>
          <c:layout>
            <c:manualLayout>
              <c:xMode val="edge"/>
              <c:yMode val="edge"/>
              <c:x val="3.6322308586025323E-2"/>
              <c:y val="0.3687714617068245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6196448"/>
        <c:crosses val="autoZero"/>
        <c:crossBetween val="between"/>
      </c:valAx>
      <c:spPr>
        <a:solidFill>
          <a:srgbClr val="FFFFFF"/>
        </a:solidFill>
        <a:ln w="25400">
          <a:noFill/>
        </a:ln>
      </c:spPr>
    </c:plotArea>
    <c:legend>
      <c:legendPos val="r"/>
      <c:layout>
        <c:manualLayout>
          <c:xMode val="edge"/>
          <c:yMode val="edge"/>
          <c:x val="0.25000025346851379"/>
          <c:y val="0.91516709511568106"/>
          <c:w val="0.57973480704659652"/>
          <c:h val="7.1979434447300802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horizontalDpi="0" verticalDpi="0"/>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04672288304388"/>
          <c:y val="6.2707630296212985E-2"/>
          <c:w val="0.87019725371208034"/>
          <c:h val="0.67151246719160107"/>
        </c:manualLayout>
      </c:layout>
      <c:lineChart>
        <c:grouping val="standard"/>
        <c:varyColors val="0"/>
        <c:ser>
          <c:idx val="0"/>
          <c:order val="0"/>
          <c:tx>
            <c:strRef>
              <c:f>'Life Expectancy '!$D$9</c:f>
              <c:strCache>
                <c:ptCount val="1"/>
                <c:pt idx="0">
                  <c:v>LE male  StatsSA</c:v>
                </c:pt>
              </c:strCache>
            </c:strRef>
          </c:tx>
          <c:spPr>
            <a:ln w="15875">
              <a:solidFill>
                <a:srgbClr val="808000"/>
              </a:solidFill>
              <a:prstDash val="solid"/>
            </a:ln>
          </c:spPr>
          <c:marker>
            <c:symbol val="none"/>
          </c:marker>
          <c:cat>
            <c:numRef>
              <c:f>'Life Expectancy '!$E$8:$S$8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'Life Expectancy '!$E$9:$S$9</c:f>
              <c:numCache>
                <c:formatCode>0.0</c:formatCode>
                <c:ptCount val="15"/>
                <c:pt idx="0">
                  <c:v>51.8</c:v>
                </c:pt>
                <c:pt idx="1">
                  <c:v>53.6</c:v>
                </c:pt>
                <c:pt idx="2">
                  <c:v>53.2</c:v>
                </c:pt>
                <c:pt idx="3">
                  <c:v>52.9</c:v>
                </c:pt>
                <c:pt idx="4">
                  <c:v>52.8</c:v>
                </c:pt>
                <c:pt idx="5">
                  <c:v>53</c:v>
                </c:pt>
                <c:pt idx="6">
                  <c:v>53.4</c:v>
                </c:pt>
                <c:pt idx="7">
                  <c:v>54.2</c:v>
                </c:pt>
                <c:pt idx="8">
                  <c:v>54.7</c:v>
                </c:pt>
                <c:pt idx="9">
                  <c:v>55.3</c:v>
                </c:pt>
                <c:pt idx="10">
                  <c:v>56.2</c:v>
                </c:pt>
                <c:pt idx="11">
                  <c:v>57.4</c:v>
                </c:pt>
                <c:pt idx="12">
                  <c:v>58.3</c:v>
                </c:pt>
                <c:pt idx="13">
                  <c:v>58.9</c:v>
                </c:pt>
                <c:pt idx="14">
                  <c:v>59.3</c:v>
                </c:pt>
              </c:numCache>
            </c:numRef>
          </c:val>
          <c:smooth val="0"/>
          <c:extLst>
            <c:ext xmlns:c16="http://schemas.microsoft.com/office/drawing/2014/chart" uri="{C3380CC4-5D6E-409C-BE32-E72D297353CC}">
              <c16:uniqueId val="{00000000-3CEB-459A-8C35-649B05C36D24}"/>
            </c:ext>
          </c:extLst>
        </c:ser>
        <c:ser>
          <c:idx val="1"/>
          <c:order val="1"/>
          <c:tx>
            <c:strRef>
              <c:f>'Life Expectancy '!$D$10</c:f>
              <c:strCache>
                <c:ptCount val="1"/>
                <c:pt idx="0">
                  <c:v>LE female  StatsSA</c:v>
                </c:pt>
              </c:strCache>
            </c:strRef>
          </c:tx>
          <c:spPr>
            <a:ln w="15875">
              <a:solidFill>
                <a:srgbClr val="FF6600"/>
              </a:solidFill>
              <a:prstDash val="solid"/>
            </a:ln>
          </c:spPr>
          <c:marker>
            <c:symbol val="none"/>
          </c:marker>
          <c:cat>
            <c:numRef>
              <c:f>'Life Expectancy '!$E$8:$S$8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'Life Expectancy '!$E$10:$S$10</c:f>
              <c:numCache>
                <c:formatCode>0.0</c:formatCode>
                <c:ptCount val="15"/>
                <c:pt idx="0">
                  <c:v>56.8</c:v>
                </c:pt>
                <c:pt idx="1">
                  <c:v>56.6</c:v>
                </c:pt>
                <c:pt idx="2">
                  <c:v>55.7</c:v>
                </c:pt>
                <c:pt idx="3">
                  <c:v>55.1</c:v>
                </c:pt>
                <c:pt idx="4">
                  <c:v>54.8</c:v>
                </c:pt>
                <c:pt idx="5">
                  <c:v>55</c:v>
                </c:pt>
                <c:pt idx="6">
                  <c:v>55.5</c:v>
                </c:pt>
                <c:pt idx="7">
                  <c:v>56.9</c:v>
                </c:pt>
                <c:pt idx="8">
                  <c:v>57.9</c:v>
                </c:pt>
                <c:pt idx="9">
                  <c:v>58.6</c:v>
                </c:pt>
                <c:pt idx="10">
                  <c:v>60.2</c:v>
                </c:pt>
                <c:pt idx="11">
                  <c:v>62.2</c:v>
                </c:pt>
                <c:pt idx="12">
                  <c:v>63.6</c:v>
                </c:pt>
                <c:pt idx="13">
                  <c:v>64.2</c:v>
                </c:pt>
                <c:pt idx="14">
                  <c:v>64.7</c:v>
                </c:pt>
              </c:numCache>
            </c:numRef>
          </c:val>
          <c:smooth val="0"/>
          <c:extLst>
            <c:ext xmlns:c16="http://schemas.microsoft.com/office/drawing/2014/chart" uri="{C3380CC4-5D6E-409C-BE32-E72D297353CC}">
              <c16:uniqueId val="{00000001-3CEB-459A-8C35-649B05C36D24}"/>
            </c:ext>
          </c:extLst>
        </c:ser>
        <c:ser>
          <c:idx val="2"/>
          <c:order val="2"/>
          <c:tx>
            <c:strRef>
              <c:f>'Life Expectancy '!$D$11</c:f>
              <c:strCache>
                <c:ptCount val="1"/>
                <c:pt idx="0">
                  <c:v>LE combined  StatsSA</c:v>
                </c:pt>
              </c:strCache>
            </c:strRef>
          </c:tx>
          <c:spPr>
            <a:ln w="15875">
              <a:solidFill>
                <a:srgbClr val="993300"/>
              </a:solidFill>
              <a:prstDash val="solid"/>
            </a:ln>
          </c:spPr>
          <c:marker>
            <c:symbol val="none"/>
          </c:marker>
          <c:cat>
            <c:numRef>
              <c:f>'Life Expectancy '!$E$8:$S$8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'Life Expectancy '!$E$11:$S$11</c:f>
              <c:numCache>
                <c:formatCode>0.0</c:formatCode>
                <c:ptCount val="15"/>
                <c:pt idx="0">
                  <c:v>54.4</c:v>
                </c:pt>
                <c:pt idx="1">
                  <c:v>55.2</c:v>
                </c:pt>
                <c:pt idx="2">
                  <c:v>54.5</c:v>
                </c:pt>
                <c:pt idx="3">
                  <c:v>54</c:v>
                </c:pt>
                <c:pt idx="4">
                  <c:v>53.8</c:v>
                </c:pt>
                <c:pt idx="5">
                  <c:v>54</c:v>
                </c:pt>
                <c:pt idx="6">
                  <c:v>54.5</c:v>
                </c:pt>
                <c:pt idx="7">
                  <c:v>55.6</c:v>
                </c:pt>
                <c:pt idx="8">
                  <c:v>56.4</c:v>
                </c:pt>
                <c:pt idx="9">
                  <c:v>57</c:v>
                </c:pt>
                <c:pt idx="10">
                  <c:v>58.3</c:v>
                </c:pt>
                <c:pt idx="11">
                  <c:v>59.9</c:v>
                </c:pt>
                <c:pt idx="12">
                  <c:v>61</c:v>
                </c:pt>
                <c:pt idx="13">
                  <c:v>61.6</c:v>
                </c:pt>
                <c:pt idx="14">
                  <c:v>62.1</c:v>
                </c:pt>
              </c:numCache>
            </c:numRef>
          </c:val>
          <c:smooth val="0"/>
          <c:extLst>
            <c:ext xmlns:c16="http://schemas.microsoft.com/office/drawing/2014/chart" uri="{C3380CC4-5D6E-409C-BE32-E72D297353CC}">
              <c16:uniqueId val="{00000002-3CEB-459A-8C35-649B05C36D24}"/>
            </c:ext>
          </c:extLst>
        </c:ser>
        <c:dLbls>
          <c:showLegendKey val="0"/>
          <c:showVal val="0"/>
          <c:showCatName val="0"/>
          <c:showSerName val="0"/>
          <c:showPercent val="0"/>
          <c:showBubbleSize val="0"/>
        </c:dLbls>
        <c:smooth val="0"/>
        <c:axId val="256196840"/>
        <c:axId val="256201936"/>
      </c:lineChart>
      <c:catAx>
        <c:axId val="256196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256201936"/>
        <c:crosses val="autoZero"/>
        <c:auto val="1"/>
        <c:lblAlgn val="ctr"/>
        <c:lblOffset val="100"/>
        <c:tickLblSkip val="1"/>
        <c:tickMarkSkip val="1"/>
        <c:noMultiLvlLbl val="0"/>
      </c:catAx>
      <c:valAx>
        <c:axId val="256201936"/>
        <c:scaling>
          <c:orientation val="minMax"/>
          <c:min val="48"/>
        </c:scaling>
        <c:delete val="0"/>
        <c:axPos val="l"/>
        <c:majorGridlines>
          <c:spPr>
            <a:ln w="3175">
              <a:solidFill>
                <a:schemeClr val="bg1">
                  <a:lumMod val="75000"/>
                </a:schemeClr>
              </a:solidFill>
              <a:prstDash val="sysDash"/>
            </a:ln>
          </c:spPr>
        </c:majorGridlines>
        <c:title>
          <c:tx>
            <c:rich>
              <a:bodyPr/>
              <a:lstStyle/>
              <a:p>
                <a:pPr>
                  <a:defRPr/>
                </a:pPr>
                <a:r>
                  <a:rPr lang="en-ZA"/>
                  <a:t>Years</a:t>
                </a:r>
              </a:p>
            </c:rich>
          </c:tx>
          <c:layout>
            <c:manualLayout>
              <c:xMode val="edge"/>
              <c:yMode val="edge"/>
              <c:x val="3.6322308586025323E-2"/>
              <c:y val="0.3687714617068245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256196840"/>
        <c:crosses val="autoZero"/>
        <c:crossBetween val="between"/>
      </c:valAx>
      <c:spPr>
        <a:solidFill>
          <a:srgbClr val="FFFFFF"/>
        </a:solidFill>
        <a:ln w="25400">
          <a:noFill/>
        </a:ln>
      </c:spPr>
    </c:plotArea>
    <c:legend>
      <c:legendPos val="r"/>
      <c:layout>
        <c:manualLayout>
          <c:xMode val="edge"/>
          <c:yMode val="edge"/>
          <c:x val="4.9054683767365957E-2"/>
          <c:y val="0.91516709511568106"/>
          <c:w val="0.86539280107717031"/>
          <c:h val="7.1979434447300802E-2"/>
        </c:manualLayout>
      </c:layout>
      <c:overlay val="0"/>
      <c:spPr>
        <a:solidFill>
          <a:srgbClr val="FFFFFF"/>
        </a:solidFill>
        <a:ln w="3175">
          <a:noFill/>
          <a:prstDash val="solid"/>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544" r="0.75000000000000544" t="1" header="0.5" footer="0.5"/>
    <c:pageSetup paperSize="9" orientation="landscape" horizontalDpi="0" verticalDpi="0"/>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'Infant &amp; Child mortality'!$G$59</c:f>
              <c:strCache>
                <c:ptCount val="1"/>
                <c:pt idx="0">
                  <c:v>Infant mortality rate (IMR)</c:v>
                </c:pt>
              </c:strCache>
            </c:strRef>
          </c:tx>
          <c:spPr>
            <a:ln w="15875">
              <a:solidFill>
                <a:schemeClr val="accent6">
                  <a:lumMod val="75000"/>
                </a:schemeClr>
              </a:solidFill>
            </a:ln>
          </c:spPr>
          <c:marker>
            <c:symbol val="none"/>
          </c:marker>
          <c:cat>
            <c:numRef>
              <c:f>'Infant &amp; Child mortality'!$H$58:$T$58</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'Infant &amp; Child mortality'!$H$59:$T$59</c:f>
              <c:numCache>
                <c:formatCode>General</c:formatCode>
                <c:ptCount val="13"/>
                <c:pt idx="0">
                  <c:v>57.8</c:v>
                </c:pt>
                <c:pt idx="1">
                  <c:v>56.2</c:v>
                </c:pt>
                <c:pt idx="2">
                  <c:v>54.3</c:v>
                </c:pt>
                <c:pt idx="3">
                  <c:v>52</c:v>
                </c:pt>
                <c:pt idx="4">
                  <c:v>49.4</c:v>
                </c:pt>
                <c:pt idx="5">
                  <c:v>45.8</c:v>
                </c:pt>
                <c:pt idx="6">
                  <c:v>45</c:v>
                </c:pt>
                <c:pt idx="7">
                  <c:v>40.9</c:v>
                </c:pt>
                <c:pt idx="8">
                  <c:v>38.9</c:v>
                </c:pt>
                <c:pt idx="9">
                  <c:v>37.799999999999997</c:v>
                </c:pt>
                <c:pt idx="10">
                  <c:v>36.799999999999997</c:v>
                </c:pt>
                <c:pt idx="11">
                  <c:v>35.200000000000003</c:v>
                </c:pt>
                <c:pt idx="12">
                  <c:v>34.4</c:v>
                </c:pt>
              </c:numCache>
            </c:numRef>
          </c:val>
          <c:smooth val="0"/>
          <c:extLst>
            <c:ext xmlns:c16="http://schemas.microsoft.com/office/drawing/2014/chart" uri="{C3380CC4-5D6E-409C-BE32-E72D297353CC}">
              <c16:uniqueId val="{00000000-FCE4-4CDF-B94D-9C27C89FE50B}"/>
            </c:ext>
          </c:extLst>
        </c:ser>
        <c:ser>
          <c:idx val="1"/>
          <c:order val="1"/>
          <c:tx>
            <c:strRef>
              <c:f>'Infant &amp; Child mortality'!$G$60</c:f>
              <c:strCache>
                <c:ptCount val="1"/>
                <c:pt idx="0">
                  <c:v>Under 5 mortality</c:v>
                </c:pt>
              </c:strCache>
            </c:strRef>
          </c:tx>
          <c:spPr>
            <a:ln w="15875"/>
          </c:spPr>
          <c:marker>
            <c:symbol val="none"/>
          </c:marker>
          <c:cat>
            <c:numRef>
              <c:f>'Infant &amp; Child mortality'!$H$58:$T$58</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'Infant &amp; Child mortality'!$H$60:$T$60</c:f>
              <c:numCache>
                <c:formatCode>General</c:formatCode>
                <c:ptCount val="13"/>
                <c:pt idx="0">
                  <c:v>85.2</c:v>
                </c:pt>
                <c:pt idx="1">
                  <c:v>83.5</c:v>
                </c:pt>
                <c:pt idx="2">
                  <c:v>80.900000000000006</c:v>
                </c:pt>
                <c:pt idx="3">
                  <c:v>77.400000000000006</c:v>
                </c:pt>
                <c:pt idx="4">
                  <c:v>72.900000000000006</c:v>
                </c:pt>
                <c:pt idx="5">
                  <c:v>67.400000000000006</c:v>
                </c:pt>
                <c:pt idx="6">
                  <c:v>64.7</c:v>
                </c:pt>
                <c:pt idx="7">
                  <c:v>59.9</c:v>
                </c:pt>
                <c:pt idx="8">
                  <c:v>53.8</c:v>
                </c:pt>
                <c:pt idx="9">
                  <c:v>50.4</c:v>
                </c:pt>
                <c:pt idx="10">
                  <c:v>48.3</c:v>
                </c:pt>
                <c:pt idx="11">
                  <c:v>45.6</c:v>
                </c:pt>
                <c:pt idx="12">
                  <c:v>44.1</c:v>
                </c:pt>
              </c:numCache>
            </c:numRef>
          </c:val>
          <c:smooth val="0"/>
          <c:extLst>
            <c:ext xmlns:c16="http://schemas.microsoft.com/office/drawing/2014/chart" uri="{C3380CC4-5D6E-409C-BE32-E72D297353CC}">
              <c16:uniqueId val="{00000001-FCE4-4CDF-B94D-9C27C89FE50B}"/>
            </c:ext>
          </c:extLst>
        </c:ser>
        <c:dLbls>
          <c:showLegendKey val="0"/>
          <c:showVal val="0"/>
          <c:showCatName val="0"/>
          <c:showSerName val="0"/>
          <c:showPercent val="0"/>
          <c:showBubbleSize val="0"/>
        </c:dLbls>
        <c:smooth val="0"/>
        <c:axId val="257261464"/>
        <c:axId val="257256368"/>
      </c:lineChart>
      <c:catAx>
        <c:axId val="257261464"/>
        <c:scaling>
          <c:orientation val="minMax"/>
        </c:scaling>
        <c:delete val="0"/>
        <c:axPos val="b"/>
        <c:numFmt formatCode="General" sourceLinked="1"/>
        <c:majorTickMark val="none"/>
        <c:minorTickMark val="none"/>
        <c:tickLblPos val="nextTo"/>
        <c:spPr>
          <a:ln>
            <a:solidFill>
              <a:schemeClr val="tx1"/>
            </a:solidFill>
          </a:ln>
        </c:spPr>
        <c:crossAx val="257256368"/>
        <c:crosses val="autoZero"/>
        <c:auto val="1"/>
        <c:lblAlgn val="ctr"/>
        <c:lblOffset val="100"/>
        <c:noMultiLvlLbl val="0"/>
      </c:catAx>
      <c:valAx>
        <c:axId val="257256368"/>
        <c:scaling>
          <c:orientation val="minMax"/>
          <c:min val="20"/>
        </c:scaling>
        <c:delete val="0"/>
        <c:axPos val="l"/>
        <c:majorGridlines>
          <c:spPr>
            <a:ln w="3175">
              <a:solidFill>
                <a:schemeClr val="bg1">
                  <a:lumMod val="75000"/>
                </a:schemeClr>
              </a:solidFill>
              <a:prstDash val="sysDash"/>
            </a:ln>
          </c:spPr>
        </c:majorGridlines>
        <c:title>
          <c:tx>
            <c:rich>
              <a:bodyPr/>
              <a:lstStyle/>
              <a:p>
                <a:pPr>
                  <a:defRPr b="0"/>
                </a:pPr>
                <a:r>
                  <a:rPr lang="en-US" b="0"/>
                  <a:t>Infant mortality ( deaths per 1 000 live births)</a:t>
                </a:r>
              </a:p>
            </c:rich>
          </c:tx>
          <c:overlay val="0"/>
        </c:title>
        <c:numFmt formatCode="General" sourceLinked="1"/>
        <c:majorTickMark val="none"/>
        <c:minorTickMark val="none"/>
        <c:tickLblPos val="nextTo"/>
        <c:spPr>
          <a:ln>
            <a:solidFill>
              <a:schemeClr val="tx1"/>
            </a:solidFill>
          </a:ln>
        </c:spPr>
        <c:crossAx val="257261464"/>
        <c:crosses val="autoZero"/>
        <c:crossBetween val="between"/>
      </c:valAx>
    </c:plotArea>
    <c:legend>
      <c:legendPos val="b"/>
      <c:overlay val="0"/>
    </c:legend>
    <c:plotVisOnly val="1"/>
    <c:dispBlanksAs val="gap"/>
    <c:showDLblsOverMax val="0"/>
  </c:chart>
  <c:spPr>
    <a:ln>
      <a:noFill/>
    </a:ln>
  </c:spPr>
  <c:txPr>
    <a:bodyPr/>
    <a:lstStyle/>
    <a:p>
      <a:pPr>
        <a:defRPr sz="800">
          <a:latin typeface="Arial Narrow"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SEVERE ACUTE</a:t>
            </a:r>
            <a:r>
              <a:rPr lang="en-ZA" baseline="0"/>
              <a:t> </a:t>
            </a:r>
            <a:r>
              <a:rPr lang="en-ZA"/>
              <a:t>MALNUTRITION - UNDER FIVE YEARS</a:t>
            </a:r>
          </a:p>
        </c:rich>
      </c:tx>
      <c:layout>
        <c:manualLayout>
          <c:xMode val="edge"/>
          <c:yMode val="edge"/>
          <c:x val="6.5326702583229729E-2"/>
          <c:y val="4.5454646559010645E-2"/>
        </c:manualLayout>
      </c:layout>
      <c:overlay val="0"/>
      <c:spPr>
        <a:noFill/>
        <a:ln w="25400">
          <a:noFill/>
        </a:ln>
      </c:spPr>
    </c:title>
    <c:autoTitleDeleted val="0"/>
    <c:plotArea>
      <c:layout>
        <c:manualLayout>
          <c:layoutTarget val="inner"/>
          <c:xMode val="edge"/>
          <c:yMode val="edge"/>
          <c:x val="6.6492882117385299E-2"/>
          <c:y val="0.22033936295049289"/>
          <c:w val="0.91069172860771785"/>
          <c:h val="0.64124404345848596"/>
        </c:manualLayout>
      </c:layout>
      <c:lineChart>
        <c:grouping val="standard"/>
        <c:varyColors val="0"/>
        <c:ser>
          <c:idx val="0"/>
          <c:order val="0"/>
          <c:tx>
            <c:strRef>
              <c:f>'Severe Acute Malnutrition'!$D$9</c:f>
              <c:strCache>
                <c:ptCount val="1"/>
                <c:pt idx="0">
                  <c:v>Severe acute malnutrition under five years</c:v>
                </c:pt>
              </c:strCache>
            </c:strRef>
          </c:tx>
          <c:spPr>
            <a:ln w="25400">
              <a:solidFill>
                <a:srgbClr val="FF6600"/>
              </a:solidFill>
              <a:prstDash val="solid"/>
            </a:ln>
          </c:spPr>
          <c:marker>
            <c:symbol val="none"/>
          </c:marker>
          <c:cat>
            <c:numRef>
              <c:f>'Severe Acute Malnutrition'!$G$8:$U$8</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'Severe Acute Malnutrition'!$G$9:$U$9</c:f>
              <c:numCache>
                <c:formatCode>#\ ###\ ##0</c:formatCode>
                <c:ptCount val="15"/>
                <c:pt idx="0">
                  <c:v>88971</c:v>
                </c:pt>
                <c:pt idx="1">
                  <c:v>83957</c:v>
                </c:pt>
                <c:pt idx="2">
                  <c:v>64718</c:v>
                </c:pt>
                <c:pt idx="3">
                  <c:v>39785</c:v>
                </c:pt>
                <c:pt idx="4">
                  <c:v>30082</c:v>
                </c:pt>
                <c:pt idx="5">
                  <c:v>29176</c:v>
                </c:pt>
                <c:pt idx="6">
                  <c:v>29165</c:v>
                </c:pt>
                <c:pt idx="7">
                  <c:v>27064</c:v>
                </c:pt>
                <c:pt idx="8">
                  <c:v>28029</c:v>
                </c:pt>
                <c:pt idx="9">
                  <c:v>25057</c:v>
                </c:pt>
                <c:pt idx="10">
                  <c:v>23521</c:v>
                </c:pt>
                <c:pt idx="11">
                  <c:v>20786</c:v>
                </c:pt>
                <c:pt idx="12">
                  <c:v>22313</c:v>
                </c:pt>
                <c:pt idx="13">
                  <c:v>25312</c:v>
                </c:pt>
                <c:pt idx="14">
                  <c:v>23545</c:v>
                </c:pt>
              </c:numCache>
            </c:numRef>
          </c:val>
          <c:smooth val="0"/>
          <c:extLst>
            <c:ext xmlns:c16="http://schemas.microsoft.com/office/drawing/2014/chart" uri="{C3380CC4-5D6E-409C-BE32-E72D297353CC}">
              <c16:uniqueId val="{00000000-F788-4BC6-B520-2E2002E7D658}"/>
            </c:ext>
          </c:extLst>
        </c:ser>
        <c:dLbls>
          <c:showLegendKey val="0"/>
          <c:showVal val="0"/>
          <c:showCatName val="0"/>
          <c:showSerName val="0"/>
          <c:showPercent val="0"/>
          <c:showBubbleSize val="0"/>
        </c:dLbls>
        <c:smooth val="0"/>
        <c:axId val="257258328"/>
        <c:axId val="257262248"/>
      </c:lineChart>
      <c:catAx>
        <c:axId val="257258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7262248"/>
        <c:crosses val="autoZero"/>
        <c:auto val="1"/>
        <c:lblAlgn val="ctr"/>
        <c:lblOffset val="100"/>
        <c:tickLblSkip val="1"/>
        <c:tickMarkSkip val="1"/>
        <c:noMultiLvlLbl val="0"/>
      </c:catAx>
      <c:valAx>
        <c:axId val="257262248"/>
        <c:scaling>
          <c:orientation val="minMax"/>
          <c:min val="2000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3.266825734328144E-3"/>
              <c:y val="0.42533328558101779"/>
            </c:manualLayout>
          </c:layout>
          <c:overlay val="0"/>
          <c:spPr>
            <a:noFill/>
            <a:ln w="25400">
              <a:noFill/>
            </a:ln>
          </c:spPr>
        </c:title>
        <c:numFmt formatCode="#\ ##0\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7258328"/>
        <c:crosses val="autoZero"/>
        <c:crossBetween val="midCat"/>
        <c:majorUnit val="10500"/>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5781665016423"/>
          <c:y val="6.9768031332532038E-2"/>
          <c:w val="0.86830166438775991"/>
          <c:h val="0.79181527542702035"/>
        </c:manualLayout>
      </c:layout>
      <c:lineChart>
        <c:grouping val="standard"/>
        <c:varyColors val="0"/>
        <c:ser>
          <c:idx val="0"/>
          <c:order val="0"/>
          <c:tx>
            <c:strRef>
              <c:f>'Severe Acute Malnutrition'!$D$9</c:f>
              <c:strCache>
                <c:ptCount val="1"/>
                <c:pt idx="0">
                  <c:v>Severe acute malnutrition under five years</c:v>
                </c:pt>
              </c:strCache>
            </c:strRef>
          </c:tx>
          <c:spPr>
            <a:ln w="12700">
              <a:solidFill>
                <a:srgbClr val="FF6600"/>
              </a:solidFill>
              <a:prstDash val="solid"/>
            </a:ln>
          </c:spPr>
          <c:marker>
            <c:symbol val="none"/>
          </c:marker>
          <c:cat>
            <c:numRef>
              <c:f>'Severe Acute Malnutrition'!$G$8:$T$8</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'Severe Acute Malnutrition'!$G$9:$T$9</c:f>
              <c:numCache>
                <c:formatCode>#\ ###\ ##0</c:formatCode>
                <c:ptCount val="14"/>
                <c:pt idx="0">
                  <c:v>88971</c:v>
                </c:pt>
                <c:pt idx="1">
                  <c:v>83957</c:v>
                </c:pt>
                <c:pt idx="2">
                  <c:v>64718</c:v>
                </c:pt>
                <c:pt idx="3">
                  <c:v>39785</c:v>
                </c:pt>
                <c:pt idx="4">
                  <c:v>30082</c:v>
                </c:pt>
                <c:pt idx="5">
                  <c:v>29176</c:v>
                </c:pt>
                <c:pt idx="6">
                  <c:v>29165</c:v>
                </c:pt>
                <c:pt idx="7">
                  <c:v>27064</c:v>
                </c:pt>
                <c:pt idx="8">
                  <c:v>28029</c:v>
                </c:pt>
                <c:pt idx="9">
                  <c:v>25057</c:v>
                </c:pt>
                <c:pt idx="10">
                  <c:v>23521</c:v>
                </c:pt>
                <c:pt idx="11">
                  <c:v>20786</c:v>
                </c:pt>
                <c:pt idx="12">
                  <c:v>22313</c:v>
                </c:pt>
                <c:pt idx="13">
                  <c:v>25312</c:v>
                </c:pt>
              </c:numCache>
            </c:numRef>
          </c:val>
          <c:smooth val="0"/>
          <c:extLst>
            <c:ext xmlns:c16="http://schemas.microsoft.com/office/drawing/2014/chart" uri="{C3380CC4-5D6E-409C-BE32-E72D297353CC}">
              <c16:uniqueId val="{00000000-1CD6-4EB9-8FEC-F4225EE235A3}"/>
            </c:ext>
          </c:extLst>
        </c:ser>
        <c:dLbls>
          <c:showLegendKey val="0"/>
          <c:showVal val="0"/>
          <c:showCatName val="0"/>
          <c:showSerName val="0"/>
          <c:showPercent val="0"/>
          <c:showBubbleSize val="0"/>
        </c:dLbls>
        <c:smooth val="0"/>
        <c:axId val="257257544"/>
        <c:axId val="138542896"/>
      </c:lineChart>
      <c:catAx>
        <c:axId val="257257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38542896"/>
        <c:crosses val="autoZero"/>
        <c:auto val="1"/>
        <c:lblAlgn val="ctr"/>
        <c:lblOffset val="100"/>
        <c:tickLblSkip val="1"/>
        <c:tickMarkSkip val="1"/>
        <c:noMultiLvlLbl val="0"/>
      </c:catAx>
      <c:valAx>
        <c:axId val="138542896"/>
        <c:scaling>
          <c:orientation val="minMax"/>
          <c:max val="100000"/>
          <c:min val="5000"/>
        </c:scaling>
        <c:delete val="0"/>
        <c:axPos val="l"/>
        <c:majorGridlines>
          <c:spPr>
            <a:ln w="3175">
              <a:solidFill>
                <a:srgbClr val="969696"/>
              </a:solidFill>
              <a:prstDash val="sysDash"/>
            </a:ln>
          </c:spPr>
        </c:majorGridlines>
        <c:title>
          <c:tx>
            <c:rich>
              <a:bodyPr/>
              <a:lstStyle/>
              <a:p>
                <a:pPr>
                  <a:defRPr/>
                </a:pPr>
                <a:r>
                  <a:rPr lang="en-ZA"/>
                  <a:t>number</a:t>
                </a:r>
              </a:p>
            </c:rich>
          </c:tx>
          <c:layout>
            <c:manualLayout>
              <c:xMode val="edge"/>
              <c:yMode val="edge"/>
              <c:x val="3.266825734328144E-3"/>
              <c:y val="0.42533328558101779"/>
            </c:manualLayout>
          </c:layout>
          <c:overlay val="0"/>
          <c:spPr>
            <a:noFill/>
            <a:ln w="25400">
              <a:noFill/>
            </a:ln>
          </c:spPr>
        </c:title>
        <c:numFmt formatCode="#\ ##0\ ###" sourceLinked="0"/>
        <c:majorTickMark val="out"/>
        <c:minorTickMark val="none"/>
        <c:tickLblPos val="nextTo"/>
        <c:spPr>
          <a:ln w="3175">
            <a:solidFill>
              <a:srgbClr val="000000"/>
            </a:solidFill>
            <a:prstDash val="solid"/>
          </a:ln>
        </c:spPr>
        <c:txPr>
          <a:bodyPr rot="0" vert="horz"/>
          <a:lstStyle/>
          <a:p>
            <a:pPr>
              <a:defRPr/>
            </a:pPr>
            <a:endParaRPr lang="en-US"/>
          </a:p>
        </c:txPr>
        <c:crossAx val="257257544"/>
        <c:crosses val="autoZero"/>
        <c:crossBetween val="midCat"/>
        <c:majorUnit val="10500"/>
      </c:valAx>
      <c:spPr>
        <a:solidFill>
          <a:srgbClr val="FFFFFF"/>
        </a:solidFill>
        <a:ln w="3175">
          <a:noFill/>
          <a:prstDash val="solid"/>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IMMUNISATION COVERAGE</a:t>
            </a:r>
          </a:p>
        </c:rich>
      </c:tx>
      <c:layout>
        <c:manualLayout>
          <c:xMode val="edge"/>
          <c:yMode val="edge"/>
          <c:x val="2.7667948813570688E-2"/>
          <c:y val="3.2051064039530272E-2"/>
        </c:manualLayout>
      </c:layout>
      <c:overlay val="0"/>
      <c:spPr>
        <a:noFill/>
        <a:ln w="25400">
          <a:noFill/>
        </a:ln>
      </c:spPr>
    </c:title>
    <c:autoTitleDeleted val="0"/>
    <c:plotArea>
      <c:layout>
        <c:manualLayout>
          <c:layoutTarget val="inner"/>
          <c:xMode val="edge"/>
          <c:yMode val="edge"/>
          <c:x val="5.6009599746403939E-2"/>
          <c:y val="0.24658104534685976"/>
          <c:w val="0.92138423728334262"/>
          <c:h val="0.46939056156665954"/>
        </c:manualLayout>
      </c:layout>
      <c:lineChart>
        <c:grouping val="standard"/>
        <c:varyColors val="0"/>
        <c:ser>
          <c:idx val="1"/>
          <c:order val="0"/>
          <c:tx>
            <c:strRef>
              <c:f>Immunization!$D$11</c:f>
              <c:strCache>
                <c:ptCount val="1"/>
                <c:pt idx="0">
                  <c:v>Immunisation Coverage</c:v>
                </c:pt>
              </c:strCache>
            </c:strRef>
          </c:tx>
          <c:marker>
            <c:symbol val="square"/>
            <c:size val="5"/>
            <c:spPr>
              <a:solidFill>
                <a:srgbClr val="FF6600"/>
              </a:solidFill>
              <a:ln>
                <a:solidFill>
                  <a:srgbClr val="FF6600"/>
                </a:solidFill>
                <a:prstDash val="solid"/>
              </a:ln>
            </c:spPr>
          </c:marker>
          <c:cat>
            <c:numRef>
              <c:f>Immunization!$G$10:$W$10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Immunization!$G$11:$W$11</c:f>
              <c:numCache>
                <c:formatCode>0.0%</c:formatCode>
                <c:ptCount val="17"/>
                <c:pt idx="0">
                  <c:v>0.75800000000000001</c:v>
                </c:pt>
                <c:pt idx="1">
                  <c:v>0.79500000000000004</c:v>
                </c:pt>
                <c:pt idx="2">
                  <c:v>0.80900000000000005</c:v>
                </c:pt>
                <c:pt idx="3">
                  <c:v>0.81100000000000005</c:v>
                </c:pt>
                <c:pt idx="4">
                  <c:v>0.83099999999999996</c:v>
                </c:pt>
                <c:pt idx="5">
                  <c:v>0.90200000000000002</c:v>
                </c:pt>
                <c:pt idx="6">
                  <c:v>0.83399999999999996</c:v>
                </c:pt>
                <c:pt idx="7">
                  <c:v>0.84899999999999998</c:v>
                </c:pt>
                <c:pt idx="8">
                  <c:v>0.90500000000000003</c:v>
                </c:pt>
                <c:pt idx="9">
                  <c:v>0.94399999999999995</c:v>
                </c:pt>
                <c:pt idx="10">
                  <c:v>0.88100000000000001</c:v>
                </c:pt>
                <c:pt idx="11">
                  <c:v>0.90800000000000003</c:v>
                </c:pt>
                <c:pt idx="12">
                  <c:v>0.84</c:v>
                </c:pt>
                <c:pt idx="13">
                  <c:v>0.84099999999999997</c:v>
                </c:pt>
                <c:pt idx="14">
                  <c:v>0.875</c:v>
                </c:pt>
                <c:pt idx="15">
                  <c:v>0.91700000000000004</c:v>
                </c:pt>
                <c:pt idx="16">
                  <c:v>0.81899999999999995</c:v>
                </c:pt>
              </c:numCache>
            </c:numRef>
          </c:val>
          <c:smooth val="0"/>
          <c:extLst>
            <c:ext xmlns:c16="http://schemas.microsoft.com/office/drawing/2014/chart" uri="{C3380CC4-5D6E-409C-BE32-E72D297353CC}">
              <c16:uniqueId val="{00000000-4620-42F9-9083-C1CC2059D81D}"/>
            </c:ext>
          </c:extLst>
        </c:ser>
        <c:dLbls>
          <c:showLegendKey val="0"/>
          <c:showVal val="0"/>
          <c:showCatName val="0"/>
          <c:showSerName val="0"/>
          <c:showPercent val="0"/>
          <c:showBubbleSize val="0"/>
        </c:dLbls>
        <c:marker val="1"/>
        <c:smooth val="0"/>
        <c:axId val="138546816"/>
        <c:axId val="138547600"/>
      </c:lineChart>
      <c:catAx>
        <c:axId val="138546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8547600"/>
        <c:crosses val="autoZero"/>
        <c:auto val="1"/>
        <c:lblAlgn val="ctr"/>
        <c:lblOffset val="100"/>
        <c:tickLblSkip val="1"/>
        <c:tickMarkSkip val="1"/>
        <c:noMultiLvlLbl val="0"/>
      </c:catAx>
      <c:valAx>
        <c:axId val="138547600"/>
        <c:scaling>
          <c:orientation val="minMax"/>
          <c:min val="0.60000000000000064"/>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8546816"/>
        <c:crosses val="autoZero"/>
        <c:crossBetween val="midCat"/>
        <c:majorUnit val="0.1"/>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paperSize="9"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a:t>Maternal Deaths / 100 000 live births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'Martenal mortality'!$C$11</c:f>
              <c:strCache>
                <c:ptCount val="1"/>
                <c:pt idx="0">
                  <c:v>StatsSA</c:v>
                </c:pt>
              </c:strCache>
            </c:strRef>
          </c:tx>
          <c:spPr>
            <a:ln w="28575" cap="rnd">
              <a:solidFill>
                <a:schemeClr val="accent4">
                  <a:lumMod val="75000"/>
                </a:schemeClr>
              </a:solidFill>
              <a:round/>
            </a:ln>
            <a:effectLst/>
          </c:spPr>
          <c:marker>
            <c:symbol val="none"/>
          </c:marker>
          <c:cat>
            <c:numRef>
              <c:extLst>
                <c:ext xmlns:c15="http://schemas.microsoft.com/office/drawing/2012/chart" uri="{02D57815-91ED-43cb-92C2-25804820EDAC}">
                  <c15:fullRef>
                    <c15:sqref>'Martenal mortality'!$D$10:$U$10</c15:sqref>
                  </c15:fullRef>
                </c:ext>
              </c:extLst>
              <c:f>'Martenal mortality'!$J$10:$U$10</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extLst>
                <c:ext xmlns:c15="http://schemas.microsoft.com/office/drawing/2012/chart" uri="{02D57815-91ED-43cb-92C2-25804820EDAC}">
                  <c15:fullRef>
                    <c15:sqref>'Martenal mortality'!$D$11:$U$11</c15:sqref>
                  </c15:fullRef>
                </c:ext>
              </c:extLst>
              <c:f>'Martenal mortality'!$J$11:$U$11</c:f>
              <c:numCache>
                <c:formatCode>0</c:formatCode>
                <c:ptCount val="12"/>
                <c:pt idx="0">
                  <c:v>150</c:v>
                </c:pt>
                <c:pt idx="1">
                  <c:v>196</c:v>
                </c:pt>
                <c:pt idx="2">
                  <c:v>212</c:v>
                </c:pt>
                <c:pt idx="3">
                  <c:v>237</c:v>
                </c:pt>
                <c:pt idx="4">
                  <c:v>299</c:v>
                </c:pt>
                <c:pt idx="5">
                  <c:v>300</c:v>
                </c:pt>
                <c:pt idx="6">
                  <c:v>312</c:v>
                </c:pt>
                <c:pt idx="7">
                  <c:v>269</c:v>
                </c:pt>
                <c:pt idx="8">
                  <c:v>203</c:v>
                </c:pt>
                <c:pt idx="9">
                  <c:v>158</c:v>
                </c:pt>
                <c:pt idx="10">
                  <c:v>141</c:v>
                </c:pt>
                <c:pt idx="11">
                  <c:v>130</c:v>
                </c:pt>
              </c:numCache>
            </c:numRef>
          </c:val>
          <c:smooth val="0"/>
          <c:extLst>
            <c:ext xmlns:c16="http://schemas.microsoft.com/office/drawing/2014/chart" uri="{C3380CC4-5D6E-409C-BE32-E72D297353CC}">
              <c16:uniqueId val="{00000000-D92A-45C3-BE7E-22A039A5AAFC}"/>
            </c:ext>
          </c:extLst>
        </c:ser>
        <c:ser>
          <c:idx val="1"/>
          <c:order val="1"/>
          <c:tx>
            <c:strRef>
              <c:f>'Martenal mortality'!$C$12</c:f>
              <c:strCache>
                <c:ptCount val="1"/>
                <c:pt idx="0">
                  <c:v>#VALUE!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extLst>
                <c:ext xmlns:c15="http://schemas.microsoft.com/office/drawing/2012/chart" uri="{02D57815-91ED-43cb-92C2-25804820EDAC}">
                  <c15:fullRef>
                    <c15:sqref>'Martenal mortality'!$D$10:$U$10</c15:sqref>
                  </c15:fullRef>
                </c:ext>
              </c:extLst>
              <c:f>'Martenal mortality'!$J$10:$U$10</c:f>
              <c:numCache>
                <c:formatCode>General</c:formatCode>
                <c:ptCount val="1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extLst>
                <c:ext xmlns:c15="http://schemas.microsoft.com/office/drawing/2012/chart" uri="{02D57815-91ED-43cb-92C2-25804820EDAC}">
                  <c15:fullRef>
                    <c15:sqref>'Martenal mortality'!$D$12:$U$12</c15:sqref>
                  </c15:fullRef>
                </c:ext>
              </c:extLst>
              <c:f>'Martenal mortality'!$J$12:$U$12</c:f>
            </c:numRef>
          </c:val>
          <c:smooth val="0"/>
          <c:extLst>
            <c:ext xmlns:c16="http://schemas.microsoft.com/office/drawing/2014/chart" uri="{C3380CC4-5D6E-409C-BE32-E72D297353CC}">
              <c16:uniqueId val="{00000001-D92A-45C3-BE7E-22A039A5AAFC}"/>
            </c:ext>
          </c:extLst>
        </c:ser>
        <c:ser>
          <c:idx val="2"/>
          <c:order val="2"/>
          <c:tx>
            <c:strRef>
              <c:f>'Martenal mortality'!$C$13</c:f>
              <c:strCache>
                <c:ptCount val="1"/>
                <c:pt idx="0">
                  <c:v>Saving Mothers Repot</c:v>
                </c:pt>
              </c:strCache>
            </c:strRef>
          </c:tx>
          <c:spPr>
            <a:ln w="28575" cap="rnd">
              <a:solidFill>
                <a:srgbClr val="FFC000"/>
              </a:solidFill>
              <a:round/>
            </a:ln>
            <a:effectLst/>
          </c:spPr>
          <c:marker>
            <c:symbol val="none"/>
          </c:marker>
          <c:cat>
            <c:numRef>
              <c:extLst>
                <c:ext xmlns:c15="http://schemas.microsoft.com/office/drawing/2012/chart" uri="{02D57815-91ED-43cb-92C2-25804820EDAC}">
                  <c15:fullRef>
                    <c15:sqref>'Martenal mortality'!$D$10:$U$10</c15:sqref>
                  </c15:fullRef>
                </c:ext>
              </c:extLst>
              <c:f>'Martenal mortality'!$J$10:$U$10</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extLst>
                <c:ext xmlns:c15="http://schemas.microsoft.com/office/drawing/2012/chart" uri="{02D57815-91ED-43cb-92C2-25804820EDAC}">
                  <c15:fullRef>
                    <c15:sqref>'Martenal mortality'!$D$13:$U$13</c15:sqref>
                  </c15:fullRef>
                </c:ext>
              </c:extLst>
              <c:f>'Martenal mortality'!$J$13:$U$13</c:f>
              <c:numCache>
                <c:formatCode>0</c:formatCode>
                <c:ptCount val="12"/>
                <c:pt idx="2">
                  <c:v>150.19999999999999</c:v>
                </c:pt>
                <c:pt idx="3">
                  <c:v>161.69999999999999</c:v>
                </c:pt>
                <c:pt idx="4">
                  <c:v>158.5</c:v>
                </c:pt>
                <c:pt idx="5">
                  <c:v>164.8</c:v>
                </c:pt>
                <c:pt idx="6">
                  <c:v>188.9</c:v>
                </c:pt>
                <c:pt idx="7">
                  <c:v>186.2</c:v>
                </c:pt>
                <c:pt idx="8">
                  <c:v>166.97</c:v>
                </c:pt>
                <c:pt idx="9">
                  <c:v>160.22</c:v>
                </c:pt>
                <c:pt idx="10">
                  <c:v>147.69</c:v>
                </c:pt>
                <c:pt idx="11">
                  <c:v>140.81</c:v>
                </c:pt>
              </c:numCache>
            </c:numRef>
          </c:val>
          <c:smooth val="0"/>
          <c:extLst>
            <c:ext xmlns:c16="http://schemas.microsoft.com/office/drawing/2014/chart" uri="{C3380CC4-5D6E-409C-BE32-E72D297353CC}">
              <c16:uniqueId val="{00000002-D92A-45C3-BE7E-22A039A5AAFC}"/>
            </c:ext>
          </c:extLst>
        </c:ser>
        <c:ser>
          <c:idx val="3"/>
          <c:order val="3"/>
          <c:tx>
            <c:strRef>
              <c:f>'Martenal mortality'!$C$14</c:f>
              <c:strCache>
                <c:ptCount val="1"/>
                <c:pt idx="0">
                  <c:v>RMS</c:v>
                </c:pt>
              </c:strCache>
            </c:strRef>
          </c:tx>
          <c:spPr>
            <a:ln w="28575" cap="rnd">
              <a:solidFill>
                <a:schemeClr val="accent2">
                  <a:lumMod val="75000"/>
                </a:schemeClr>
              </a:solidFill>
              <a:round/>
            </a:ln>
            <a:effectLst/>
          </c:spPr>
          <c:marker>
            <c:symbol val="none"/>
          </c:marker>
          <c:cat>
            <c:numRef>
              <c:extLst>
                <c:ext xmlns:c15="http://schemas.microsoft.com/office/drawing/2012/chart" uri="{02D57815-91ED-43cb-92C2-25804820EDAC}">
                  <c15:fullRef>
                    <c15:sqref>'Martenal mortality'!$D$10:$U$10</c15:sqref>
                  </c15:fullRef>
                </c:ext>
              </c:extLst>
              <c:f>'Martenal mortality'!$J$10:$U$10</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extLst>
                <c:ext xmlns:c15="http://schemas.microsoft.com/office/drawing/2012/chart" uri="{02D57815-91ED-43cb-92C2-25804820EDAC}">
                  <c15:fullRef>
                    <c15:sqref>'Martenal mortality'!$D$14:$U$14</c15:sqref>
                  </c15:fullRef>
                </c:ext>
              </c:extLst>
              <c:f>'Martenal mortality'!$J$14:$U$14</c:f>
              <c:numCache>
                <c:formatCode>0</c:formatCode>
                <c:ptCount val="12"/>
                <c:pt idx="5">
                  <c:v>281</c:v>
                </c:pt>
                <c:pt idx="6">
                  <c:v>302</c:v>
                </c:pt>
                <c:pt idx="7">
                  <c:v>267</c:v>
                </c:pt>
                <c:pt idx="8">
                  <c:v>197</c:v>
                </c:pt>
                <c:pt idx="9">
                  <c:v>165</c:v>
                </c:pt>
                <c:pt idx="10">
                  <c:v>158</c:v>
                </c:pt>
                <c:pt idx="11">
                  <c:v>154</c:v>
                </c:pt>
              </c:numCache>
            </c:numRef>
          </c:val>
          <c:smooth val="0"/>
          <c:extLst>
            <c:ext xmlns:c16="http://schemas.microsoft.com/office/drawing/2014/chart" uri="{C3380CC4-5D6E-409C-BE32-E72D297353CC}">
              <c16:uniqueId val="{00000003-D92A-45C3-BE7E-22A039A5AAFC}"/>
            </c:ext>
          </c:extLst>
        </c:ser>
        <c:dLbls>
          <c:showLegendKey val="0"/>
          <c:showVal val="0"/>
          <c:showCatName val="0"/>
          <c:showSerName val="0"/>
          <c:showPercent val="0"/>
          <c:showBubbleSize val="0"/>
        </c:dLbls>
        <c:smooth val="0"/>
        <c:axId val="518203728"/>
        <c:axId val="518204056"/>
      </c:lineChart>
      <c:catAx>
        <c:axId val="51820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204056"/>
        <c:crossesAt val="0"/>
        <c:auto val="1"/>
        <c:lblAlgn val="ctr"/>
        <c:lblOffset val="100"/>
        <c:noMultiLvlLbl val="0"/>
      </c:catAx>
      <c:valAx>
        <c:axId val="518204056"/>
        <c:scaling>
          <c:orientation val="minMax"/>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203728"/>
        <c:crosses val="autoZero"/>
        <c:crossBetween val="between"/>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2568308834031"/>
          <c:y val="0.11224139934438464"/>
          <c:w val="0.83439015416471474"/>
          <c:h val="0.81263835178179988"/>
        </c:manualLayout>
      </c:layout>
      <c:lineChart>
        <c:grouping val="standard"/>
        <c:varyColors val="0"/>
        <c:ser>
          <c:idx val="0"/>
          <c:order val="0"/>
          <c:tx>
            <c:strRef>
              <c:f>'HIV Prevalance '!$D$18</c:f>
              <c:strCache>
                <c:ptCount val="1"/>
                <c:pt idx="0">
                  <c:v>Total Population </c:v>
                </c:pt>
              </c:strCache>
            </c:strRef>
          </c:tx>
          <c:spPr>
            <a:ln w="25400">
              <a:solidFill>
                <a:srgbClr val="FF6600"/>
              </a:solidFill>
            </a:ln>
          </c:spPr>
          <c:marker>
            <c:symbol val="none"/>
          </c:marker>
          <c:cat>
            <c:numRef>
              <c:f>'HIV Prevalance '!$F$9:$S$9</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'HIV Prevalance '!$F$18:$S$18</c:f>
              <c:numCache>
                <c:formatCode>0.0</c:formatCode>
                <c:ptCount val="14"/>
                <c:pt idx="0">
                  <c:v>10.349663409529269</c:v>
                </c:pt>
                <c:pt idx="1">
                  <c:v>10.552878558643378</c:v>
                </c:pt>
                <c:pt idx="2">
                  <c:v>10.707087068093614</c:v>
                </c:pt>
                <c:pt idx="3">
                  <c:v>10.841786289127727</c:v>
                </c:pt>
                <c:pt idx="4">
                  <c:v>10.979469417673318</c:v>
                </c:pt>
                <c:pt idx="5">
                  <c:v>11.132446108048004</c:v>
                </c:pt>
                <c:pt idx="6">
                  <c:v>11.315186233807292</c:v>
                </c:pt>
                <c:pt idx="7">
                  <c:v>11.484504209686026</c:v>
                </c:pt>
                <c:pt idx="8">
                  <c:v>11.638222064926261</c:v>
                </c:pt>
                <c:pt idx="9">
                  <c:v>11.817205039561816</c:v>
                </c:pt>
                <c:pt idx="10">
                  <c:v>12.021305085820435</c:v>
                </c:pt>
                <c:pt idx="11">
                  <c:v>12.214204938334591</c:v>
                </c:pt>
                <c:pt idx="12">
                  <c:v>12.38950587302072</c:v>
                </c:pt>
                <c:pt idx="13">
                  <c:v>12.536681303093141</c:v>
                </c:pt>
              </c:numCache>
            </c:numRef>
          </c:val>
          <c:smooth val="0"/>
          <c:extLst>
            <c:ext xmlns:c16="http://schemas.microsoft.com/office/drawing/2014/chart" uri="{C3380CC4-5D6E-409C-BE32-E72D297353CC}">
              <c16:uniqueId val="{00000000-0220-49C3-B6A9-F413692733CB}"/>
            </c:ext>
          </c:extLst>
        </c:ser>
        <c:dLbls>
          <c:showLegendKey val="0"/>
          <c:showVal val="0"/>
          <c:showCatName val="0"/>
          <c:showSerName val="0"/>
          <c:showPercent val="0"/>
          <c:showBubbleSize val="0"/>
        </c:dLbls>
        <c:smooth val="0"/>
        <c:axId val="111746368"/>
        <c:axId val="111746760"/>
      </c:lineChart>
      <c:catAx>
        <c:axId val="111746368"/>
        <c:scaling>
          <c:orientation val="minMax"/>
        </c:scaling>
        <c:delete val="0"/>
        <c:axPos val="b"/>
        <c:numFmt formatCode="General" sourceLinked="1"/>
        <c:majorTickMark val="none"/>
        <c:minorTickMark val="none"/>
        <c:tickLblPos val="nextTo"/>
        <c:crossAx val="111746760"/>
        <c:crosses val="autoZero"/>
        <c:auto val="1"/>
        <c:lblAlgn val="ctr"/>
        <c:lblOffset val="100"/>
        <c:noMultiLvlLbl val="0"/>
      </c:catAx>
      <c:valAx>
        <c:axId val="111746760"/>
        <c:scaling>
          <c:orientation val="minMax"/>
          <c:min val="10"/>
        </c:scaling>
        <c:delete val="0"/>
        <c:axPos val="l"/>
        <c:majorGridlines>
          <c:spPr>
            <a:ln>
              <a:prstDash val="dash"/>
            </a:ln>
          </c:spPr>
        </c:majorGridlines>
        <c:title>
          <c:tx>
            <c:rich>
              <a:bodyPr/>
              <a:lstStyle/>
              <a:p>
                <a:pPr>
                  <a:defRPr/>
                </a:pPr>
                <a:r>
                  <a:rPr lang="en-US"/>
                  <a:t>prevalence</a:t>
                </a:r>
              </a:p>
            </c:rich>
          </c:tx>
          <c:layout>
            <c:manualLayout>
              <c:xMode val="edge"/>
              <c:yMode val="edge"/>
              <c:x val="3.8562168690923909E-2"/>
              <c:y val="0.30500994346488713"/>
            </c:manualLayout>
          </c:layout>
          <c:overlay val="0"/>
        </c:title>
        <c:numFmt formatCode="0.0" sourceLinked="1"/>
        <c:majorTickMark val="none"/>
        <c:minorTickMark val="none"/>
        <c:tickLblPos val="nextTo"/>
        <c:crossAx val="111746368"/>
        <c:crosses val="autoZero"/>
        <c:crossBetween val="between"/>
      </c:valAx>
    </c:plotArea>
    <c:plotVisOnly val="1"/>
    <c:dispBlanksAs val="gap"/>
    <c:showDLblsOverMax val="0"/>
  </c:chart>
  <c:spPr>
    <a:ln>
      <a:solidFill>
        <a:schemeClr val="tx1"/>
      </a:solidFill>
    </a:ln>
  </c:spPr>
  <c:txPr>
    <a:bodyPr/>
    <a:lstStyle/>
    <a:p>
      <a:pPr>
        <a:defRPr sz="700">
          <a:latin typeface="Arial"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ART Total Remaining</a:t>
            </a:r>
            <a:r>
              <a:rPr lang="en-ZA" baseline="0"/>
              <a:t> on ART</a:t>
            </a:r>
            <a:endParaRPr lang="en-ZA"/>
          </a:p>
        </c:rich>
      </c:tx>
      <c:layout>
        <c:manualLayout>
          <c:xMode val="edge"/>
          <c:yMode val="edge"/>
          <c:x val="9.5338932020537712E-2"/>
          <c:y val="3.5088026277417084E-2"/>
        </c:manualLayout>
      </c:layout>
      <c:overlay val="0"/>
      <c:spPr>
        <a:noFill/>
        <a:ln w="25400">
          <a:noFill/>
        </a:ln>
      </c:spPr>
    </c:title>
    <c:autoTitleDeleted val="0"/>
    <c:plotArea>
      <c:layout>
        <c:manualLayout>
          <c:layoutTarget val="inner"/>
          <c:xMode val="edge"/>
          <c:yMode val="edge"/>
          <c:x val="0.20122929526286726"/>
          <c:y val="0.16131776631369354"/>
          <c:w val="0.76892082378006221"/>
          <c:h val="0.67679557460381168"/>
        </c:manualLayout>
      </c:layout>
      <c:lineChart>
        <c:grouping val="standard"/>
        <c:varyColors val="0"/>
        <c:ser>
          <c:idx val="0"/>
          <c:order val="0"/>
          <c:tx>
            <c:strRef>
              <c:f>'ART new TROA'!$D$11</c:f>
              <c:strCache>
                <c:ptCount val="1"/>
                <c:pt idx="0">
                  <c:v>Total remaining on ART (Adult) * (December)</c:v>
                </c:pt>
              </c:strCache>
            </c:strRef>
          </c:tx>
          <c:spPr>
            <a:ln w="25400">
              <a:solidFill>
                <a:srgbClr val="FF6600"/>
              </a:solidFill>
            </a:ln>
          </c:spPr>
          <c:marker>
            <c:symbol val="none"/>
          </c:marker>
          <c:cat>
            <c:numRef>
              <c:f>'ART new TROA'!$F$8:$Q$8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'ART new TROA'!$E$11:$Q$11</c:f>
              <c:numCache>
                <c:formatCode>#,##0</c:formatCode>
                <c:ptCount val="13"/>
                <c:pt idx="1">
                  <c:v>113375</c:v>
                </c:pt>
                <c:pt idx="2">
                  <c:v>173705</c:v>
                </c:pt>
                <c:pt idx="3">
                  <c:v>318447</c:v>
                </c:pt>
                <c:pt idx="4">
                  <c:v>532693</c:v>
                </c:pt>
                <c:pt idx="5">
                  <c:v>695293</c:v>
                </c:pt>
                <c:pt idx="6">
                  <c:v>1204269</c:v>
                </c:pt>
                <c:pt idx="7">
                  <c:v>1308602</c:v>
                </c:pt>
                <c:pt idx="8">
                  <c:v>2029233</c:v>
                </c:pt>
                <c:pt idx="9">
                  <c:v>2469236</c:v>
                </c:pt>
                <c:pt idx="10">
                  <c:v>2761519</c:v>
                </c:pt>
                <c:pt idx="11">
                  <c:v>3182343</c:v>
                </c:pt>
                <c:pt idx="12">
                  <c:v>3499630</c:v>
                </c:pt>
              </c:numCache>
            </c:numRef>
          </c:val>
          <c:smooth val="0"/>
          <c:extLst>
            <c:ext xmlns:c16="http://schemas.microsoft.com/office/drawing/2014/chart" uri="{C3380CC4-5D6E-409C-BE32-E72D297353CC}">
              <c16:uniqueId val="{00000000-8FAA-46A1-9C23-236B71387B3A}"/>
            </c:ext>
          </c:extLst>
        </c:ser>
        <c:ser>
          <c:idx val="1"/>
          <c:order val="1"/>
          <c:tx>
            <c:strRef>
              <c:f>'ART new TROA'!$D$13</c:f>
              <c:strCache>
                <c:ptCount val="1"/>
                <c:pt idx="0">
                  <c:v>*Remaing on ART (All)</c:v>
                </c:pt>
              </c:strCache>
            </c:strRef>
          </c:tx>
          <c:spPr>
            <a:ln w="25400">
              <a:solidFill>
                <a:srgbClr val="BE4B48"/>
              </a:solidFill>
            </a:ln>
          </c:spPr>
          <c:marker>
            <c:symbol val="none"/>
          </c:marker>
          <c:cat>
            <c:numRef>
              <c:f>'ART new TROA'!$F$8:$Q$8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'ART new TROA'!$E$13:$Q$13</c:f>
              <c:numCache>
                <c:formatCode>#,##0</c:formatCode>
                <c:ptCount val="13"/>
                <c:pt idx="1">
                  <c:v>125334</c:v>
                </c:pt>
                <c:pt idx="2">
                  <c:v>196074</c:v>
                </c:pt>
                <c:pt idx="3">
                  <c:v>356141</c:v>
                </c:pt>
                <c:pt idx="4">
                  <c:v>592216</c:v>
                </c:pt>
                <c:pt idx="5">
                  <c:v>780923</c:v>
                </c:pt>
                <c:pt idx="6">
                  <c:v>1318028</c:v>
                </c:pt>
                <c:pt idx="7">
                  <c:v>1406790</c:v>
                </c:pt>
                <c:pt idx="8">
                  <c:v>2171256</c:v>
                </c:pt>
                <c:pt idx="9">
                  <c:v>2626052</c:v>
                </c:pt>
                <c:pt idx="10">
                  <c:v>2921226</c:v>
                </c:pt>
                <c:pt idx="11">
                  <c:v>3348159</c:v>
                </c:pt>
                <c:pt idx="12">
                  <c:v>3669341</c:v>
                </c:pt>
              </c:numCache>
            </c:numRef>
          </c:val>
          <c:smooth val="0"/>
          <c:extLst>
            <c:ext xmlns:c16="http://schemas.microsoft.com/office/drawing/2014/chart" uri="{C3380CC4-5D6E-409C-BE32-E72D297353CC}">
              <c16:uniqueId val="{00000001-8FAA-46A1-9C23-236B71387B3A}"/>
            </c:ext>
          </c:extLst>
        </c:ser>
        <c:ser>
          <c:idx val="2"/>
          <c:order val="2"/>
          <c:tx>
            <c:strRef>
              <c:f>'ART new TROA'!$D$12</c:f>
              <c:strCache>
                <c:ptCount val="1"/>
                <c:pt idx="0">
                  <c:v>Total remaining on ART (Child) (December)</c:v>
                </c:pt>
              </c:strCache>
            </c:strRef>
          </c:tx>
          <c:spPr>
            <a:ln w="25400">
              <a:solidFill>
                <a:schemeClr val="accent2">
                  <a:lumMod val="50000"/>
                </a:schemeClr>
              </a:solidFill>
            </a:ln>
          </c:spPr>
          <c:marker>
            <c:symbol val="none"/>
          </c:marker>
          <c:cat>
            <c:numRef>
              <c:f>'ART new TROA'!$F$8:$Q$8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'ART new TROA'!$F$12:$Q$12</c:f>
              <c:numCache>
                <c:formatCode>#,##0</c:formatCode>
                <c:ptCount val="12"/>
                <c:pt idx="0">
                  <c:v>11959</c:v>
                </c:pt>
                <c:pt idx="1">
                  <c:v>22369</c:v>
                </c:pt>
                <c:pt idx="2">
                  <c:v>37694</c:v>
                </c:pt>
                <c:pt idx="3">
                  <c:v>59523</c:v>
                </c:pt>
                <c:pt idx="4">
                  <c:v>85630</c:v>
                </c:pt>
                <c:pt idx="5">
                  <c:v>113759</c:v>
                </c:pt>
                <c:pt idx="6">
                  <c:v>98188</c:v>
                </c:pt>
                <c:pt idx="7">
                  <c:v>142023</c:v>
                </c:pt>
                <c:pt idx="8">
                  <c:v>156816</c:v>
                </c:pt>
                <c:pt idx="9">
                  <c:v>159707</c:v>
                </c:pt>
                <c:pt idx="10">
                  <c:v>165816</c:v>
                </c:pt>
                <c:pt idx="11">
                  <c:v>169711</c:v>
                </c:pt>
              </c:numCache>
            </c:numRef>
          </c:val>
          <c:smooth val="0"/>
          <c:extLst>
            <c:ext xmlns:c16="http://schemas.microsoft.com/office/drawing/2014/chart" uri="{C3380CC4-5D6E-409C-BE32-E72D297353CC}">
              <c16:uniqueId val="{00000000-4B65-4F59-BBB4-960D614D9456}"/>
            </c:ext>
          </c:extLst>
        </c:ser>
        <c:dLbls>
          <c:showLegendKey val="0"/>
          <c:showVal val="0"/>
          <c:showCatName val="0"/>
          <c:showSerName val="0"/>
          <c:showPercent val="0"/>
          <c:showBubbleSize val="0"/>
        </c:dLbls>
        <c:smooth val="0"/>
        <c:axId val="257263816"/>
        <c:axId val="257257152"/>
      </c:lineChart>
      <c:catAx>
        <c:axId val="257263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7257152"/>
        <c:crosses val="autoZero"/>
        <c:auto val="1"/>
        <c:lblAlgn val="ctr"/>
        <c:lblOffset val="100"/>
        <c:tickLblSkip val="1"/>
        <c:tickMarkSkip val="1"/>
        <c:noMultiLvlLbl val="0"/>
      </c:catAx>
      <c:valAx>
        <c:axId val="257257152"/>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3.3898258339423858E-2"/>
              <c:y val="0.46491350861844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7263816"/>
        <c:crosses val="autoZero"/>
        <c:crossBetween val="between"/>
      </c:valAx>
      <c:spPr>
        <a:solidFill>
          <a:srgbClr val="FFFFFF"/>
        </a:solidFill>
        <a:ln w="3175">
          <a:solidFill>
            <a:srgbClr val="000000"/>
          </a:solidFill>
          <a:prstDash val="solid"/>
        </a:ln>
      </c:spPr>
    </c:plotArea>
    <c:legend>
      <c:legendPos val="r"/>
      <c:layout>
        <c:manualLayout>
          <c:xMode val="edge"/>
          <c:yMode val="edge"/>
          <c:x val="4.1358576715306704E-2"/>
          <c:y val="0.926585714691888"/>
          <c:w val="0.25445258772123536"/>
          <c:h val="7.341448698223067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722" r="0.75000000000000722" t="1" header="0.5" footer="0.5"/>
    <c:pageSetup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4427107696837"/>
          <c:y val="4.0172078561879168E-2"/>
          <c:w val="0.67970754376290587"/>
          <c:h val="0.66621366754725142"/>
        </c:manualLayout>
      </c:layout>
      <c:lineChart>
        <c:grouping val="standard"/>
        <c:varyColors val="0"/>
        <c:ser>
          <c:idx val="0"/>
          <c:order val="0"/>
          <c:tx>
            <c:strRef>
              <c:f>'ART new TROA'!$D$11</c:f>
              <c:strCache>
                <c:ptCount val="1"/>
                <c:pt idx="0">
                  <c:v>Total remaining on ART (Adult) * (December)</c:v>
                </c:pt>
              </c:strCache>
            </c:strRef>
          </c:tx>
          <c:spPr>
            <a:ln w="15875"/>
          </c:spPr>
          <c:marker>
            <c:symbol val="none"/>
          </c:marker>
          <c:cat>
            <c:numRef>
              <c:f>'ART new TROA'!$E$8:$Q$8</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'ART new TROA'!$E$11:$Q$11</c:f>
              <c:numCache>
                <c:formatCode>#,##0</c:formatCode>
                <c:ptCount val="13"/>
                <c:pt idx="1">
                  <c:v>113375</c:v>
                </c:pt>
                <c:pt idx="2">
                  <c:v>173705</c:v>
                </c:pt>
                <c:pt idx="3">
                  <c:v>318447</c:v>
                </c:pt>
                <c:pt idx="4">
                  <c:v>532693</c:v>
                </c:pt>
                <c:pt idx="5">
                  <c:v>695293</c:v>
                </c:pt>
                <c:pt idx="6">
                  <c:v>1204269</c:v>
                </c:pt>
                <c:pt idx="7">
                  <c:v>1308602</c:v>
                </c:pt>
                <c:pt idx="8">
                  <c:v>2029233</c:v>
                </c:pt>
                <c:pt idx="9">
                  <c:v>2469236</c:v>
                </c:pt>
                <c:pt idx="10">
                  <c:v>2761519</c:v>
                </c:pt>
                <c:pt idx="11">
                  <c:v>3182343</c:v>
                </c:pt>
                <c:pt idx="12">
                  <c:v>3499630</c:v>
                </c:pt>
              </c:numCache>
            </c:numRef>
          </c:val>
          <c:smooth val="0"/>
          <c:extLst>
            <c:ext xmlns:c16="http://schemas.microsoft.com/office/drawing/2014/chart" uri="{C3380CC4-5D6E-409C-BE32-E72D297353CC}">
              <c16:uniqueId val="{00000000-007C-4955-A2B6-8FCEDD5E1E57}"/>
            </c:ext>
          </c:extLst>
        </c:ser>
        <c:ser>
          <c:idx val="1"/>
          <c:order val="1"/>
          <c:tx>
            <c:strRef>
              <c:f>'ART new TROA'!$D$13</c:f>
              <c:strCache>
                <c:ptCount val="1"/>
                <c:pt idx="0">
                  <c:v>*Remaing on ART (All)</c:v>
                </c:pt>
              </c:strCache>
            </c:strRef>
          </c:tx>
          <c:spPr>
            <a:ln w="15875"/>
          </c:spPr>
          <c:marker>
            <c:symbol val="none"/>
          </c:marker>
          <c:cat>
            <c:numRef>
              <c:f>'ART new TROA'!$E$8:$Q$8</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'ART new TROA'!$E$13:$Q$13</c:f>
              <c:numCache>
                <c:formatCode>#,##0</c:formatCode>
                <c:ptCount val="13"/>
                <c:pt idx="1">
                  <c:v>125334</c:v>
                </c:pt>
                <c:pt idx="2">
                  <c:v>196074</c:v>
                </c:pt>
                <c:pt idx="3">
                  <c:v>356141</c:v>
                </c:pt>
                <c:pt idx="4">
                  <c:v>592216</c:v>
                </c:pt>
                <c:pt idx="5">
                  <c:v>780923</c:v>
                </c:pt>
                <c:pt idx="6">
                  <c:v>1318028</c:v>
                </c:pt>
                <c:pt idx="7">
                  <c:v>1406790</c:v>
                </c:pt>
                <c:pt idx="8">
                  <c:v>2171256</c:v>
                </c:pt>
                <c:pt idx="9">
                  <c:v>2626052</c:v>
                </c:pt>
                <c:pt idx="10">
                  <c:v>2921226</c:v>
                </c:pt>
                <c:pt idx="11">
                  <c:v>3348159</c:v>
                </c:pt>
                <c:pt idx="12">
                  <c:v>3669341</c:v>
                </c:pt>
              </c:numCache>
            </c:numRef>
          </c:val>
          <c:smooth val="0"/>
          <c:extLst>
            <c:ext xmlns:c16="http://schemas.microsoft.com/office/drawing/2014/chart" uri="{C3380CC4-5D6E-409C-BE32-E72D297353CC}">
              <c16:uniqueId val="{00000001-007C-4955-A2B6-8FCEDD5E1E57}"/>
            </c:ext>
          </c:extLst>
        </c:ser>
        <c:dLbls>
          <c:showLegendKey val="0"/>
          <c:showVal val="0"/>
          <c:showCatName val="0"/>
          <c:showSerName val="0"/>
          <c:showPercent val="0"/>
          <c:showBubbleSize val="0"/>
        </c:dLbls>
        <c:smooth val="0"/>
        <c:axId val="135364064"/>
        <c:axId val="135368768"/>
      </c:lineChart>
      <c:catAx>
        <c:axId val="135364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35368768"/>
        <c:crosses val="autoZero"/>
        <c:auto val="1"/>
        <c:lblAlgn val="ctr"/>
        <c:lblOffset val="100"/>
        <c:tickLblSkip val="1"/>
        <c:tickMarkSkip val="1"/>
        <c:noMultiLvlLbl val="0"/>
      </c:catAx>
      <c:valAx>
        <c:axId val="135368768"/>
        <c:scaling>
          <c:orientation val="minMax"/>
        </c:scaling>
        <c:delete val="0"/>
        <c:axPos val="l"/>
        <c:majorGridlines>
          <c:spPr>
            <a:ln w="3175">
              <a:solidFill>
                <a:srgbClr val="969696"/>
              </a:solidFill>
              <a:prstDash val="sysDash"/>
            </a:ln>
          </c:spPr>
        </c:majorGridlines>
        <c:title>
          <c:tx>
            <c:rich>
              <a:bodyPr/>
              <a:lstStyle/>
              <a:p>
                <a:pPr>
                  <a:defRPr/>
                </a:pPr>
                <a:r>
                  <a:rPr lang="en-ZA"/>
                  <a:t>Number</a:t>
                </a:r>
              </a:p>
            </c:rich>
          </c:tx>
          <c:layout>
            <c:manualLayout>
              <c:xMode val="edge"/>
              <c:yMode val="edge"/>
              <c:x val="3.3898258339423858E-2"/>
              <c:y val="0.46491350861844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135364064"/>
        <c:crosses val="autoZero"/>
        <c:crossBetween val="between"/>
      </c:valAx>
      <c:spPr>
        <a:solidFill>
          <a:srgbClr val="FFFFFF"/>
        </a:solidFill>
        <a:ln w="3175">
          <a:noFill/>
          <a:prstDash val="solid"/>
        </a:ln>
      </c:spPr>
    </c:plotArea>
    <c:legend>
      <c:legendPos val="r"/>
      <c:layout>
        <c:manualLayout>
          <c:xMode val="edge"/>
          <c:yMode val="edge"/>
          <c:x val="4.1358576715306704E-2"/>
          <c:y val="0.82605625382504433"/>
          <c:w val="0.90390956151256718"/>
          <c:h val="0.1739437461749557"/>
        </c:manualLayout>
      </c:layout>
      <c:overlay val="0"/>
      <c:spPr>
        <a:solidFill>
          <a:srgbClr val="FFFFFF"/>
        </a:solidFill>
        <a:ln w="25400">
          <a:noFill/>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722" r="0.75000000000000722"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NET</a:t>
            </a:r>
            <a:r>
              <a:rPr lang="en-US" baseline="0"/>
              <a:t> </a:t>
            </a:r>
            <a:r>
              <a:rPr lang="en-US"/>
              <a:t>FOREIGN DIRECT INVESTMENT (NET FDI)</a:t>
            </a:r>
          </a:p>
        </c:rich>
      </c:tx>
      <c:layout>
        <c:manualLayout>
          <c:xMode val="edge"/>
          <c:yMode val="edge"/>
          <c:x val="4.2531069158523865E-2"/>
          <c:y val="2.3460325035128182E-2"/>
        </c:manualLayout>
      </c:layout>
      <c:overlay val="0"/>
      <c:spPr>
        <a:noFill/>
        <a:ln w="25400">
          <a:noFill/>
        </a:ln>
      </c:spPr>
    </c:title>
    <c:autoTitleDeleted val="0"/>
    <c:plotArea>
      <c:layout>
        <c:manualLayout>
          <c:layoutTarget val="inner"/>
          <c:xMode val="edge"/>
          <c:yMode val="edge"/>
          <c:x val="7.9952666549535603E-2"/>
          <c:y val="0.20245473103740821"/>
          <c:w val="0.90298077047153769"/>
          <c:h val="0.70087976539590002"/>
        </c:manualLayout>
      </c:layout>
      <c:lineChart>
        <c:grouping val="standard"/>
        <c:varyColors val="0"/>
        <c:ser>
          <c:idx val="0"/>
          <c:order val="0"/>
          <c:tx>
            <c:strRef>
              <c:f>'NFDI '!$D$8:$E$8</c:f>
              <c:strCache>
                <c:ptCount val="2"/>
                <c:pt idx="0">
                  <c:v>FDI</c:v>
                </c:pt>
              </c:strCache>
            </c:strRef>
          </c:tx>
          <c:spPr>
            <a:ln w="25400">
              <a:solidFill>
                <a:srgbClr val="FF6600"/>
              </a:solidFill>
              <a:prstDash val="solid"/>
            </a:ln>
          </c:spPr>
          <c:marker>
            <c:symbol val="none"/>
          </c:marker>
          <c:cat>
            <c:strRef>
              <c:f>'NFDI '!$F$7:$AA$7</c:f>
              <c:strCach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strCache>
            </c:strRef>
          </c:cat>
          <c:val>
            <c:numRef>
              <c:f>'NFDI '!$F$8:$AA$8</c:f>
              <c:numCache>
                <c:formatCode>#\ ##0.000</c:formatCode>
                <c:ptCount val="22"/>
                <c:pt idx="0">
                  <c:v>-3.04</c:v>
                </c:pt>
                <c:pt idx="1">
                  <c:v>-4.5570000000000004</c:v>
                </c:pt>
                <c:pt idx="2">
                  <c:v>-0.97</c:v>
                </c:pt>
                <c:pt idx="3">
                  <c:v>6.7560000000000002</c:v>
                </c:pt>
                <c:pt idx="4">
                  <c:v>-6.7370000000000001</c:v>
                </c:pt>
                <c:pt idx="5">
                  <c:v>-0.47499999999999998</c:v>
                </c:pt>
                <c:pt idx="6">
                  <c:v>4.28</c:v>
                </c:pt>
                <c:pt idx="7" formatCode="#,##0.00">
                  <c:v>85.763000000000005</c:v>
                </c:pt>
                <c:pt idx="8" formatCode="#,##0.00">
                  <c:v>20.734999999999999</c:v>
                </c:pt>
                <c:pt idx="9" formatCode="#,##0.00">
                  <c:v>1.2749999999999999</c:v>
                </c:pt>
                <c:pt idx="10" formatCode="#,##0.00">
                  <c:v>-3.5659999999999998</c:v>
                </c:pt>
                <c:pt idx="11" formatCode="#,##0.00">
                  <c:v>36.353999999999999</c:v>
                </c:pt>
                <c:pt idx="12" formatCode="#,##0.00">
                  <c:v>-38.948999999999998</c:v>
                </c:pt>
                <c:pt idx="13" formatCode="#,##0.00">
                  <c:v>25.167000000000002</c:v>
                </c:pt>
                <c:pt idx="14" formatCode="#,##0.00">
                  <c:v>101.967</c:v>
                </c:pt>
                <c:pt idx="15" formatCode="#,##0.00">
                  <c:v>53.813000000000002</c:v>
                </c:pt>
                <c:pt idx="16" formatCode="#,##0.00">
                  <c:v>27.170999999999999</c:v>
                </c:pt>
                <c:pt idx="17" formatCode="#,##0.00">
                  <c:v>32.673000000000002</c:v>
                </c:pt>
                <c:pt idx="18" formatCode="#,##0.00">
                  <c:v>12.9</c:v>
                </c:pt>
                <c:pt idx="19" formatCode="#,##0.00">
                  <c:v>15.942</c:v>
                </c:pt>
                <c:pt idx="20" formatCode="#,##0.00">
                  <c:v>-20.606999999999999</c:v>
                </c:pt>
                <c:pt idx="21" formatCode="#,##0.00">
                  <c:v>-45.631999999999998</c:v>
                </c:pt>
              </c:numCache>
            </c:numRef>
          </c:val>
          <c:smooth val="0"/>
          <c:extLst>
            <c:ext xmlns:c16="http://schemas.microsoft.com/office/drawing/2014/chart" uri="{C3380CC4-5D6E-409C-BE32-E72D297353CC}">
              <c16:uniqueId val="{00000000-B7B3-45B0-9496-E9548DCA4BE8}"/>
            </c:ext>
          </c:extLst>
        </c:ser>
        <c:dLbls>
          <c:showLegendKey val="0"/>
          <c:showVal val="0"/>
          <c:showCatName val="0"/>
          <c:showSerName val="0"/>
          <c:showPercent val="0"/>
          <c:showBubbleSize val="0"/>
        </c:dLbls>
        <c:smooth val="0"/>
        <c:axId val="399078104"/>
        <c:axId val="399073008"/>
      </c:lineChart>
      <c:catAx>
        <c:axId val="399078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99073008"/>
        <c:crossesAt val="-76.5"/>
        <c:auto val="1"/>
        <c:lblAlgn val="ctr"/>
        <c:lblOffset val="100"/>
        <c:tickLblSkip val="1"/>
        <c:tickMarkSkip val="1"/>
        <c:noMultiLvlLbl val="0"/>
      </c:catAx>
      <c:valAx>
        <c:axId val="399073008"/>
        <c:scaling>
          <c:orientation val="minMax"/>
          <c:max val="130"/>
          <c:min val="-50"/>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R'billion</a:t>
                </a:r>
              </a:p>
            </c:rich>
          </c:tx>
          <c:layout>
            <c:manualLayout>
              <c:xMode val="edge"/>
              <c:yMode val="edge"/>
              <c:x val="1.6597539765360655E-2"/>
              <c:y val="0.4721408308809883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99078104"/>
        <c:crosses val="autoZero"/>
        <c:crossBetween val="midCat"/>
        <c:majorUnit val="25"/>
        <c:minorUnit val="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horizontalDpi="0" verticalDpi="0"/>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CASE NOTIFICATION</a:t>
            </a:r>
          </a:p>
        </c:rich>
      </c:tx>
      <c:layout>
        <c:manualLayout>
          <c:xMode val="edge"/>
          <c:yMode val="edge"/>
          <c:x val="8.5011420552297268E-2"/>
          <c:y val="3.5398230088495596E-2"/>
        </c:manualLayout>
      </c:layout>
      <c:overlay val="0"/>
      <c:spPr>
        <a:noFill/>
        <a:ln w="25400">
          <a:noFill/>
        </a:ln>
      </c:spPr>
    </c:title>
    <c:autoTitleDeleted val="0"/>
    <c:plotArea>
      <c:layout>
        <c:manualLayout>
          <c:layoutTarget val="inner"/>
          <c:xMode val="edge"/>
          <c:yMode val="edge"/>
          <c:x val="0.17331026196886976"/>
          <c:y val="0.20716138402306791"/>
          <c:w val="0.7954941024371126"/>
          <c:h val="0.64450208362732231"/>
        </c:manualLayout>
      </c:layout>
      <c:lineChart>
        <c:grouping val="standard"/>
        <c:varyColors val="0"/>
        <c:ser>
          <c:idx val="0"/>
          <c:order val="0"/>
          <c:tx>
            <c:strRef>
              <c:f>TB!$D$9</c:f>
              <c:strCache>
                <c:ptCount val="1"/>
                <c:pt idx="0">
                  <c:v>TB case notification</c:v>
                </c:pt>
              </c:strCache>
            </c:strRef>
          </c:tx>
          <c:spPr>
            <a:ln w="25400">
              <a:solidFill>
                <a:srgbClr val="993300"/>
              </a:solidFill>
              <a:prstDash val="solid"/>
            </a:ln>
          </c:spPr>
          <c:marker>
            <c:symbol val="none"/>
          </c:marker>
          <c:cat>
            <c:strRef>
              <c:f>TB!$F$8:$Y$8</c:f>
              <c:strCach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2013 </c:v>
                </c:pt>
                <c:pt idx="19">
                  <c:v>2014 </c:v>
                </c:pt>
              </c:strCache>
            </c:strRef>
          </c:cat>
          <c:val>
            <c:numRef>
              <c:f>TB!$F$9:$Y$9</c:f>
              <c:numCache>
                <c:formatCode>#\ ###\ ##0</c:formatCode>
                <c:ptCount val="20"/>
                <c:pt idx="0">
                  <c:v>73917</c:v>
                </c:pt>
                <c:pt idx="1">
                  <c:v>109328</c:v>
                </c:pt>
                <c:pt idx="2">
                  <c:v>125913</c:v>
                </c:pt>
                <c:pt idx="3">
                  <c:v>142281</c:v>
                </c:pt>
                <c:pt idx="4">
                  <c:v>148164</c:v>
                </c:pt>
                <c:pt idx="5">
                  <c:v>151239</c:v>
                </c:pt>
                <c:pt idx="6">
                  <c:v>188695</c:v>
                </c:pt>
                <c:pt idx="7">
                  <c:v>224420</c:v>
                </c:pt>
                <c:pt idx="8">
                  <c:v>255422</c:v>
                </c:pt>
                <c:pt idx="9">
                  <c:v>279260</c:v>
                </c:pt>
                <c:pt idx="10">
                  <c:v>302467</c:v>
                </c:pt>
                <c:pt idx="11">
                  <c:v>341165</c:v>
                </c:pt>
                <c:pt idx="12">
                  <c:v>353879</c:v>
                </c:pt>
                <c:pt idx="13">
                  <c:v>388882</c:v>
                </c:pt>
                <c:pt idx="14">
                  <c:v>406082</c:v>
                </c:pt>
                <c:pt idx="15">
                  <c:v>401048</c:v>
                </c:pt>
                <c:pt idx="16">
                  <c:v>389974</c:v>
                </c:pt>
                <c:pt idx="17">
                  <c:v>349582</c:v>
                </c:pt>
                <c:pt idx="18">
                  <c:v>328896</c:v>
                </c:pt>
                <c:pt idx="19">
                  <c:v>318896</c:v>
                </c:pt>
              </c:numCache>
            </c:numRef>
          </c:val>
          <c:smooth val="0"/>
          <c:extLst>
            <c:ext xmlns:c16="http://schemas.microsoft.com/office/drawing/2014/chart" uri="{C3380CC4-5D6E-409C-BE32-E72D297353CC}">
              <c16:uniqueId val="{00000000-DBD8-4D5F-B053-0855FB2779F8}"/>
            </c:ext>
          </c:extLst>
        </c:ser>
        <c:dLbls>
          <c:showLegendKey val="0"/>
          <c:showVal val="0"/>
          <c:showCatName val="0"/>
          <c:showSerName val="0"/>
          <c:showPercent val="0"/>
          <c:showBubbleSize val="0"/>
        </c:dLbls>
        <c:smooth val="0"/>
        <c:axId val="135364848"/>
        <c:axId val="305269384"/>
      </c:lineChart>
      <c:catAx>
        <c:axId val="13536484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05269384"/>
        <c:crosses val="autoZero"/>
        <c:auto val="1"/>
        <c:lblAlgn val="ctr"/>
        <c:lblOffset val="100"/>
        <c:tickLblSkip val="1"/>
        <c:tickMarkSkip val="1"/>
        <c:noMultiLvlLbl val="0"/>
      </c:catAx>
      <c:valAx>
        <c:axId val="30526938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2.013422818791976E-2"/>
              <c:y val="0.46017822993365243"/>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536484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CASE NOTIFICATION</a:t>
            </a:r>
          </a:p>
        </c:rich>
      </c:tx>
      <c:layout>
        <c:manualLayout>
          <c:xMode val="edge"/>
          <c:yMode val="edge"/>
          <c:x val="8.5011420552297268E-2"/>
          <c:y val="3.5398230088495596E-2"/>
        </c:manualLayout>
      </c:layout>
      <c:overlay val="0"/>
      <c:spPr>
        <a:noFill/>
        <a:ln w="25400">
          <a:noFill/>
        </a:ln>
      </c:spPr>
    </c:title>
    <c:autoTitleDeleted val="0"/>
    <c:plotArea>
      <c:layout>
        <c:manualLayout>
          <c:layoutTarget val="inner"/>
          <c:xMode val="edge"/>
          <c:yMode val="edge"/>
          <c:x val="0.18253329746825123"/>
          <c:y val="0.12361499889240185"/>
          <c:w val="0.78805672388777481"/>
          <c:h val="0.74796806089775858"/>
        </c:manualLayout>
      </c:layout>
      <c:lineChart>
        <c:grouping val="standard"/>
        <c:varyColors val="0"/>
        <c:ser>
          <c:idx val="0"/>
          <c:order val="0"/>
          <c:tx>
            <c:strRef>
              <c:f>TB!$D$9</c:f>
              <c:strCache>
                <c:ptCount val="1"/>
                <c:pt idx="0">
                  <c:v>TB case notification</c:v>
                </c:pt>
              </c:strCache>
            </c:strRef>
          </c:tx>
          <c:spPr>
            <a:ln w="25400">
              <a:solidFill>
                <a:srgbClr val="FF6600"/>
              </a:solidFill>
              <a:prstDash val="solid"/>
            </a:ln>
          </c:spPr>
          <c:marker>
            <c:symbol val="none"/>
          </c:marker>
          <c:cat>
            <c:strRef>
              <c:f>TB!$E$8:$Y$8</c:f>
              <c:strCach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2013 </c:v>
                </c:pt>
                <c:pt idx="20">
                  <c:v>2014 </c:v>
                </c:pt>
              </c:strCache>
            </c:strRef>
          </c:cat>
          <c:val>
            <c:numRef>
              <c:f>TB!$E$9:$Y$9</c:f>
              <c:numCache>
                <c:formatCode>#\ ###\ ##0</c:formatCode>
                <c:ptCount val="21"/>
                <c:pt idx="0">
                  <c:v>90292</c:v>
                </c:pt>
                <c:pt idx="1">
                  <c:v>73917</c:v>
                </c:pt>
                <c:pt idx="2">
                  <c:v>109328</c:v>
                </c:pt>
                <c:pt idx="3">
                  <c:v>125913</c:v>
                </c:pt>
                <c:pt idx="4">
                  <c:v>142281</c:v>
                </c:pt>
                <c:pt idx="5">
                  <c:v>148164</c:v>
                </c:pt>
                <c:pt idx="6">
                  <c:v>151239</c:v>
                </c:pt>
                <c:pt idx="7">
                  <c:v>188695</c:v>
                </c:pt>
                <c:pt idx="8">
                  <c:v>224420</c:v>
                </c:pt>
                <c:pt idx="9">
                  <c:v>255422</c:v>
                </c:pt>
                <c:pt idx="10">
                  <c:v>279260</c:v>
                </c:pt>
                <c:pt idx="11">
                  <c:v>302467</c:v>
                </c:pt>
                <c:pt idx="12">
                  <c:v>341165</c:v>
                </c:pt>
                <c:pt idx="13">
                  <c:v>353879</c:v>
                </c:pt>
                <c:pt idx="14">
                  <c:v>388882</c:v>
                </c:pt>
                <c:pt idx="15">
                  <c:v>406082</c:v>
                </c:pt>
                <c:pt idx="16">
                  <c:v>401048</c:v>
                </c:pt>
                <c:pt idx="17">
                  <c:v>389974</c:v>
                </c:pt>
                <c:pt idx="18">
                  <c:v>349582</c:v>
                </c:pt>
                <c:pt idx="19">
                  <c:v>328896</c:v>
                </c:pt>
                <c:pt idx="20">
                  <c:v>318896</c:v>
                </c:pt>
              </c:numCache>
            </c:numRef>
          </c:val>
          <c:smooth val="0"/>
          <c:extLst>
            <c:ext xmlns:c16="http://schemas.microsoft.com/office/drawing/2014/chart" uri="{C3380CC4-5D6E-409C-BE32-E72D297353CC}">
              <c16:uniqueId val="{00000000-A568-4337-A89F-EA38DA85E17D}"/>
            </c:ext>
          </c:extLst>
        </c:ser>
        <c:dLbls>
          <c:showLegendKey val="0"/>
          <c:showVal val="0"/>
          <c:showCatName val="0"/>
          <c:showSerName val="0"/>
          <c:showPercent val="0"/>
          <c:showBubbleSize val="0"/>
        </c:dLbls>
        <c:smooth val="0"/>
        <c:axId val="305275656"/>
        <c:axId val="305275264"/>
      </c:lineChart>
      <c:catAx>
        <c:axId val="30527565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05275264"/>
        <c:crosses val="autoZero"/>
        <c:auto val="1"/>
        <c:lblAlgn val="ctr"/>
        <c:lblOffset val="100"/>
        <c:tickLblSkip val="1"/>
        <c:tickMarkSkip val="1"/>
        <c:noMultiLvlLbl val="0"/>
      </c:catAx>
      <c:valAx>
        <c:axId val="30527526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2.013422818791976E-2"/>
              <c:y val="0.46017822993365243"/>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0527565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TREATMENT</a:t>
            </a:r>
          </a:p>
        </c:rich>
      </c:tx>
      <c:layout>
        <c:manualLayout>
          <c:xMode val="edge"/>
          <c:yMode val="edge"/>
          <c:x val="9.5338932020537712E-2"/>
          <c:y val="3.5088026277417084E-2"/>
        </c:manualLayout>
      </c:layout>
      <c:overlay val="0"/>
      <c:spPr>
        <a:noFill/>
        <a:ln w="25400">
          <a:noFill/>
        </a:ln>
      </c:spPr>
    </c:title>
    <c:autoTitleDeleted val="0"/>
    <c:plotArea>
      <c:layout>
        <c:manualLayout>
          <c:layoutTarget val="inner"/>
          <c:xMode val="edge"/>
          <c:yMode val="edge"/>
          <c:x val="0.10990512957519914"/>
          <c:y val="0.1459922256553374"/>
          <c:w val="0.86024508827994661"/>
          <c:h val="0.67679557460380746"/>
        </c:manualLayout>
      </c:layout>
      <c:barChart>
        <c:barDir val="col"/>
        <c:grouping val="clustered"/>
        <c:varyColors val="0"/>
        <c:ser>
          <c:idx val="0"/>
          <c:order val="0"/>
          <c:tx>
            <c:strRef>
              <c:f>TB!$D$10</c:f>
              <c:strCache>
                <c:ptCount val="1"/>
                <c:pt idx="0">
                  <c:v>Successful treatment rate</c:v>
                </c:pt>
              </c:strCache>
            </c:strRef>
          </c:tx>
          <c:spPr>
            <a:solidFill>
              <a:srgbClr val="FCD5B5"/>
            </a:solidFill>
            <a:ln w="25400">
              <a:noFill/>
            </a:ln>
          </c:spPr>
          <c:invertIfNegative val="0"/>
          <c:cat>
            <c:strRef>
              <c:f>TB!$E$8:$Y$8</c:f>
              <c:strCach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2013 </c:v>
                </c:pt>
                <c:pt idx="20">
                  <c:v>2014 </c:v>
                </c:pt>
              </c:strCache>
            </c:strRef>
          </c:cat>
          <c:val>
            <c:numRef>
              <c:f>TB!$E$10:$Y$10</c:f>
              <c:numCache>
                <c:formatCode>0</c:formatCode>
                <c:ptCount val="21"/>
                <c:pt idx="0">
                  <c:v>73</c:v>
                </c:pt>
                <c:pt idx="1">
                  <c:v>73</c:v>
                </c:pt>
                <c:pt idx="2">
                  <c:v>73</c:v>
                </c:pt>
                <c:pt idx="3">
                  <c:v>73</c:v>
                </c:pt>
                <c:pt idx="4">
                  <c:v>73</c:v>
                </c:pt>
                <c:pt idx="5">
                  <c:v>72</c:v>
                </c:pt>
                <c:pt idx="6">
                  <c:v>63</c:v>
                </c:pt>
                <c:pt idx="7">
                  <c:v>61</c:v>
                </c:pt>
                <c:pt idx="8">
                  <c:v>63</c:v>
                </c:pt>
                <c:pt idx="9">
                  <c:v>63</c:v>
                </c:pt>
                <c:pt idx="10">
                  <c:v>66</c:v>
                </c:pt>
                <c:pt idx="11">
                  <c:v>71</c:v>
                </c:pt>
                <c:pt idx="12">
                  <c:v>74</c:v>
                </c:pt>
                <c:pt idx="13">
                  <c:v>74</c:v>
                </c:pt>
                <c:pt idx="14">
                  <c:v>76</c:v>
                </c:pt>
                <c:pt idx="15">
                  <c:v>77</c:v>
                </c:pt>
                <c:pt idx="16">
                  <c:v>79</c:v>
                </c:pt>
                <c:pt idx="17">
                  <c:v>80</c:v>
                </c:pt>
                <c:pt idx="18">
                  <c:v>81</c:v>
                </c:pt>
                <c:pt idx="19">
                  <c:v>82</c:v>
                </c:pt>
                <c:pt idx="20">
                  <c:v>83</c:v>
                </c:pt>
              </c:numCache>
            </c:numRef>
          </c:val>
          <c:extLst>
            <c:ext xmlns:c16="http://schemas.microsoft.com/office/drawing/2014/chart" uri="{C3380CC4-5D6E-409C-BE32-E72D297353CC}">
              <c16:uniqueId val="{00000000-79D4-41F0-BC75-25EF88770444}"/>
            </c:ext>
          </c:extLst>
        </c:ser>
        <c:ser>
          <c:idx val="1"/>
          <c:order val="1"/>
          <c:tx>
            <c:strRef>
              <c:f>TB!$D$11</c:f>
              <c:strCache>
                <c:ptCount val="1"/>
                <c:pt idx="0">
                  <c:v>Cure rate</c:v>
                </c:pt>
              </c:strCache>
            </c:strRef>
          </c:tx>
          <c:spPr>
            <a:solidFill>
              <a:srgbClr val="F8A662"/>
            </a:solidFill>
            <a:ln w="25400">
              <a:noFill/>
            </a:ln>
          </c:spPr>
          <c:invertIfNegative val="0"/>
          <c:cat>
            <c:strRef>
              <c:f>TB!$E$8:$Y$8</c:f>
              <c:strCach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2013 </c:v>
                </c:pt>
                <c:pt idx="20">
                  <c:v>2014 </c:v>
                </c:pt>
              </c:strCache>
            </c:strRef>
          </c:cat>
          <c:val>
            <c:numRef>
              <c:f>TB!$E$11:$Y$11</c:f>
              <c:numCache>
                <c:formatCode>0</c:formatCode>
                <c:ptCount val="21"/>
                <c:pt idx="0">
                  <c:v>54</c:v>
                </c:pt>
                <c:pt idx="1">
                  <c:v>57</c:v>
                </c:pt>
                <c:pt idx="2">
                  <c:v>54</c:v>
                </c:pt>
                <c:pt idx="3">
                  <c:v>57</c:v>
                </c:pt>
                <c:pt idx="4">
                  <c:v>60</c:v>
                </c:pt>
                <c:pt idx="5">
                  <c:v>60</c:v>
                </c:pt>
                <c:pt idx="6">
                  <c:v>54</c:v>
                </c:pt>
                <c:pt idx="7">
                  <c:v>50</c:v>
                </c:pt>
                <c:pt idx="8">
                  <c:v>50</c:v>
                </c:pt>
                <c:pt idx="9">
                  <c:v>51</c:v>
                </c:pt>
                <c:pt idx="10">
                  <c:v>51</c:v>
                </c:pt>
                <c:pt idx="11">
                  <c:v>58</c:v>
                </c:pt>
                <c:pt idx="12">
                  <c:v>63</c:v>
                </c:pt>
                <c:pt idx="13">
                  <c:v>64</c:v>
                </c:pt>
                <c:pt idx="14">
                  <c:v>68</c:v>
                </c:pt>
                <c:pt idx="15">
                  <c:v>71</c:v>
                </c:pt>
                <c:pt idx="16">
                  <c:v>73</c:v>
                </c:pt>
                <c:pt idx="17">
                  <c:v>74</c:v>
                </c:pt>
                <c:pt idx="18">
                  <c:v>76</c:v>
                </c:pt>
                <c:pt idx="19">
                  <c:v>77</c:v>
                </c:pt>
                <c:pt idx="20">
                  <c:v>76.8</c:v>
                </c:pt>
              </c:numCache>
            </c:numRef>
          </c:val>
          <c:extLst>
            <c:ext xmlns:c16="http://schemas.microsoft.com/office/drawing/2014/chart" uri="{C3380CC4-5D6E-409C-BE32-E72D297353CC}">
              <c16:uniqueId val="{00000001-79D4-41F0-BC75-25EF88770444}"/>
            </c:ext>
          </c:extLst>
        </c:ser>
        <c:ser>
          <c:idx val="2"/>
          <c:order val="2"/>
          <c:tx>
            <c:strRef>
              <c:f>TB!$D$12</c:f>
              <c:strCache>
                <c:ptCount val="1"/>
                <c:pt idx="0">
                  <c:v>Defaulter rate</c:v>
                </c:pt>
              </c:strCache>
            </c:strRef>
          </c:tx>
          <c:spPr>
            <a:solidFill>
              <a:srgbClr val="E46C0A"/>
            </a:solidFill>
            <a:ln w="25400">
              <a:noFill/>
            </a:ln>
          </c:spPr>
          <c:invertIfNegative val="0"/>
          <c:cat>
            <c:strRef>
              <c:f>TB!$E$8:$Y$8</c:f>
              <c:strCach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2013 </c:v>
                </c:pt>
                <c:pt idx="20">
                  <c:v>2014 </c:v>
                </c:pt>
              </c:strCache>
            </c:strRef>
          </c:cat>
          <c:val>
            <c:numRef>
              <c:f>TB!$E$12:$Y$12</c:f>
              <c:numCache>
                <c:formatCode>0</c:formatCode>
                <c:ptCount val="21"/>
                <c:pt idx="0">
                  <c:v>18</c:v>
                </c:pt>
                <c:pt idx="1">
                  <c:v>19</c:v>
                </c:pt>
                <c:pt idx="2">
                  <c:v>18</c:v>
                </c:pt>
                <c:pt idx="3">
                  <c:v>19</c:v>
                </c:pt>
                <c:pt idx="4">
                  <c:v>19</c:v>
                </c:pt>
                <c:pt idx="5">
                  <c:v>17</c:v>
                </c:pt>
                <c:pt idx="6">
                  <c:v>13</c:v>
                </c:pt>
                <c:pt idx="7">
                  <c:v>11</c:v>
                </c:pt>
                <c:pt idx="8">
                  <c:v>12</c:v>
                </c:pt>
                <c:pt idx="9">
                  <c:v>11</c:v>
                </c:pt>
                <c:pt idx="10">
                  <c:v>10</c:v>
                </c:pt>
                <c:pt idx="11">
                  <c:v>10</c:v>
                </c:pt>
                <c:pt idx="12">
                  <c:v>9</c:v>
                </c:pt>
                <c:pt idx="13">
                  <c:v>9</c:v>
                </c:pt>
                <c:pt idx="14">
                  <c:v>8</c:v>
                </c:pt>
                <c:pt idx="15">
                  <c:v>7</c:v>
                </c:pt>
                <c:pt idx="16">
                  <c:v>7</c:v>
                </c:pt>
                <c:pt idx="17">
                  <c:v>6</c:v>
                </c:pt>
                <c:pt idx="18">
                  <c:v>6</c:v>
                </c:pt>
                <c:pt idx="19">
                  <c:v>5.8</c:v>
                </c:pt>
                <c:pt idx="20">
                  <c:v>6.1</c:v>
                </c:pt>
              </c:numCache>
            </c:numRef>
          </c:val>
          <c:extLst>
            <c:ext xmlns:c16="http://schemas.microsoft.com/office/drawing/2014/chart" uri="{C3380CC4-5D6E-409C-BE32-E72D297353CC}">
              <c16:uniqueId val="{00000002-79D4-41F0-BC75-25EF88770444}"/>
            </c:ext>
          </c:extLst>
        </c:ser>
        <c:dLbls>
          <c:showLegendKey val="0"/>
          <c:showVal val="0"/>
          <c:showCatName val="0"/>
          <c:showSerName val="0"/>
          <c:showPercent val="0"/>
          <c:showBubbleSize val="0"/>
        </c:dLbls>
        <c:gapWidth val="150"/>
        <c:axId val="305270560"/>
        <c:axId val="305269776"/>
      </c:barChart>
      <c:catAx>
        <c:axId val="305270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05269776"/>
        <c:crosses val="autoZero"/>
        <c:auto val="1"/>
        <c:lblAlgn val="ctr"/>
        <c:lblOffset val="100"/>
        <c:tickLblSkip val="1"/>
        <c:tickMarkSkip val="1"/>
        <c:noMultiLvlLbl val="0"/>
      </c:catAx>
      <c:valAx>
        <c:axId val="305269776"/>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rate</a:t>
                </a:r>
              </a:p>
            </c:rich>
          </c:tx>
          <c:layout>
            <c:manualLayout>
              <c:xMode val="edge"/>
              <c:yMode val="edge"/>
              <c:x val="3.3898258339423858E-2"/>
              <c:y val="0.4649135086184408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05270560"/>
        <c:crosses val="autoZero"/>
        <c:crossBetween val="between"/>
      </c:valAx>
      <c:spPr>
        <a:solidFill>
          <a:srgbClr val="FFFFFF"/>
        </a:solidFill>
        <a:ln w="3175">
          <a:solidFill>
            <a:srgbClr val="000000"/>
          </a:solidFill>
          <a:prstDash val="solid"/>
        </a:ln>
      </c:spPr>
    </c:plotArea>
    <c:legend>
      <c:legendPos val="r"/>
      <c:layout>
        <c:manualLayout>
          <c:xMode val="edge"/>
          <c:yMode val="edge"/>
          <c:x val="0.25373159543903773"/>
          <c:y val="0.92658571469188666"/>
          <c:w val="0.58073327726154123"/>
          <c:h val="6.07597189961889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MALARIA</a:t>
            </a:r>
          </a:p>
        </c:rich>
      </c:tx>
      <c:layout>
        <c:manualLayout>
          <c:xMode val="edge"/>
          <c:yMode val="edge"/>
          <c:x val="5.8423857732069207E-2"/>
          <c:y val="2.4615384615384615E-2"/>
        </c:manualLayout>
      </c:layout>
      <c:overlay val="0"/>
      <c:spPr>
        <a:noFill/>
        <a:ln w="25400">
          <a:noFill/>
        </a:ln>
      </c:spPr>
    </c:title>
    <c:autoTitleDeleted val="0"/>
    <c:plotArea>
      <c:layout>
        <c:manualLayout>
          <c:layoutTarget val="inner"/>
          <c:xMode val="edge"/>
          <c:yMode val="edge"/>
          <c:x val="0.10089037825922853"/>
          <c:y val="0.1631016042780733"/>
          <c:w val="0.81899248233961974"/>
          <c:h val="0.62834224598930477"/>
        </c:manualLayout>
      </c:layout>
      <c:lineChart>
        <c:grouping val="standard"/>
        <c:varyColors val="0"/>
        <c:ser>
          <c:idx val="1"/>
          <c:order val="0"/>
          <c:tx>
            <c:strRef>
              <c:f>Malaria!$D$9</c:f>
              <c:strCache>
                <c:ptCount val="1"/>
                <c:pt idx="0">
                  <c:v>Cases</c:v>
                </c:pt>
              </c:strCache>
            </c:strRef>
          </c:tx>
          <c:spPr>
            <a:ln w="25400">
              <a:solidFill>
                <a:srgbClr val="FF6600"/>
              </a:solidFill>
              <a:prstDash val="solid"/>
            </a:ln>
          </c:spPr>
          <c:marker>
            <c:symbol val="none"/>
          </c:marker>
          <c:cat>
            <c:numRef>
              <c:f>Malaria!$E$8:$X$8</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Malaria!$E$9:$X$9</c:f>
              <c:numCache>
                <c:formatCode>#\ ###\ ##0</c:formatCode>
                <c:ptCount val="20"/>
                <c:pt idx="0">
                  <c:v>27035</c:v>
                </c:pt>
                <c:pt idx="1">
                  <c:v>23121</c:v>
                </c:pt>
                <c:pt idx="2">
                  <c:v>26445</c:v>
                </c:pt>
                <c:pt idx="3">
                  <c:v>51444</c:v>
                </c:pt>
                <c:pt idx="4">
                  <c:v>64622</c:v>
                </c:pt>
                <c:pt idx="5">
                  <c:v>26506</c:v>
                </c:pt>
                <c:pt idx="6">
                  <c:v>15649</c:v>
                </c:pt>
                <c:pt idx="7">
                  <c:v>13459</c:v>
                </c:pt>
                <c:pt idx="8">
                  <c:v>13399</c:v>
                </c:pt>
                <c:pt idx="9">
                  <c:v>7755</c:v>
                </c:pt>
                <c:pt idx="10">
                  <c:v>12163</c:v>
                </c:pt>
                <c:pt idx="11">
                  <c:v>5210</c:v>
                </c:pt>
                <c:pt idx="12">
                  <c:v>7727</c:v>
                </c:pt>
                <c:pt idx="13">
                  <c:v>5586</c:v>
                </c:pt>
                <c:pt idx="14">
                  <c:v>8066</c:v>
                </c:pt>
                <c:pt idx="15">
                  <c:v>9866</c:v>
                </c:pt>
                <c:pt idx="16">
                  <c:v>6646</c:v>
                </c:pt>
                <c:pt idx="17">
                  <c:v>8851</c:v>
                </c:pt>
                <c:pt idx="18">
                  <c:v>13988</c:v>
                </c:pt>
                <c:pt idx="19">
                  <c:v>11276</c:v>
                </c:pt>
              </c:numCache>
            </c:numRef>
          </c:val>
          <c:smooth val="0"/>
          <c:extLst>
            <c:ext xmlns:c16="http://schemas.microsoft.com/office/drawing/2014/chart" uri="{C3380CC4-5D6E-409C-BE32-E72D297353CC}">
              <c16:uniqueId val="{00000000-31C0-42C4-A20F-1D9A9668BD3B}"/>
            </c:ext>
          </c:extLst>
        </c:ser>
        <c:dLbls>
          <c:showLegendKey val="0"/>
          <c:showVal val="0"/>
          <c:showCatName val="0"/>
          <c:showSerName val="0"/>
          <c:showPercent val="0"/>
          <c:showBubbleSize val="0"/>
        </c:dLbls>
        <c:marker val="1"/>
        <c:smooth val="0"/>
        <c:axId val="305270952"/>
        <c:axId val="305272128"/>
      </c:lineChart>
      <c:lineChart>
        <c:grouping val="standard"/>
        <c:varyColors val="0"/>
        <c:ser>
          <c:idx val="0"/>
          <c:order val="1"/>
          <c:tx>
            <c:strRef>
              <c:f>Malaria!$D$10</c:f>
              <c:strCache>
                <c:ptCount val="1"/>
                <c:pt idx="0">
                  <c:v>Deaths</c:v>
                </c:pt>
              </c:strCache>
            </c:strRef>
          </c:tx>
          <c:spPr>
            <a:ln w="25400">
              <a:solidFill>
                <a:srgbClr val="BE4B48"/>
              </a:solidFill>
              <a:prstDash val="solid"/>
            </a:ln>
          </c:spPr>
          <c:marker>
            <c:symbol val="none"/>
          </c:marker>
          <c:cat>
            <c:numRef>
              <c:f>Malaria!$E$8:$X$8</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Malaria!$E$10:$X$10</c:f>
              <c:numCache>
                <c:formatCode>General</c:formatCode>
                <c:ptCount val="20"/>
                <c:pt idx="0">
                  <c:v>163</c:v>
                </c:pt>
                <c:pt idx="1">
                  <c:v>104</c:v>
                </c:pt>
                <c:pt idx="2">
                  <c:v>198</c:v>
                </c:pt>
                <c:pt idx="3">
                  <c:v>406</c:v>
                </c:pt>
                <c:pt idx="4">
                  <c:v>458</c:v>
                </c:pt>
                <c:pt idx="5">
                  <c:v>119</c:v>
                </c:pt>
                <c:pt idx="6">
                  <c:v>96</c:v>
                </c:pt>
                <c:pt idx="7">
                  <c:v>142</c:v>
                </c:pt>
                <c:pt idx="8">
                  <c:v>89</c:v>
                </c:pt>
                <c:pt idx="9">
                  <c:v>64</c:v>
                </c:pt>
                <c:pt idx="10">
                  <c:v>89</c:v>
                </c:pt>
                <c:pt idx="11">
                  <c:v>48</c:v>
                </c:pt>
                <c:pt idx="12">
                  <c:v>44</c:v>
                </c:pt>
                <c:pt idx="13">
                  <c:v>43</c:v>
                </c:pt>
                <c:pt idx="14">
                  <c:v>87</c:v>
                </c:pt>
                <c:pt idx="15">
                  <c:v>89</c:v>
                </c:pt>
                <c:pt idx="16">
                  <c:v>72</c:v>
                </c:pt>
                <c:pt idx="17">
                  <c:v>104</c:v>
                </c:pt>
                <c:pt idx="18">
                  <c:v>174</c:v>
                </c:pt>
                <c:pt idx="19">
                  <c:v>141</c:v>
                </c:pt>
              </c:numCache>
            </c:numRef>
          </c:val>
          <c:smooth val="0"/>
          <c:extLst>
            <c:ext xmlns:c16="http://schemas.microsoft.com/office/drawing/2014/chart" uri="{C3380CC4-5D6E-409C-BE32-E72D297353CC}">
              <c16:uniqueId val="{00000001-31C0-42C4-A20F-1D9A9668BD3B}"/>
            </c:ext>
          </c:extLst>
        </c:ser>
        <c:dLbls>
          <c:showLegendKey val="0"/>
          <c:showVal val="0"/>
          <c:showCatName val="0"/>
          <c:showSerName val="0"/>
          <c:showPercent val="0"/>
          <c:showBubbleSize val="0"/>
        </c:dLbls>
        <c:marker val="1"/>
        <c:smooth val="0"/>
        <c:axId val="305274480"/>
        <c:axId val="305272912"/>
      </c:lineChart>
      <c:catAx>
        <c:axId val="3052709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05272128"/>
        <c:crosses val="autoZero"/>
        <c:auto val="0"/>
        <c:lblAlgn val="ctr"/>
        <c:lblOffset val="100"/>
        <c:tickLblSkip val="1"/>
        <c:tickMarkSkip val="1"/>
        <c:noMultiLvlLbl val="0"/>
      </c:catAx>
      <c:valAx>
        <c:axId val="305272128"/>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cases</a:t>
                </a:r>
              </a:p>
            </c:rich>
          </c:tx>
          <c:layout>
            <c:manualLayout>
              <c:xMode val="edge"/>
              <c:yMode val="edge"/>
              <c:x val="2.0380443515989072E-2"/>
              <c:y val="0.41538526145770716"/>
            </c:manualLayout>
          </c:layout>
          <c:overlay val="0"/>
          <c:spPr>
            <a:noFill/>
            <a:ln w="25400">
              <a:noFill/>
            </a:ln>
          </c:spPr>
        </c:title>
        <c:numFmt formatCode="#\ ##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05270952"/>
        <c:crosses val="autoZero"/>
        <c:crossBetween val="midCat"/>
      </c:valAx>
      <c:catAx>
        <c:axId val="305274480"/>
        <c:scaling>
          <c:orientation val="minMax"/>
        </c:scaling>
        <c:delete val="1"/>
        <c:axPos val="b"/>
        <c:numFmt formatCode="General" sourceLinked="1"/>
        <c:majorTickMark val="out"/>
        <c:minorTickMark val="none"/>
        <c:tickLblPos val="none"/>
        <c:crossAx val="305272912"/>
        <c:crosses val="autoZero"/>
        <c:auto val="0"/>
        <c:lblAlgn val="ctr"/>
        <c:lblOffset val="100"/>
        <c:noMultiLvlLbl val="0"/>
      </c:catAx>
      <c:valAx>
        <c:axId val="30527291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en-ZA"/>
                  <a:t>deaths</a:t>
                </a:r>
              </a:p>
            </c:rich>
          </c:tx>
          <c:layout>
            <c:manualLayout>
              <c:xMode val="edge"/>
              <c:yMode val="edge"/>
              <c:x val="0.9624177266303251"/>
              <c:y val="0.4123084745296890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05274480"/>
        <c:crosses val="max"/>
        <c:crossBetween val="midCat"/>
      </c:valAx>
      <c:spPr>
        <a:solidFill>
          <a:srgbClr val="FFFFFF"/>
        </a:solidFill>
        <a:ln w="3175">
          <a:solidFill>
            <a:srgbClr val="000000"/>
          </a:solidFill>
          <a:prstDash val="solid"/>
        </a:ln>
      </c:spPr>
    </c:plotArea>
    <c:legend>
      <c:legendPos val="r"/>
      <c:layout>
        <c:manualLayout>
          <c:xMode val="edge"/>
          <c:yMode val="edge"/>
          <c:x val="0.42334394014656684"/>
          <c:y val="0.91176470588234493"/>
          <c:w val="0.18298745076428924"/>
          <c:h val="7.4866310160428592E-2"/>
        </c:manualLayout>
      </c:layout>
      <c:overlay val="0"/>
      <c:spPr>
        <a:solidFill>
          <a:srgbClr val="FFFFFF"/>
        </a:solidFill>
        <a:ln w="25400">
          <a:noFill/>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44" r="0.75000000000000544" t="1" header="0.5" footer="0.5"/>
    <c:pageSetup paperSize="9"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US"/>
              <a:t>CHILDREN ATTENDING ECD FACILITIES</a:t>
            </a:r>
          </a:p>
        </c:rich>
      </c:tx>
      <c:layout>
        <c:manualLayout>
          <c:xMode val="edge"/>
          <c:yMode val="edge"/>
          <c:x val="7.8320097447626524E-2"/>
          <c:y val="1.6611295681063183E-2"/>
        </c:manualLayout>
      </c:layout>
      <c:overlay val="0"/>
      <c:spPr>
        <a:noFill/>
        <a:ln w="25400">
          <a:noFill/>
        </a:ln>
      </c:spPr>
    </c:title>
    <c:autoTitleDeleted val="0"/>
    <c:plotArea>
      <c:layout>
        <c:manualLayout>
          <c:layoutTarget val="inner"/>
          <c:xMode val="edge"/>
          <c:yMode val="edge"/>
          <c:x val="9.5346197502837696E-2"/>
          <c:y val="0.11627925839528792"/>
          <c:w val="0.88989784335982114"/>
          <c:h val="0.61794120175781564"/>
        </c:manualLayout>
      </c:layout>
      <c:barChart>
        <c:barDir val="col"/>
        <c:grouping val="clustered"/>
        <c:varyColors val="0"/>
        <c:ser>
          <c:idx val="0"/>
          <c:order val="0"/>
          <c:tx>
            <c:strRef>
              <c:f>ECD!$D$9</c:f>
              <c:strCache>
                <c:ptCount val="1"/>
                <c:pt idx="0">
                  <c:v>0-4 year olds</c:v>
                </c:pt>
              </c:strCache>
            </c:strRef>
          </c:tx>
          <c:spPr>
            <a:solidFill>
              <a:srgbClr val="FCD5B5"/>
            </a:solidFill>
            <a:ln w="25400">
              <a:noFill/>
              <a:prstDash val="solid"/>
            </a:ln>
          </c:spPr>
          <c:invertIfNegative val="0"/>
          <c:cat>
            <c:numRef>
              <c:f>ECD!$F$8:$S$8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ECD!$F$9:$S$9</c:f>
              <c:numCache>
                <c:formatCode>0.0</c:formatCode>
                <c:ptCount val="14"/>
                <c:pt idx="0">
                  <c:v>7.3</c:v>
                </c:pt>
                <c:pt idx="1">
                  <c:v>11.6</c:v>
                </c:pt>
                <c:pt idx="2">
                  <c:v>11.5</c:v>
                </c:pt>
                <c:pt idx="3">
                  <c:v>14.3</c:v>
                </c:pt>
                <c:pt idx="4">
                  <c:v>16</c:v>
                </c:pt>
                <c:pt idx="5">
                  <c:v>16.100000000000001</c:v>
                </c:pt>
                <c:pt idx="6">
                  <c:v>16.7</c:v>
                </c:pt>
                <c:pt idx="7">
                  <c:v>29.8</c:v>
                </c:pt>
                <c:pt idx="8">
                  <c:v>32.200000000000003</c:v>
                </c:pt>
                <c:pt idx="9">
                  <c:v>34.5</c:v>
                </c:pt>
                <c:pt idx="10">
                  <c:v>36.5</c:v>
                </c:pt>
                <c:pt idx="11">
                  <c:v>44.7</c:v>
                </c:pt>
                <c:pt idx="12">
                  <c:v>48.3</c:v>
                </c:pt>
                <c:pt idx="13">
                  <c:v>45.7</c:v>
                </c:pt>
              </c:numCache>
            </c:numRef>
          </c:val>
          <c:extLst>
            <c:ext xmlns:c16="http://schemas.microsoft.com/office/drawing/2014/chart" uri="{C3380CC4-5D6E-409C-BE32-E72D297353CC}">
              <c16:uniqueId val="{00000000-07E7-4055-8A61-49F022C11ACE}"/>
            </c:ext>
          </c:extLst>
        </c:ser>
        <c:ser>
          <c:idx val="1"/>
          <c:order val="1"/>
          <c:tx>
            <c:strRef>
              <c:f>ECD!$D$10</c:f>
              <c:strCache>
                <c:ptCount val="1"/>
                <c:pt idx="0">
                  <c:v>3-5 year olds</c:v>
                </c:pt>
              </c:strCache>
            </c:strRef>
          </c:tx>
          <c:spPr>
            <a:solidFill>
              <a:srgbClr val="F8A662"/>
            </a:solidFill>
            <a:ln w="25400">
              <a:noFill/>
              <a:prstDash val="solid"/>
            </a:ln>
          </c:spPr>
          <c:invertIfNegative val="0"/>
          <c:cat>
            <c:numRef>
              <c:f>ECD!$F$8:$S$8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ECD!$F$10:$Q$10</c:f>
              <c:numCache>
                <c:formatCode>0.0</c:formatCode>
                <c:ptCount val="12"/>
                <c:pt idx="7">
                  <c:v>60</c:v>
                </c:pt>
                <c:pt idx="8">
                  <c:v>64</c:v>
                </c:pt>
                <c:pt idx="9">
                  <c:v>66</c:v>
                </c:pt>
                <c:pt idx="10">
                  <c:v>67.387887449672405</c:v>
                </c:pt>
                <c:pt idx="11">
                  <c:v>71.275629761606439</c:v>
                </c:pt>
              </c:numCache>
            </c:numRef>
          </c:val>
          <c:extLst>
            <c:ext xmlns:c16="http://schemas.microsoft.com/office/drawing/2014/chart" uri="{C3380CC4-5D6E-409C-BE32-E72D297353CC}">
              <c16:uniqueId val="{00000001-07E7-4055-8A61-49F022C11ACE}"/>
            </c:ext>
          </c:extLst>
        </c:ser>
        <c:ser>
          <c:idx val="2"/>
          <c:order val="2"/>
          <c:tx>
            <c:strRef>
              <c:f>ECD!$D$11</c:f>
              <c:strCache>
                <c:ptCount val="1"/>
                <c:pt idx="0">
                  <c:v>5 year olds</c:v>
                </c:pt>
              </c:strCache>
            </c:strRef>
          </c:tx>
          <c:spPr>
            <a:solidFill>
              <a:srgbClr val="E46C0A"/>
            </a:solidFill>
            <a:ln>
              <a:noFill/>
            </a:ln>
          </c:spPr>
          <c:invertIfNegative val="0"/>
          <c:cat>
            <c:numRef>
              <c:f>ECD!$F$8:$S$8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ECD!$F$11:$S$11</c:f>
              <c:numCache>
                <c:formatCode>0.0</c:formatCode>
                <c:ptCount val="14"/>
                <c:pt idx="0">
                  <c:v>39.299999999999997</c:v>
                </c:pt>
                <c:pt idx="1">
                  <c:v>48.1</c:v>
                </c:pt>
                <c:pt idx="2">
                  <c:v>51.9</c:v>
                </c:pt>
                <c:pt idx="3">
                  <c:v>59.3</c:v>
                </c:pt>
                <c:pt idx="4">
                  <c:v>61.6</c:v>
                </c:pt>
                <c:pt idx="5">
                  <c:v>60.2</c:v>
                </c:pt>
                <c:pt idx="6">
                  <c:v>63.2</c:v>
                </c:pt>
                <c:pt idx="7">
                  <c:v>78.3</c:v>
                </c:pt>
                <c:pt idx="8">
                  <c:v>83.4</c:v>
                </c:pt>
                <c:pt idx="9">
                  <c:v>84.8</c:v>
                </c:pt>
                <c:pt idx="10">
                  <c:v>84.6</c:v>
                </c:pt>
                <c:pt idx="11">
                  <c:v>85.3</c:v>
                </c:pt>
                <c:pt idx="12">
                  <c:v>87.2</c:v>
                </c:pt>
                <c:pt idx="13">
                  <c:v>85.8</c:v>
                </c:pt>
              </c:numCache>
            </c:numRef>
          </c:val>
          <c:extLst>
            <c:ext xmlns:c16="http://schemas.microsoft.com/office/drawing/2014/chart" uri="{C3380CC4-5D6E-409C-BE32-E72D297353CC}">
              <c16:uniqueId val="{00000002-07E7-4055-8A61-49F022C11ACE}"/>
            </c:ext>
          </c:extLst>
        </c:ser>
        <c:ser>
          <c:idx val="3"/>
          <c:order val="3"/>
          <c:tx>
            <c:v>6 year olds</c:v>
          </c:tx>
          <c:invertIfNegative val="0"/>
          <c:val>
            <c:numRef>
              <c:f>ECD!$F$12:$S$12</c:f>
              <c:numCache>
                <c:formatCode>General</c:formatCode>
                <c:ptCount val="14"/>
                <c:pt idx="7" formatCode="0.0">
                  <c:v>94.791239000000004</c:v>
                </c:pt>
                <c:pt idx="8" formatCode="0.0">
                  <c:v>96.097873000000007</c:v>
                </c:pt>
                <c:pt idx="9" formatCode="0.0">
                  <c:v>95.457340000000002</c:v>
                </c:pt>
                <c:pt idx="10" formatCode="0.0">
                  <c:v>95.849581000000001</c:v>
                </c:pt>
                <c:pt idx="11" formatCode="0.0">
                  <c:v>95.459684999999993</c:v>
                </c:pt>
                <c:pt idx="12" formatCode="0.0">
                  <c:v>95.888360000000006</c:v>
                </c:pt>
                <c:pt idx="13" formatCode="0.0">
                  <c:v>98.2</c:v>
                </c:pt>
              </c:numCache>
            </c:numRef>
          </c:val>
          <c:extLst>
            <c:ext xmlns:c16="http://schemas.microsoft.com/office/drawing/2014/chart" uri="{C3380CC4-5D6E-409C-BE32-E72D297353CC}">
              <c16:uniqueId val="{00000000-081B-4825-9D82-E5A1F5A94160}"/>
            </c:ext>
          </c:extLst>
        </c:ser>
        <c:dLbls>
          <c:showLegendKey val="0"/>
          <c:showVal val="0"/>
          <c:showCatName val="0"/>
          <c:showSerName val="0"/>
          <c:showPercent val="0"/>
          <c:showBubbleSize val="0"/>
        </c:dLbls>
        <c:gapWidth val="150"/>
        <c:axId val="714556424"/>
        <c:axId val="714559560"/>
      </c:barChart>
      <c:catAx>
        <c:axId val="714556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9560"/>
        <c:crosses val="autoZero"/>
        <c:auto val="1"/>
        <c:lblAlgn val="ctr"/>
        <c:lblOffset val="100"/>
        <c:tickLblSkip val="1"/>
        <c:tickMarkSkip val="1"/>
        <c:noMultiLvlLbl val="0"/>
      </c:catAx>
      <c:valAx>
        <c:axId val="714559560"/>
        <c:scaling>
          <c:orientation val="minMax"/>
          <c:min val="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a:t>
                </a:r>
              </a:p>
            </c:rich>
          </c:tx>
          <c:layout>
            <c:manualLayout>
              <c:xMode val="edge"/>
              <c:yMode val="edge"/>
              <c:x val="3.6322308586025018E-2"/>
              <c:y val="0.3687714617068226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6424"/>
        <c:crosses val="autoZero"/>
        <c:crossBetween val="between"/>
      </c:valAx>
      <c:spPr>
        <a:solidFill>
          <a:srgbClr val="FFFFFF"/>
        </a:solidFill>
        <a:ln w="12700">
          <a:solidFill>
            <a:schemeClr val="tx1"/>
          </a:solidFill>
        </a:ln>
      </c:spPr>
    </c:plotArea>
    <c:legend>
      <c:legendPos val="r"/>
      <c:layout>
        <c:manualLayout>
          <c:xMode val="edge"/>
          <c:yMode val="edge"/>
          <c:x val="0.24753608200347169"/>
          <c:y val="0.85404225144228629"/>
          <c:w val="0.49546139494141284"/>
          <c:h val="8.4833054181185794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paperSize="9" orientation="landscape" horizontalDpi="0" verticalDpi="0"/>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46197502837696E-2"/>
          <c:y val="5.1679586563307491E-2"/>
          <c:w val="0.88989784335982114"/>
          <c:h val="0.68254084518504954"/>
        </c:manualLayout>
      </c:layout>
      <c:barChart>
        <c:barDir val="col"/>
        <c:grouping val="clustered"/>
        <c:varyColors val="0"/>
        <c:ser>
          <c:idx val="0"/>
          <c:order val="0"/>
          <c:tx>
            <c:strRef>
              <c:f>ECD!$D$9</c:f>
              <c:strCache>
                <c:ptCount val="1"/>
                <c:pt idx="0">
                  <c:v>0-4 year olds</c:v>
                </c:pt>
              </c:strCache>
            </c:strRef>
          </c:tx>
          <c:spPr>
            <a:ln w="25400">
              <a:solidFill>
                <a:srgbClr val="808000"/>
              </a:solidFill>
              <a:prstDash val="solid"/>
            </a:ln>
          </c:spPr>
          <c:invertIfNegative val="0"/>
          <c:cat>
            <c:strRef>
              <c:f>ECD!$E$8:$S$8</c:f>
              <c:strCache>
                <c:ptCount val="15"/>
                <c:pt idx="0">
                  <c:v>%</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strCache>
            </c:strRef>
          </c:cat>
          <c:val>
            <c:numRef>
              <c:f>ECD!$E$9:$S$9</c:f>
              <c:numCache>
                <c:formatCode>0.0</c:formatCode>
                <c:ptCount val="15"/>
                <c:pt idx="1">
                  <c:v>7.3</c:v>
                </c:pt>
                <c:pt idx="2">
                  <c:v>11.6</c:v>
                </c:pt>
                <c:pt idx="3">
                  <c:v>11.5</c:v>
                </c:pt>
                <c:pt idx="4">
                  <c:v>14.3</c:v>
                </c:pt>
                <c:pt idx="5">
                  <c:v>16</c:v>
                </c:pt>
                <c:pt idx="6">
                  <c:v>16.100000000000001</c:v>
                </c:pt>
                <c:pt idx="7">
                  <c:v>16.7</c:v>
                </c:pt>
                <c:pt idx="8">
                  <c:v>29.8</c:v>
                </c:pt>
                <c:pt idx="9">
                  <c:v>32.200000000000003</c:v>
                </c:pt>
                <c:pt idx="10">
                  <c:v>34.5</c:v>
                </c:pt>
                <c:pt idx="11">
                  <c:v>36.5</c:v>
                </c:pt>
                <c:pt idx="12">
                  <c:v>44.7</c:v>
                </c:pt>
                <c:pt idx="13">
                  <c:v>48.3</c:v>
                </c:pt>
                <c:pt idx="14">
                  <c:v>45.7</c:v>
                </c:pt>
              </c:numCache>
            </c:numRef>
          </c:val>
          <c:extLst>
            <c:ext xmlns:c16="http://schemas.microsoft.com/office/drawing/2014/chart" uri="{C3380CC4-5D6E-409C-BE32-E72D297353CC}">
              <c16:uniqueId val="{00000000-9DDB-47DB-A37D-1888C41A5D8A}"/>
            </c:ext>
          </c:extLst>
        </c:ser>
        <c:ser>
          <c:idx val="2"/>
          <c:order val="1"/>
          <c:tx>
            <c:strRef>
              <c:f>ECD!$D$11</c:f>
              <c:strCache>
                <c:ptCount val="1"/>
                <c:pt idx="0">
                  <c:v>5 year olds</c:v>
                </c:pt>
              </c:strCache>
            </c:strRef>
          </c:tx>
          <c:invertIfNegative val="0"/>
          <c:cat>
            <c:strRef>
              <c:f>ECD!$E$8:$S$8</c:f>
              <c:strCache>
                <c:ptCount val="15"/>
                <c:pt idx="0">
                  <c:v>%</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strCache>
            </c:strRef>
          </c:cat>
          <c:val>
            <c:numRef>
              <c:f>ECD!$E$11:$S$11</c:f>
              <c:numCache>
                <c:formatCode>0.0</c:formatCode>
                <c:ptCount val="15"/>
                <c:pt idx="1">
                  <c:v>39.299999999999997</c:v>
                </c:pt>
                <c:pt idx="2">
                  <c:v>48.1</c:v>
                </c:pt>
                <c:pt idx="3">
                  <c:v>51.9</c:v>
                </c:pt>
                <c:pt idx="4">
                  <c:v>59.3</c:v>
                </c:pt>
                <c:pt idx="5">
                  <c:v>61.6</c:v>
                </c:pt>
                <c:pt idx="6">
                  <c:v>60.2</c:v>
                </c:pt>
                <c:pt idx="7">
                  <c:v>63.2</c:v>
                </c:pt>
                <c:pt idx="8">
                  <c:v>78.3</c:v>
                </c:pt>
                <c:pt idx="9">
                  <c:v>83.4</c:v>
                </c:pt>
                <c:pt idx="10">
                  <c:v>84.8</c:v>
                </c:pt>
                <c:pt idx="11">
                  <c:v>84.6</c:v>
                </c:pt>
                <c:pt idx="12">
                  <c:v>85.3</c:v>
                </c:pt>
                <c:pt idx="13">
                  <c:v>87.2</c:v>
                </c:pt>
                <c:pt idx="14">
                  <c:v>85.8</c:v>
                </c:pt>
              </c:numCache>
            </c:numRef>
          </c:val>
          <c:extLst>
            <c:ext xmlns:c16="http://schemas.microsoft.com/office/drawing/2014/chart" uri="{C3380CC4-5D6E-409C-BE32-E72D297353CC}">
              <c16:uniqueId val="{00000001-9DDB-47DB-A37D-1888C41A5D8A}"/>
            </c:ext>
          </c:extLst>
        </c:ser>
        <c:dLbls>
          <c:showLegendKey val="0"/>
          <c:showVal val="0"/>
          <c:showCatName val="0"/>
          <c:showSerName val="0"/>
          <c:showPercent val="0"/>
          <c:showBubbleSize val="0"/>
        </c:dLbls>
        <c:gapWidth val="150"/>
        <c:axId val="714555248"/>
        <c:axId val="714555640"/>
      </c:barChart>
      <c:catAx>
        <c:axId val="714555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5640"/>
        <c:crosses val="autoZero"/>
        <c:auto val="1"/>
        <c:lblAlgn val="ctr"/>
        <c:lblOffset val="100"/>
        <c:tickLblSkip val="1"/>
        <c:tickMarkSkip val="1"/>
        <c:noMultiLvlLbl val="0"/>
      </c:catAx>
      <c:valAx>
        <c:axId val="714555640"/>
        <c:scaling>
          <c:orientation val="minMax"/>
          <c:min val="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a:t>
                </a:r>
              </a:p>
            </c:rich>
          </c:tx>
          <c:layout>
            <c:manualLayout>
              <c:xMode val="edge"/>
              <c:yMode val="edge"/>
              <c:x val="1.5036721942324256E-2"/>
              <c:y val="0.368771490772955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5248"/>
        <c:crosses val="autoZero"/>
        <c:crossBetween val="between"/>
      </c:valAx>
      <c:spPr>
        <a:noFill/>
        <a:ln w="25400">
          <a:noFill/>
        </a:ln>
      </c:spPr>
    </c:plotArea>
    <c:legend>
      <c:legendPos val="r"/>
      <c:layout>
        <c:manualLayout>
          <c:xMode val="edge"/>
          <c:yMode val="edge"/>
          <c:x val="0.24916968784237375"/>
          <c:y val="0.91516709511568106"/>
          <c:w val="0.53778020987414521"/>
          <c:h val="8.4833002744885894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paperSize="9" orientation="landscape" horizontalDpi="0" verticalDpi="0"/>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'Educator Learner ratio'!$D$10</c:f>
              <c:strCache>
                <c:ptCount val="1"/>
                <c:pt idx="0">
                  <c:v>Learner: Educator Ratio</c:v>
                </c:pt>
              </c:strCache>
            </c:strRef>
          </c:tx>
          <c:spPr>
            <a:ln w="25400">
              <a:solidFill>
                <a:srgbClr val="FF6600"/>
              </a:solidFill>
            </a:ln>
          </c:spPr>
          <c:marker>
            <c:symbol val="none"/>
          </c:marker>
          <c:cat>
            <c:numRef>
              <c:f>'Educator Learner ratio'!$E$7:$U$7</c:f>
              <c:numCache>
                <c:formatCode>General</c:formatCode>
                <c:ptCount val="17"/>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numCache>
            </c:numRef>
          </c:cat>
          <c:val>
            <c:numRef>
              <c:f>'Educator Learner ratio'!$E$10:$U$10</c:f>
              <c:numCache>
                <c:formatCode>0</c:formatCode>
                <c:ptCount val="17"/>
                <c:pt idx="0">
                  <c:v>33.695444209420245</c:v>
                </c:pt>
                <c:pt idx="1">
                  <c:v>32.760931131190091</c:v>
                </c:pt>
                <c:pt idx="2">
                  <c:v>33.139731395450603</c:v>
                </c:pt>
                <c:pt idx="3">
                  <c:v>33.088578528689034</c:v>
                </c:pt>
                <c:pt idx="4">
                  <c:v>33.201843363725118</c:v>
                </c:pt>
                <c:pt idx="5" formatCode="0.0">
                  <c:v>33.63253710895421</c:v>
                </c:pt>
                <c:pt idx="6">
                  <c:v>31.972546207733956</c:v>
                </c:pt>
                <c:pt idx="7">
                  <c:v>31.822025634061486</c:v>
                </c:pt>
                <c:pt idx="8">
                  <c:v>31.383078097973964</c:v>
                </c:pt>
                <c:pt idx="9">
                  <c:v>30.525680067239801</c:v>
                </c:pt>
                <c:pt idx="10">
                  <c:v>30.597891289670891</c:v>
                </c:pt>
                <c:pt idx="11">
                  <c:v>30.332585037333462</c:v>
                </c:pt>
                <c:pt idx="12">
                  <c:v>30.261094048821505</c:v>
                </c:pt>
                <c:pt idx="13">
                  <c:v>30.388310222056848</c:v>
                </c:pt>
                <c:pt idx="14">
                  <c:v>30.261094048821505</c:v>
                </c:pt>
                <c:pt idx="15">
                  <c:v>31.02090842993487</c:v>
                </c:pt>
                <c:pt idx="16">
                  <c:v>32</c:v>
                </c:pt>
              </c:numCache>
            </c:numRef>
          </c:val>
          <c:smooth val="0"/>
          <c:extLst>
            <c:ext xmlns:c16="http://schemas.microsoft.com/office/drawing/2014/chart" uri="{C3380CC4-5D6E-409C-BE32-E72D297353CC}">
              <c16:uniqueId val="{00000000-C2BD-48A7-BB08-2097B2C2C732}"/>
            </c:ext>
          </c:extLst>
        </c:ser>
        <c:dLbls>
          <c:showLegendKey val="0"/>
          <c:showVal val="0"/>
          <c:showCatName val="0"/>
          <c:showSerName val="0"/>
          <c:showPercent val="0"/>
          <c:showBubbleSize val="0"/>
        </c:dLbls>
        <c:smooth val="0"/>
        <c:axId val="714560344"/>
        <c:axId val="714533296"/>
      </c:lineChart>
      <c:catAx>
        <c:axId val="714560344"/>
        <c:scaling>
          <c:orientation val="minMax"/>
        </c:scaling>
        <c:delete val="0"/>
        <c:axPos val="b"/>
        <c:numFmt formatCode="General" sourceLinked="1"/>
        <c:majorTickMark val="out"/>
        <c:minorTickMark val="none"/>
        <c:tickLblPos val="nextTo"/>
        <c:crossAx val="714533296"/>
        <c:crossesAt val="30"/>
        <c:auto val="1"/>
        <c:lblAlgn val="ctr"/>
        <c:lblOffset val="100"/>
        <c:noMultiLvlLbl val="0"/>
      </c:catAx>
      <c:valAx>
        <c:axId val="714533296"/>
        <c:scaling>
          <c:orientation val="minMax"/>
          <c:min val="30"/>
        </c:scaling>
        <c:delete val="0"/>
        <c:axPos val="l"/>
        <c:majorGridlines>
          <c:spPr>
            <a:ln>
              <a:solidFill>
                <a:sysClr val="windowText" lastClr="000000">
                  <a:tint val="75000"/>
                  <a:shade val="95000"/>
                  <a:satMod val="105000"/>
                  <a:alpha val="55000"/>
                </a:sysClr>
              </a:solidFill>
              <a:prstDash val="dash"/>
            </a:ln>
          </c:spPr>
        </c:majorGridlines>
        <c:title>
          <c:tx>
            <c:rich>
              <a:bodyPr rot="-5400000" vert="horz"/>
              <a:lstStyle/>
              <a:p>
                <a:pPr>
                  <a:defRPr/>
                </a:pPr>
                <a:r>
                  <a:rPr lang="en-US"/>
                  <a:t>ratio</a:t>
                </a:r>
              </a:p>
            </c:rich>
          </c:tx>
          <c:overlay val="0"/>
        </c:title>
        <c:numFmt formatCode="0" sourceLinked="1"/>
        <c:majorTickMark val="out"/>
        <c:minorTickMark val="none"/>
        <c:tickLblPos val="nextTo"/>
        <c:crossAx val="714560344"/>
        <c:crosses val="autoZero"/>
        <c:crossBetween val="between"/>
        <c:majorUnit val="1"/>
      </c:valAx>
      <c:spPr>
        <a:ln>
          <a:solidFill>
            <a:schemeClr val="tx1"/>
          </a:solidFill>
        </a:ln>
      </c:spPr>
    </c:plotArea>
    <c:plotVisOnly val="1"/>
    <c:dispBlanksAs val="gap"/>
    <c:showDLblsOverMax val="0"/>
  </c:chart>
  <c:spPr>
    <a:ln>
      <a:solidFill>
        <a:sysClr val="windowText" lastClr="000000"/>
      </a:solidFill>
    </a:ln>
  </c:spPr>
  <c:txPr>
    <a:bodyPr/>
    <a:lstStyle/>
    <a:p>
      <a:pPr>
        <a:defRPr sz="800">
          <a:latin typeface="Arial Narrow" pitchFamily="34" charset="0"/>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GENDER PARITY INDEX</a:t>
            </a:r>
          </a:p>
        </c:rich>
      </c:tx>
      <c:layout>
        <c:manualLayout>
          <c:xMode val="edge"/>
          <c:yMode val="edge"/>
          <c:x val="4.7898338220919004E-2"/>
          <c:y val="3.3898305084745811E-2"/>
        </c:manualLayout>
      </c:layout>
      <c:overlay val="0"/>
      <c:spPr>
        <a:noFill/>
        <a:ln w="25400">
          <a:noFill/>
        </a:ln>
      </c:spPr>
    </c:title>
    <c:autoTitleDeleted val="0"/>
    <c:plotArea>
      <c:layout>
        <c:manualLayout>
          <c:layoutTarget val="inner"/>
          <c:xMode val="edge"/>
          <c:yMode val="edge"/>
          <c:x val="6.4024396200821912E-2"/>
          <c:y val="0.20309094554304971"/>
          <c:w val="0.90472569393304658"/>
          <c:h val="0.63134793940557543"/>
        </c:manualLayout>
      </c:layout>
      <c:lineChart>
        <c:grouping val="standard"/>
        <c:varyColors val="0"/>
        <c:ser>
          <c:idx val="0"/>
          <c:order val="0"/>
          <c:tx>
            <c:strRef>
              <c:f>'Gender parity index'!$D$12</c:f>
              <c:strCache>
                <c:ptCount val="1"/>
                <c:pt idx="0">
                  <c:v>Primary GPI</c:v>
                </c:pt>
              </c:strCache>
            </c:strRef>
          </c:tx>
          <c:spPr>
            <a:ln w="25400">
              <a:solidFill>
                <a:srgbClr val="FF6600"/>
              </a:solidFill>
              <a:prstDash val="solid"/>
            </a:ln>
          </c:spPr>
          <c:marker>
            <c:symbol val="none"/>
          </c:marker>
          <c:cat>
            <c:numRef>
              <c:f>'Gender parity index'!$E$8:$V$8</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'Gender parity index'!$E$12:$V$12</c:f>
              <c:numCache>
                <c:formatCode>0.000</c:formatCode>
                <c:ptCount val="18"/>
                <c:pt idx="0">
                  <c:v>0.97220430877723707</c:v>
                </c:pt>
                <c:pt idx="1">
                  <c:v>0.97265681865781106</c:v>
                </c:pt>
                <c:pt idx="2">
                  <c:v>0.96854317304471504</c:v>
                </c:pt>
                <c:pt idx="3">
                  <c:v>0.94758085633443245</c:v>
                </c:pt>
                <c:pt idx="4">
                  <c:v>0.95972188398609892</c:v>
                </c:pt>
                <c:pt idx="5">
                  <c:v>0.96168870009050489</c:v>
                </c:pt>
                <c:pt idx="6">
                  <c:v>0.95883287520608784</c:v>
                </c:pt>
                <c:pt idx="7">
                  <c:v>0.95501031704018791</c:v>
                </c:pt>
                <c:pt idx="8">
                  <c:v>0.96190476190476193</c:v>
                </c:pt>
                <c:pt idx="9">
                  <c:v>0.96</c:v>
                </c:pt>
                <c:pt idx="10">
                  <c:v>0.96596311085757736</c:v>
                </c:pt>
                <c:pt idx="11">
                  <c:v>0.98</c:v>
                </c:pt>
                <c:pt idx="12">
                  <c:v>0.98</c:v>
                </c:pt>
                <c:pt idx="13">
                  <c:v>0.96048289591001679</c:v>
                </c:pt>
                <c:pt idx="14">
                  <c:v>0.95789473684210524</c:v>
                </c:pt>
                <c:pt idx="15">
                  <c:v>0.95049504950495045</c:v>
                </c:pt>
                <c:pt idx="16">
                  <c:v>0.94510233556841527</c:v>
                </c:pt>
                <c:pt idx="17">
                  <c:v>0.96</c:v>
                </c:pt>
              </c:numCache>
            </c:numRef>
          </c:val>
          <c:smooth val="0"/>
          <c:extLst>
            <c:ext xmlns:c16="http://schemas.microsoft.com/office/drawing/2014/chart" uri="{C3380CC4-5D6E-409C-BE32-E72D297353CC}">
              <c16:uniqueId val="{00000000-44BF-4A98-893D-7CE29821E741}"/>
            </c:ext>
          </c:extLst>
        </c:ser>
        <c:ser>
          <c:idx val="1"/>
          <c:order val="1"/>
          <c:tx>
            <c:strRef>
              <c:f>'Gender parity index'!$D$16</c:f>
              <c:strCache>
                <c:ptCount val="1"/>
                <c:pt idx="0">
                  <c:v>Secondary GPI</c:v>
                </c:pt>
              </c:strCache>
            </c:strRef>
          </c:tx>
          <c:spPr>
            <a:ln w="25400">
              <a:solidFill>
                <a:srgbClr val="BE4B48"/>
              </a:solidFill>
              <a:prstDash val="solid"/>
            </a:ln>
          </c:spPr>
          <c:marker>
            <c:symbol val="none"/>
          </c:marker>
          <c:cat>
            <c:numRef>
              <c:f>'Gender parity index'!$E$8:$V$8</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'Gender parity index'!$E$16:$V$16</c:f>
              <c:numCache>
                <c:formatCode>0.000</c:formatCode>
                <c:ptCount val="18"/>
                <c:pt idx="0">
                  <c:v>1.1621219712847857</c:v>
                </c:pt>
                <c:pt idx="1">
                  <c:v>1.145951315692658</c:v>
                </c:pt>
                <c:pt idx="2">
                  <c:v>1.1393470007039119</c:v>
                </c:pt>
                <c:pt idx="3">
                  <c:v>1.1273952993426704</c:v>
                </c:pt>
                <c:pt idx="4">
                  <c:v>1.1192281697743534</c:v>
                </c:pt>
                <c:pt idx="5">
                  <c:v>1.1030812114148394</c:v>
                </c:pt>
                <c:pt idx="6">
                  <c:v>1.0941611006686522</c:v>
                </c:pt>
                <c:pt idx="7">
                  <c:v>1.0967113735144836</c:v>
                </c:pt>
                <c:pt idx="8">
                  <c:v>1.0823529411764705</c:v>
                </c:pt>
                <c:pt idx="9">
                  <c:v>1.0900000000000001</c:v>
                </c:pt>
                <c:pt idx="10">
                  <c:v>1.0580000000000001</c:v>
                </c:pt>
                <c:pt idx="11">
                  <c:v>1.08</c:v>
                </c:pt>
                <c:pt idx="12">
                  <c:v>1.01</c:v>
                </c:pt>
                <c:pt idx="13">
                  <c:v>1.07078134597603</c:v>
                </c:pt>
                <c:pt idx="14">
                  <c:v>1.0714285714285714</c:v>
                </c:pt>
                <c:pt idx="15">
                  <c:v>1.069767441860465</c:v>
                </c:pt>
                <c:pt idx="16">
                  <c:v>1.0603352145470628</c:v>
                </c:pt>
                <c:pt idx="17">
                  <c:v>1.07</c:v>
                </c:pt>
              </c:numCache>
            </c:numRef>
          </c:val>
          <c:smooth val="0"/>
          <c:extLst>
            <c:ext xmlns:c16="http://schemas.microsoft.com/office/drawing/2014/chart" uri="{C3380CC4-5D6E-409C-BE32-E72D297353CC}">
              <c16:uniqueId val="{00000001-44BF-4A98-893D-7CE29821E741}"/>
            </c:ext>
          </c:extLst>
        </c:ser>
        <c:ser>
          <c:idx val="2"/>
          <c:order val="2"/>
          <c:tx>
            <c:strRef>
              <c:f>'Gender parity index'!$D$29</c:f>
              <c:strCache>
                <c:ptCount val="1"/>
                <c:pt idx="0">
                  <c:v>Higher Education GPI</c:v>
                </c:pt>
              </c:strCache>
            </c:strRef>
          </c:tx>
          <c:spPr>
            <a:ln w="25400">
              <a:solidFill>
                <a:srgbClr val="FFC600"/>
              </a:solidFill>
            </a:ln>
          </c:spPr>
          <c:marker>
            <c:symbol val="none"/>
          </c:marker>
          <c:cat>
            <c:numRef>
              <c:f>'Gender parity index'!$E$8:$V$8</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'Gender parity index'!$E$29:$V$29</c:f>
              <c:numCache>
                <c:formatCode>0.00</c:formatCode>
                <c:ptCount val="18"/>
                <c:pt idx="0">
                  <c:v>0.96689193878039681</c:v>
                </c:pt>
                <c:pt idx="1">
                  <c:v>1.0256553027354351</c:v>
                </c:pt>
                <c:pt idx="2">
                  <c:v>1.0522800574665609</c:v>
                </c:pt>
                <c:pt idx="3">
                  <c:v>1.1065014059701967</c:v>
                </c:pt>
                <c:pt idx="4">
                  <c:v>1.1631444455643856</c:v>
                </c:pt>
                <c:pt idx="5">
                  <c:v>1.1731951556372324</c:v>
                </c:pt>
                <c:pt idx="6">
                  <c:v>1.1680447685006445</c:v>
                </c:pt>
                <c:pt idx="7">
                  <c:v>1.188970123147894</c:v>
                </c:pt>
                <c:pt idx="8">
                  <c:v>1.2052437897033896</c:v>
                </c:pt>
                <c:pt idx="9">
                  <c:v>1.2348583387488057</c:v>
                </c:pt>
                <c:pt idx="10">
                  <c:v>1.2565538048616052</c:v>
                </c:pt>
                <c:pt idx="11">
                  <c:v>1.2653061224489797</c:v>
                </c:pt>
                <c:pt idx="12">
                  <c:v>1.318185787594814</c:v>
                </c:pt>
                <c:pt idx="13">
                  <c:v>1.36</c:v>
                </c:pt>
                <c:pt idx="14">
                  <c:v>1.3881705688694896</c:v>
                </c:pt>
                <c:pt idx="15">
                  <c:v>1.42</c:v>
                </c:pt>
                <c:pt idx="16">
                  <c:v>1.4262037283858577</c:v>
                </c:pt>
                <c:pt idx="17">
                  <c:v>1.4281177836052827</c:v>
                </c:pt>
              </c:numCache>
            </c:numRef>
          </c:val>
          <c:smooth val="0"/>
          <c:extLst>
            <c:ext xmlns:c16="http://schemas.microsoft.com/office/drawing/2014/chart" uri="{C3380CC4-5D6E-409C-BE32-E72D297353CC}">
              <c16:uniqueId val="{00000002-44BF-4A98-893D-7CE29821E741}"/>
            </c:ext>
          </c:extLst>
        </c:ser>
        <c:dLbls>
          <c:showLegendKey val="0"/>
          <c:showVal val="0"/>
          <c:showCatName val="0"/>
          <c:showSerName val="0"/>
          <c:showPercent val="0"/>
          <c:showBubbleSize val="0"/>
        </c:dLbls>
        <c:smooth val="0"/>
        <c:axId val="409656240"/>
        <c:axId val="409652712"/>
      </c:lineChart>
      <c:catAx>
        <c:axId val="409656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9652712"/>
        <c:crosses val="autoZero"/>
        <c:auto val="1"/>
        <c:lblAlgn val="ctr"/>
        <c:lblOffset val="100"/>
        <c:tickLblSkip val="1"/>
        <c:tickMarkSkip val="1"/>
        <c:noMultiLvlLbl val="0"/>
      </c:catAx>
      <c:valAx>
        <c:axId val="409652712"/>
        <c:scaling>
          <c:orientation val="minMax"/>
          <c:max val="1.45"/>
          <c:min val="0.9"/>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sz="800"/>
                  <a:t>index</a:t>
                </a:r>
              </a:p>
            </c:rich>
          </c:tx>
          <c:layout>
            <c:manualLayout>
              <c:xMode val="edge"/>
              <c:yMode val="edge"/>
              <c:x val="1.2907398411640439E-2"/>
              <c:y val="0.4073047574351219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9656240"/>
        <c:crosses val="autoZero"/>
        <c:crossBetween val="midCat"/>
        <c:majorUnit val="0.05"/>
        <c:minorUnit val="1.0000000000000005E-2"/>
      </c:valAx>
      <c:spPr>
        <a:solidFill>
          <a:srgbClr val="FFFFFF"/>
        </a:solidFill>
        <a:ln w="3175">
          <a:solidFill>
            <a:srgbClr val="000000"/>
          </a:solidFill>
          <a:prstDash val="solid"/>
        </a:ln>
      </c:spPr>
    </c:plotArea>
    <c:legend>
      <c:legendPos val="r"/>
      <c:layout>
        <c:manualLayout>
          <c:xMode val="edge"/>
          <c:yMode val="edge"/>
          <c:x val="0.16493304638928741"/>
          <c:y val="0.9094942343884459"/>
          <c:w val="0.60509344509841578"/>
          <c:h val="9.0505698377106841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40590390564014E-2"/>
          <c:y val="5.33333333333341E-2"/>
          <c:w val="0.84557698376255885"/>
          <c:h val="0.70689000238607402"/>
        </c:manualLayout>
      </c:layout>
      <c:lineChart>
        <c:grouping val="standard"/>
        <c:varyColors val="0"/>
        <c:ser>
          <c:idx val="0"/>
          <c:order val="0"/>
          <c:tx>
            <c:strRef>
              <c:f>'Matric pass rate'!$D$8</c:f>
              <c:strCache>
                <c:ptCount val="1"/>
                <c:pt idx="0">
                  <c:v>Number Wrote</c:v>
                </c:pt>
              </c:strCache>
            </c:strRef>
          </c:tx>
          <c:spPr>
            <a:ln w="25400">
              <a:solidFill>
                <a:srgbClr val="FF6600"/>
              </a:solidFill>
            </a:ln>
          </c:spPr>
          <c:marker>
            <c:symbol val="none"/>
          </c:marker>
          <c:cat>
            <c:numRef>
              <c:f>'Matric pass rate'!$E$7:$AA$7</c:f>
              <c:numCache>
                <c:formatCode>General</c:formatCode>
                <c:ptCount val="2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numCache>
            </c:numRef>
          </c:cat>
          <c:val>
            <c:numRef>
              <c:f>'Matric pass rate'!$E$8:$AA$8</c:f>
              <c:numCache>
                <c:formatCode>#\ ###\ ###</c:formatCode>
                <c:ptCount val="23"/>
                <c:pt idx="1">
                  <c:v>531453</c:v>
                </c:pt>
                <c:pt idx="2">
                  <c:v>513868</c:v>
                </c:pt>
                <c:pt idx="3">
                  <c:v>558970</c:v>
                </c:pt>
                <c:pt idx="4">
                  <c:v>552384</c:v>
                </c:pt>
                <c:pt idx="5">
                  <c:v>511159</c:v>
                </c:pt>
                <c:pt idx="6">
                  <c:v>489298</c:v>
                </c:pt>
                <c:pt idx="7">
                  <c:v>449332</c:v>
                </c:pt>
                <c:pt idx="8">
                  <c:v>443765</c:v>
                </c:pt>
                <c:pt idx="9">
                  <c:v>440096</c:v>
                </c:pt>
                <c:pt idx="10">
                  <c:v>467890</c:v>
                </c:pt>
                <c:pt idx="11">
                  <c:v>508180</c:v>
                </c:pt>
                <c:pt idx="12">
                  <c:v>527950</c:v>
                </c:pt>
                <c:pt idx="13">
                  <c:v>564381</c:v>
                </c:pt>
                <c:pt idx="14" formatCode="#,##0">
                  <c:v>554664</c:v>
                </c:pt>
                <c:pt idx="15" formatCode="#,##0">
                  <c:v>552073</c:v>
                </c:pt>
                <c:pt idx="16" formatCode="#,##0">
                  <c:v>537543</c:v>
                </c:pt>
                <c:pt idx="17" formatCode="#,##0">
                  <c:v>496090</c:v>
                </c:pt>
                <c:pt idx="18" formatCode="#,##0">
                  <c:v>511152</c:v>
                </c:pt>
                <c:pt idx="19" formatCode="#,##0">
                  <c:v>562116</c:v>
                </c:pt>
                <c:pt idx="20" formatCode="#,##0">
                  <c:v>532860</c:v>
                </c:pt>
                <c:pt idx="21" formatCode="#,##0">
                  <c:v>644536</c:v>
                </c:pt>
                <c:pt idx="22" formatCode="#,##0">
                  <c:v>610178</c:v>
                </c:pt>
              </c:numCache>
            </c:numRef>
          </c:val>
          <c:smooth val="0"/>
          <c:extLst>
            <c:ext xmlns:c16="http://schemas.microsoft.com/office/drawing/2014/chart" uri="{C3380CC4-5D6E-409C-BE32-E72D297353CC}">
              <c16:uniqueId val="{00000000-D0B1-4359-B7E7-3A36FBBB8EAC}"/>
            </c:ext>
          </c:extLst>
        </c:ser>
        <c:ser>
          <c:idx val="1"/>
          <c:order val="1"/>
          <c:tx>
            <c:strRef>
              <c:f>'Matric pass rate'!$D$9</c:f>
              <c:strCache>
                <c:ptCount val="1"/>
                <c:pt idx="0">
                  <c:v>Number Passed</c:v>
                </c:pt>
              </c:strCache>
            </c:strRef>
          </c:tx>
          <c:spPr>
            <a:ln w="25400">
              <a:solidFill>
                <a:srgbClr val="BE4B48"/>
              </a:solidFill>
            </a:ln>
          </c:spPr>
          <c:marker>
            <c:symbol val="none"/>
          </c:marker>
          <c:cat>
            <c:numRef>
              <c:f>'Matric pass rate'!$E$7:$AA$7</c:f>
              <c:numCache>
                <c:formatCode>General</c:formatCode>
                <c:ptCount val="2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numCache>
            </c:numRef>
          </c:cat>
          <c:val>
            <c:numRef>
              <c:f>'Matric pass rate'!$E$9:$AA$9</c:f>
              <c:numCache>
                <c:formatCode>#\ ###\ ###</c:formatCode>
                <c:ptCount val="23"/>
                <c:pt idx="1">
                  <c:v>283742</c:v>
                </c:pt>
                <c:pt idx="2">
                  <c:v>279487</c:v>
                </c:pt>
                <c:pt idx="3">
                  <c:v>264795</c:v>
                </c:pt>
                <c:pt idx="4">
                  <c:v>272488</c:v>
                </c:pt>
                <c:pt idx="5">
                  <c:v>249831</c:v>
                </c:pt>
                <c:pt idx="6">
                  <c:v>283294</c:v>
                </c:pt>
                <c:pt idx="7">
                  <c:v>277206</c:v>
                </c:pt>
                <c:pt idx="8">
                  <c:v>305774</c:v>
                </c:pt>
                <c:pt idx="9">
                  <c:v>322492</c:v>
                </c:pt>
                <c:pt idx="10">
                  <c:v>330717</c:v>
                </c:pt>
                <c:pt idx="11">
                  <c:v>347184</c:v>
                </c:pt>
                <c:pt idx="12">
                  <c:v>351503</c:v>
                </c:pt>
                <c:pt idx="13">
                  <c:v>368217</c:v>
                </c:pt>
                <c:pt idx="14">
                  <c:v>344794</c:v>
                </c:pt>
                <c:pt idx="15">
                  <c:v>334716</c:v>
                </c:pt>
                <c:pt idx="16" formatCode="#,##0">
                  <c:v>364147</c:v>
                </c:pt>
                <c:pt idx="17" formatCode="#,##0">
                  <c:v>348117</c:v>
                </c:pt>
                <c:pt idx="18" formatCode="#,##0">
                  <c:v>377829</c:v>
                </c:pt>
                <c:pt idx="19" formatCode="#,##0">
                  <c:v>439779</c:v>
                </c:pt>
                <c:pt idx="20" formatCode="#,##0">
                  <c:v>403874</c:v>
                </c:pt>
                <c:pt idx="21" formatCode="#,##0">
                  <c:v>455825</c:v>
                </c:pt>
                <c:pt idx="22" formatCode="#,##0">
                  <c:v>442672</c:v>
                </c:pt>
              </c:numCache>
            </c:numRef>
          </c:val>
          <c:smooth val="0"/>
          <c:extLst>
            <c:ext xmlns:c16="http://schemas.microsoft.com/office/drawing/2014/chart" uri="{C3380CC4-5D6E-409C-BE32-E72D297353CC}">
              <c16:uniqueId val="{00000001-D0B1-4359-B7E7-3A36FBBB8EAC}"/>
            </c:ext>
          </c:extLst>
        </c:ser>
        <c:ser>
          <c:idx val="3"/>
          <c:order val="3"/>
          <c:tx>
            <c:strRef>
              <c:f>'Matric pass rate'!$D$10</c:f>
              <c:strCache>
                <c:ptCount val="1"/>
                <c:pt idx="0">
                  <c:v>Bachelor passes</c:v>
                </c:pt>
              </c:strCache>
            </c:strRef>
          </c:tx>
          <c:marker>
            <c:symbol val="none"/>
          </c:marker>
          <c:trendline>
            <c:spPr>
              <a:effectLst>
                <a:glow rad="114300">
                  <a:schemeClr val="accent1">
                    <a:alpha val="40000"/>
                  </a:schemeClr>
                </a:glow>
              </a:effectLst>
            </c:spPr>
            <c:trendlineType val="linear"/>
            <c:dispRSqr val="0"/>
            <c:dispEq val="0"/>
          </c:trendline>
          <c:cat>
            <c:numRef>
              <c:f>'Matric pass rate'!$E$7:$AA$7</c:f>
              <c:numCache>
                <c:formatCode>General</c:formatCode>
                <c:ptCount val="2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numCache>
            </c:numRef>
          </c:cat>
          <c:val>
            <c:numRef>
              <c:f>'Matric pass rate'!$E$10:$AA$10</c:f>
              <c:numCache>
                <c:formatCode>#\ ###\ ###</c:formatCode>
                <c:ptCount val="23"/>
                <c:pt idx="15">
                  <c:v>109697</c:v>
                </c:pt>
                <c:pt idx="16" formatCode="#,##0">
                  <c:v>126371</c:v>
                </c:pt>
                <c:pt idx="17" formatCode="#,##0">
                  <c:v>120767</c:v>
                </c:pt>
                <c:pt idx="18" formatCode="#,##0">
                  <c:v>136047</c:v>
                </c:pt>
                <c:pt idx="19" formatCode="#,##0">
                  <c:v>171755</c:v>
                </c:pt>
                <c:pt idx="20" formatCode="#,##0">
                  <c:v>150752</c:v>
                </c:pt>
                <c:pt idx="21" formatCode="#,##0">
                  <c:v>166263</c:v>
                </c:pt>
                <c:pt idx="22" formatCode="#,##0">
                  <c:v>162374</c:v>
                </c:pt>
              </c:numCache>
            </c:numRef>
          </c:val>
          <c:smooth val="0"/>
          <c:extLst>
            <c:ext xmlns:c16="http://schemas.microsoft.com/office/drawing/2014/chart" uri="{C3380CC4-5D6E-409C-BE32-E72D297353CC}">
              <c16:uniqueId val="{00000002-34A4-48CD-AF01-7159562E159A}"/>
            </c:ext>
          </c:extLst>
        </c:ser>
        <c:dLbls>
          <c:showLegendKey val="0"/>
          <c:showVal val="0"/>
          <c:showCatName val="0"/>
          <c:showSerName val="0"/>
          <c:showPercent val="0"/>
          <c:showBubbleSize val="0"/>
        </c:dLbls>
        <c:marker val="1"/>
        <c:smooth val="0"/>
        <c:axId val="414990616"/>
        <c:axId val="714549368"/>
      </c:lineChart>
      <c:lineChart>
        <c:grouping val="standard"/>
        <c:varyColors val="0"/>
        <c:ser>
          <c:idx val="2"/>
          <c:order val="2"/>
          <c:tx>
            <c:strRef>
              <c:f>'Matric pass rate'!$D$11</c:f>
              <c:strCache>
                <c:ptCount val="1"/>
                <c:pt idx="0">
                  <c:v>Pass rate</c:v>
                </c:pt>
              </c:strCache>
            </c:strRef>
          </c:tx>
          <c:spPr>
            <a:ln w="25400">
              <a:solidFill>
                <a:srgbClr val="FFC600"/>
              </a:solidFill>
            </a:ln>
          </c:spPr>
          <c:marker>
            <c:symbol val="none"/>
          </c:marker>
          <c:cat>
            <c:numRef>
              <c:f>'Matric pass rate'!$E$7:$AA$7</c:f>
              <c:numCache>
                <c:formatCode>General</c:formatCode>
                <c:ptCount val="2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numCache>
            </c:numRef>
          </c:cat>
          <c:val>
            <c:numRef>
              <c:f>'Matric pass rate'!$E$11:$AA$11</c:f>
              <c:numCache>
                <c:formatCode>0.0%</c:formatCode>
                <c:ptCount val="23"/>
                <c:pt idx="0">
                  <c:v>0.57999999999999996</c:v>
                </c:pt>
                <c:pt idx="1">
                  <c:v>0.53389857616760095</c:v>
                </c:pt>
                <c:pt idx="2">
                  <c:v>0.54388870293538416</c:v>
                </c:pt>
                <c:pt idx="3">
                  <c:v>0.47371951983111793</c:v>
                </c:pt>
                <c:pt idx="4">
                  <c:v>0.49329451975437377</c:v>
                </c:pt>
                <c:pt idx="5">
                  <c:v>0.48875398848499196</c:v>
                </c:pt>
                <c:pt idx="6">
                  <c:v>0.57898049859186018</c:v>
                </c:pt>
                <c:pt idx="7">
                  <c:v>0.6169291303535025</c:v>
                </c:pt>
                <c:pt idx="8">
                  <c:v>0.68904487735625841</c:v>
                </c:pt>
                <c:pt idx="9">
                  <c:v>0.73277648513051696</c:v>
                </c:pt>
                <c:pt idx="10">
                  <c:v>0.70682639081835474</c:v>
                </c:pt>
                <c:pt idx="11">
                  <c:v>0.68319099531662009</c:v>
                </c:pt>
                <c:pt idx="12">
                  <c:v>0.66578842693436879</c:v>
                </c:pt>
                <c:pt idx="13">
                  <c:v>0.65242628649795087</c:v>
                </c:pt>
                <c:pt idx="14">
                  <c:v>0.62162678666724358</c:v>
                </c:pt>
                <c:pt idx="15">
                  <c:v>0.60628938564284074</c:v>
                </c:pt>
                <c:pt idx="16">
                  <c:v>0.67800000000000005</c:v>
                </c:pt>
                <c:pt idx="17">
                  <c:v>0.70199999999999996</c:v>
                </c:pt>
                <c:pt idx="18">
                  <c:v>0.73917151845243689</c:v>
                </c:pt>
                <c:pt idx="19">
                  <c:v>0.78200000000000003</c:v>
                </c:pt>
                <c:pt idx="20">
                  <c:v>0.75800000000000001</c:v>
                </c:pt>
                <c:pt idx="21">
                  <c:v>0.70699999999999996</c:v>
                </c:pt>
                <c:pt idx="22">
                  <c:v>0.72499999999999998</c:v>
                </c:pt>
              </c:numCache>
            </c:numRef>
          </c:val>
          <c:smooth val="0"/>
          <c:extLst>
            <c:ext xmlns:c16="http://schemas.microsoft.com/office/drawing/2014/chart" uri="{C3380CC4-5D6E-409C-BE32-E72D297353CC}">
              <c16:uniqueId val="{00000002-D0B1-4359-B7E7-3A36FBBB8EAC}"/>
            </c:ext>
          </c:extLst>
        </c:ser>
        <c:dLbls>
          <c:showLegendKey val="0"/>
          <c:showVal val="0"/>
          <c:showCatName val="0"/>
          <c:showSerName val="0"/>
          <c:showPercent val="0"/>
          <c:showBubbleSize val="0"/>
        </c:dLbls>
        <c:marker val="1"/>
        <c:smooth val="0"/>
        <c:axId val="714561128"/>
        <c:axId val="714530552"/>
      </c:lineChart>
      <c:catAx>
        <c:axId val="414990616"/>
        <c:scaling>
          <c:orientation val="minMax"/>
        </c:scaling>
        <c:delete val="0"/>
        <c:axPos val="b"/>
        <c:numFmt formatCode="General" sourceLinked="0"/>
        <c:majorTickMark val="out"/>
        <c:minorTickMark val="none"/>
        <c:tickLblPos val="nextTo"/>
        <c:crossAx val="714549368"/>
        <c:crosses val="autoZero"/>
        <c:auto val="1"/>
        <c:lblAlgn val="ctr"/>
        <c:lblOffset val="100"/>
        <c:tickMarkSkip val="1"/>
        <c:noMultiLvlLbl val="0"/>
      </c:catAx>
      <c:valAx>
        <c:axId val="714549368"/>
        <c:scaling>
          <c:orientation val="minMax"/>
          <c:max val="700000"/>
          <c:min val="100000"/>
        </c:scaling>
        <c:delete val="0"/>
        <c:axPos val="l"/>
        <c:majorGridlines>
          <c:spPr>
            <a:ln>
              <a:prstDash val="sysDash"/>
            </a:ln>
          </c:spPr>
        </c:majorGridlines>
        <c:numFmt formatCode="#\ ##0" sourceLinked="0"/>
        <c:majorTickMark val="out"/>
        <c:minorTickMark val="none"/>
        <c:tickLblPos val="nextTo"/>
        <c:crossAx val="414990616"/>
        <c:crosses val="autoZero"/>
        <c:crossBetween val="between"/>
        <c:majorUnit val="100000"/>
      </c:valAx>
      <c:catAx>
        <c:axId val="714561128"/>
        <c:scaling>
          <c:orientation val="minMax"/>
        </c:scaling>
        <c:delete val="1"/>
        <c:axPos val="b"/>
        <c:numFmt formatCode="General" sourceLinked="1"/>
        <c:majorTickMark val="out"/>
        <c:minorTickMark val="none"/>
        <c:tickLblPos val="none"/>
        <c:crossAx val="714530552"/>
        <c:crosses val="autoZero"/>
        <c:auto val="1"/>
        <c:lblAlgn val="ctr"/>
        <c:lblOffset val="100"/>
        <c:noMultiLvlLbl val="0"/>
      </c:catAx>
      <c:valAx>
        <c:axId val="714530552"/>
        <c:scaling>
          <c:orientation val="minMax"/>
          <c:min val="0"/>
        </c:scaling>
        <c:delete val="0"/>
        <c:axPos val="r"/>
        <c:numFmt formatCode="0.0%" sourceLinked="0"/>
        <c:majorTickMark val="out"/>
        <c:minorTickMark val="none"/>
        <c:tickLblPos val="nextTo"/>
        <c:crossAx val="714561128"/>
        <c:crosses val="max"/>
        <c:crossBetween val="between"/>
      </c:valAx>
    </c:plotArea>
    <c:legend>
      <c:legendPos val="r"/>
      <c:layout>
        <c:manualLayout>
          <c:xMode val="edge"/>
          <c:yMode val="edge"/>
          <c:x val="0.23377429580096454"/>
          <c:y val="0.87925866547609388"/>
          <c:w val="0.56022105277041379"/>
          <c:h val="9.4968138647617495E-2"/>
        </c:manualLayout>
      </c:layout>
      <c:overlay val="0"/>
    </c:legend>
    <c:plotVisOnly val="1"/>
    <c:dispBlanksAs val="gap"/>
    <c:showDLblsOverMax val="0"/>
  </c:chart>
  <c:spPr>
    <a:ln>
      <a:solidFill>
        <a:schemeClr val="tx1"/>
      </a:solidFill>
    </a:ln>
  </c:spPr>
  <c:txPr>
    <a:bodyPr/>
    <a:lstStyle/>
    <a:p>
      <a:pPr>
        <a:defRPr sz="800">
          <a:latin typeface="Arial Narrow"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63825253550709"/>
          <c:y val="5.33333333333341E-2"/>
          <c:w val="0.77974213749597088"/>
          <c:h val="0.70689000238607402"/>
        </c:manualLayout>
      </c:layout>
      <c:lineChart>
        <c:grouping val="standard"/>
        <c:varyColors val="0"/>
        <c:ser>
          <c:idx val="0"/>
          <c:order val="0"/>
          <c:tx>
            <c:strRef>
              <c:f>'Matric pass rate'!$D$8</c:f>
              <c:strCache>
                <c:ptCount val="1"/>
                <c:pt idx="0">
                  <c:v>Number Wrote</c:v>
                </c:pt>
              </c:strCache>
            </c:strRef>
          </c:tx>
          <c:spPr>
            <a:ln w="12700">
              <a:solidFill>
                <a:schemeClr val="accent6">
                  <a:lumMod val="50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rate'!$E$8:$Z$8</c:f>
              <c:numCache>
                <c:formatCode>#\ ###\ ###</c:formatCode>
                <c:ptCount val="22"/>
                <c:pt idx="1">
                  <c:v>531453</c:v>
                </c:pt>
                <c:pt idx="2">
                  <c:v>513868</c:v>
                </c:pt>
                <c:pt idx="3">
                  <c:v>558970</c:v>
                </c:pt>
                <c:pt idx="4">
                  <c:v>552384</c:v>
                </c:pt>
                <c:pt idx="5">
                  <c:v>511159</c:v>
                </c:pt>
                <c:pt idx="6">
                  <c:v>489298</c:v>
                </c:pt>
                <c:pt idx="7">
                  <c:v>449332</c:v>
                </c:pt>
                <c:pt idx="8">
                  <c:v>443765</c:v>
                </c:pt>
                <c:pt idx="9">
                  <c:v>440096</c:v>
                </c:pt>
                <c:pt idx="10">
                  <c:v>467890</c:v>
                </c:pt>
                <c:pt idx="11">
                  <c:v>508180</c:v>
                </c:pt>
                <c:pt idx="12">
                  <c:v>527950</c:v>
                </c:pt>
                <c:pt idx="13">
                  <c:v>564381</c:v>
                </c:pt>
                <c:pt idx="14" formatCode="#,##0">
                  <c:v>554664</c:v>
                </c:pt>
                <c:pt idx="15" formatCode="#,##0">
                  <c:v>552073</c:v>
                </c:pt>
                <c:pt idx="16" formatCode="#,##0">
                  <c:v>537543</c:v>
                </c:pt>
                <c:pt idx="17" formatCode="#,##0">
                  <c:v>496090</c:v>
                </c:pt>
                <c:pt idx="18" formatCode="#,##0">
                  <c:v>511152</c:v>
                </c:pt>
                <c:pt idx="19" formatCode="#,##0">
                  <c:v>562116</c:v>
                </c:pt>
                <c:pt idx="20" formatCode="#,##0">
                  <c:v>532860</c:v>
                </c:pt>
                <c:pt idx="21" formatCode="#,##0">
                  <c:v>644536</c:v>
                </c:pt>
              </c:numCache>
            </c:numRef>
          </c:val>
          <c:smooth val="0"/>
          <c:extLst>
            <c:ext xmlns:c16="http://schemas.microsoft.com/office/drawing/2014/chart" uri="{C3380CC4-5D6E-409C-BE32-E72D297353CC}">
              <c16:uniqueId val="{00000000-4745-4856-8DEB-6C56311DC206}"/>
            </c:ext>
          </c:extLst>
        </c:ser>
        <c:ser>
          <c:idx val="1"/>
          <c:order val="1"/>
          <c:tx>
            <c:strRef>
              <c:f>'Matric pass rate'!$D$9</c:f>
              <c:strCache>
                <c:ptCount val="1"/>
                <c:pt idx="0">
                  <c:v>Number Passed</c:v>
                </c:pt>
              </c:strCache>
            </c:strRef>
          </c:tx>
          <c:spPr>
            <a:ln w="12700">
              <a:solidFill>
                <a:schemeClr val="tx1">
                  <a:lumMod val="50000"/>
                  <a:lumOff val="50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rate'!$E$9:$Z$9</c:f>
              <c:numCache>
                <c:formatCode>#\ ###\ ###</c:formatCode>
                <c:ptCount val="22"/>
                <c:pt idx="1">
                  <c:v>283742</c:v>
                </c:pt>
                <c:pt idx="2">
                  <c:v>279487</c:v>
                </c:pt>
                <c:pt idx="3">
                  <c:v>264795</c:v>
                </c:pt>
                <c:pt idx="4">
                  <c:v>272488</c:v>
                </c:pt>
                <c:pt idx="5">
                  <c:v>249831</c:v>
                </c:pt>
                <c:pt idx="6">
                  <c:v>283294</c:v>
                </c:pt>
                <c:pt idx="7">
                  <c:v>277206</c:v>
                </c:pt>
                <c:pt idx="8">
                  <c:v>305774</c:v>
                </c:pt>
                <c:pt idx="9">
                  <c:v>322492</c:v>
                </c:pt>
                <c:pt idx="10">
                  <c:v>330717</c:v>
                </c:pt>
                <c:pt idx="11">
                  <c:v>347184</c:v>
                </c:pt>
                <c:pt idx="12">
                  <c:v>351503</c:v>
                </c:pt>
                <c:pt idx="13">
                  <c:v>368217</c:v>
                </c:pt>
                <c:pt idx="14">
                  <c:v>344794</c:v>
                </c:pt>
                <c:pt idx="15">
                  <c:v>334716</c:v>
                </c:pt>
                <c:pt idx="16" formatCode="#,##0">
                  <c:v>364147</c:v>
                </c:pt>
                <c:pt idx="17" formatCode="#,##0">
                  <c:v>348117</c:v>
                </c:pt>
                <c:pt idx="18" formatCode="#,##0">
                  <c:v>377829</c:v>
                </c:pt>
                <c:pt idx="19" formatCode="#,##0">
                  <c:v>439779</c:v>
                </c:pt>
                <c:pt idx="20" formatCode="#,##0">
                  <c:v>403874</c:v>
                </c:pt>
                <c:pt idx="21" formatCode="#,##0">
                  <c:v>455825</c:v>
                </c:pt>
              </c:numCache>
            </c:numRef>
          </c:val>
          <c:smooth val="0"/>
          <c:extLst>
            <c:ext xmlns:c16="http://schemas.microsoft.com/office/drawing/2014/chart" uri="{C3380CC4-5D6E-409C-BE32-E72D297353CC}">
              <c16:uniqueId val="{00000001-4745-4856-8DEB-6C56311DC206}"/>
            </c:ext>
          </c:extLst>
        </c:ser>
        <c:dLbls>
          <c:showLegendKey val="0"/>
          <c:showVal val="0"/>
          <c:showCatName val="0"/>
          <c:showSerName val="0"/>
          <c:showPercent val="0"/>
          <c:showBubbleSize val="0"/>
        </c:dLbls>
        <c:marker val="1"/>
        <c:smooth val="0"/>
        <c:axId val="404686984"/>
        <c:axId val="404674440"/>
      </c:lineChart>
      <c:lineChart>
        <c:grouping val="standard"/>
        <c:varyColors val="0"/>
        <c:ser>
          <c:idx val="2"/>
          <c:order val="2"/>
          <c:tx>
            <c:strRef>
              <c:f>'Matric pass rate'!$D$11</c:f>
              <c:strCache>
                <c:ptCount val="1"/>
                <c:pt idx="0">
                  <c:v>Pass rate</c:v>
                </c:pt>
              </c:strCache>
            </c:strRef>
          </c:tx>
          <c:spPr>
            <a:ln w="12700">
              <a:solidFill>
                <a:schemeClr val="accent6">
                  <a:lumMod val="75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rate'!$E$11:$Z$11</c:f>
              <c:numCache>
                <c:formatCode>0.0%</c:formatCode>
                <c:ptCount val="22"/>
                <c:pt idx="0">
                  <c:v>0.57999999999999996</c:v>
                </c:pt>
                <c:pt idx="1">
                  <c:v>0.53389857616760095</c:v>
                </c:pt>
                <c:pt idx="2">
                  <c:v>0.54388870293538416</c:v>
                </c:pt>
                <c:pt idx="3">
                  <c:v>0.47371951983111793</c:v>
                </c:pt>
                <c:pt idx="4">
                  <c:v>0.49329451975437377</c:v>
                </c:pt>
                <c:pt idx="5">
                  <c:v>0.48875398848499196</c:v>
                </c:pt>
                <c:pt idx="6">
                  <c:v>0.57898049859186018</c:v>
                </c:pt>
                <c:pt idx="7">
                  <c:v>0.6169291303535025</c:v>
                </c:pt>
                <c:pt idx="8">
                  <c:v>0.68904487735625841</c:v>
                </c:pt>
                <c:pt idx="9">
                  <c:v>0.73277648513051696</c:v>
                </c:pt>
                <c:pt idx="10">
                  <c:v>0.70682639081835474</c:v>
                </c:pt>
                <c:pt idx="11">
                  <c:v>0.68319099531662009</c:v>
                </c:pt>
                <c:pt idx="12">
                  <c:v>0.66578842693436879</c:v>
                </c:pt>
                <c:pt idx="13">
                  <c:v>0.65242628649795087</c:v>
                </c:pt>
                <c:pt idx="14">
                  <c:v>0.62162678666724358</c:v>
                </c:pt>
                <c:pt idx="15">
                  <c:v>0.60628938564284074</c:v>
                </c:pt>
                <c:pt idx="16">
                  <c:v>0.67800000000000005</c:v>
                </c:pt>
                <c:pt idx="17">
                  <c:v>0.70199999999999996</c:v>
                </c:pt>
                <c:pt idx="18">
                  <c:v>0.73917151845243689</c:v>
                </c:pt>
                <c:pt idx="19">
                  <c:v>0.78200000000000003</c:v>
                </c:pt>
                <c:pt idx="20">
                  <c:v>0.75800000000000001</c:v>
                </c:pt>
                <c:pt idx="21">
                  <c:v>0.70699999999999996</c:v>
                </c:pt>
              </c:numCache>
            </c:numRef>
          </c:val>
          <c:smooth val="0"/>
          <c:extLst>
            <c:ext xmlns:c16="http://schemas.microsoft.com/office/drawing/2014/chart" uri="{C3380CC4-5D6E-409C-BE32-E72D297353CC}">
              <c16:uniqueId val="{00000002-4745-4856-8DEB-6C56311DC206}"/>
            </c:ext>
          </c:extLst>
        </c:ser>
        <c:dLbls>
          <c:showLegendKey val="0"/>
          <c:showVal val="0"/>
          <c:showCatName val="0"/>
          <c:showSerName val="0"/>
          <c:showPercent val="0"/>
          <c:showBubbleSize val="0"/>
        </c:dLbls>
        <c:marker val="1"/>
        <c:smooth val="0"/>
        <c:axId val="422026656"/>
        <c:axId val="422027440"/>
      </c:lineChart>
      <c:catAx>
        <c:axId val="404686984"/>
        <c:scaling>
          <c:orientation val="minMax"/>
        </c:scaling>
        <c:delete val="0"/>
        <c:axPos val="b"/>
        <c:numFmt formatCode="General" sourceLinked="0"/>
        <c:majorTickMark val="out"/>
        <c:minorTickMark val="none"/>
        <c:tickLblPos val="nextTo"/>
        <c:crossAx val="404674440"/>
        <c:crosses val="autoZero"/>
        <c:auto val="1"/>
        <c:lblAlgn val="ctr"/>
        <c:lblOffset val="100"/>
        <c:tickMarkSkip val="1"/>
        <c:noMultiLvlLbl val="0"/>
      </c:catAx>
      <c:valAx>
        <c:axId val="404674440"/>
        <c:scaling>
          <c:orientation val="minMax"/>
          <c:max val="600000"/>
          <c:min val="200000"/>
        </c:scaling>
        <c:delete val="0"/>
        <c:axPos val="l"/>
        <c:majorGridlines>
          <c:spPr>
            <a:ln>
              <a:prstDash val="sysDash"/>
            </a:ln>
          </c:spPr>
        </c:majorGridlines>
        <c:numFmt formatCode="#\ ##0" sourceLinked="0"/>
        <c:majorTickMark val="out"/>
        <c:minorTickMark val="none"/>
        <c:tickLblPos val="nextTo"/>
        <c:crossAx val="404686984"/>
        <c:crosses val="autoZero"/>
        <c:crossBetween val="between"/>
        <c:majorUnit val="100000"/>
      </c:valAx>
      <c:catAx>
        <c:axId val="422026656"/>
        <c:scaling>
          <c:orientation val="minMax"/>
        </c:scaling>
        <c:delete val="1"/>
        <c:axPos val="b"/>
        <c:numFmt formatCode="General" sourceLinked="1"/>
        <c:majorTickMark val="out"/>
        <c:minorTickMark val="none"/>
        <c:tickLblPos val="none"/>
        <c:crossAx val="422027440"/>
        <c:crosses val="autoZero"/>
        <c:auto val="1"/>
        <c:lblAlgn val="ctr"/>
        <c:lblOffset val="100"/>
        <c:noMultiLvlLbl val="0"/>
      </c:catAx>
      <c:valAx>
        <c:axId val="422027440"/>
        <c:scaling>
          <c:orientation val="minMax"/>
          <c:min val="0"/>
        </c:scaling>
        <c:delete val="0"/>
        <c:axPos val="r"/>
        <c:numFmt formatCode="0.0%" sourceLinked="0"/>
        <c:majorTickMark val="out"/>
        <c:minorTickMark val="none"/>
        <c:tickLblPos val="nextTo"/>
        <c:crossAx val="422026656"/>
        <c:crosses val="max"/>
        <c:crossBetween val="between"/>
      </c:valAx>
    </c:plotArea>
    <c:legend>
      <c:legendPos val="r"/>
      <c:layout>
        <c:manualLayout>
          <c:xMode val="edge"/>
          <c:yMode val="edge"/>
          <c:x val="9.2741017021995081E-2"/>
          <c:y val="0.90503194471486048"/>
          <c:w val="0.72979923562186311"/>
          <c:h val="6.7039403312211934E-2"/>
        </c:manualLayout>
      </c:layout>
      <c:overlay val="0"/>
    </c:legend>
    <c:plotVisOnly val="1"/>
    <c:dispBlanksAs val="gap"/>
    <c:showDLblsOverMax val="0"/>
  </c:chart>
  <c:spPr>
    <a:ln>
      <a:noFill/>
    </a:ln>
  </c:spPr>
  <c:txPr>
    <a:bodyPr/>
    <a:lstStyle/>
    <a:p>
      <a:pPr>
        <a:defRPr sz="800">
          <a:latin typeface="Arial Narrow"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23452403815377"/>
          <c:y val="5.4854727461392916E-2"/>
          <c:w val="0.8643628768964855"/>
          <c:h val="0.82491088323261919"/>
        </c:manualLayout>
      </c:layout>
      <c:lineChart>
        <c:grouping val="standard"/>
        <c:varyColors val="0"/>
        <c:ser>
          <c:idx val="0"/>
          <c:order val="0"/>
          <c:tx>
            <c:strRef>
              <c:f>'NFDI '!$D$8:$E$8</c:f>
              <c:strCache>
                <c:ptCount val="2"/>
                <c:pt idx="0">
                  <c:v>FDI</c:v>
                </c:pt>
              </c:strCache>
            </c:strRef>
          </c:tx>
          <c:spPr>
            <a:ln w="3175">
              <a:solidFill>
                <a:srgbClr val="FF6600"/>
              </a:solidFill>
              <a:prstDash val="solid"/>
            </a:ln>
          </c:spPr>
          <c:marker>
            <c:symbol val="none"/>
          </c:marker>
          <c:cat>
            <c:strRef>
              <c:f>'NFDI '!$F$7:$Z$7</c:f>
              <c:strCach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strCache>
            </c:strRef>
          </c:cat>
          <c:val>
            <c:numRef>
              <c:f>'NFDI '!$F$8:$Z$8</c:f>
              <c:numCache>
                <c:formatCode>#\ ##0.000</c:formatCode>
                <c:ptCount val="21"/>
                <c:pt idx="0">
                  <c:v>-3.04</c:v>
                </c:pt>
                <c:pt idx="1">
                  <c:v>-4.5570000000000004</c:v>
                </c:pt>
                <c:pt idx="2">
                  <c:v>-0.97</c:v>
                </c:pt>
                <c:pt idx="3">
                  <c:v>6.7560000000000002</c:v>
                </c:pt>
                <c:pt idx="4">
                  <c:v>-6.7370000000000001</c:v>
                </c:pt>
                <c:pt idx="5">
                  <c:v>-0.47499999999999998</c:v>
                </c:pt>
                <c:pt idx="6">
                  <c:v>4.28</c:v>
                </c:pt>
                <c:pt idx="7" formatCode="#,##0.00">
                  <c:v>85.763000000000005</c:v>
                </c:pt>
                <c:pt idx="8" formatCode="#,##0.00">
                  <c:v>20.734999999999999</c:v>
                </c:pt>
                <c:pt idx="9" formatCode="#,##0.00">
                  <c:v>1.2749999999999999</c:v>
                </c:pt>
                <c:pt idx="10" formatCode="#,##0.00">
                  <c:v>-3.5659999999999998</c:v>
                </c:pt>
                <c:pt idx="11" formatCode="#,##0.00">
                  <c:v>36.353999999999999</c:v>
                </c:pt>
                <c:pt idx="12" formatCode="#,##0.00">
                  <c:v>-38.948999999999998</c:v>
                </c:pt>
                <c:pt idx="13" formatCode="#,##0.00">
                  <c:v>25.167000000000002</c:v>
                </c:pt>
                <c:pt idx="14" formatCode="#,##0.00">
                  <c:v>101.967</c:v>
                </c:pt>
                <c:pt idx="15" formatCode="#,##0.00">
                  <c:v>53.813000000000002</c:v>
                </c:pt>
                <c:pt idx="16" formatCode="#,##0.00">
                  <c:v>27.170999999999999</c:v>
                </c:pt>
                <c:pt idx="17" formatCode="#,##0.00">
                  <c:v>32.673000000000002</c:v>
                </c:pt>
                <c:pt idx="18" formatCode="#,##0.00">
                  <c:v>12.9</c:v>
                </c:pt>
                <c:pt idx="19" formatCode="#,##0.00">
                  <c:v>15.942</c:v>
                </c:pt>
                <c:pt idx="20" formatCode="#,##0.00">
                  <c:v>-20.606999999999999</c:v>
                </c:pt>
              </c:numCache>
            </c:numRef>
          </c:val>
          <c:smooth val="0"/>
          <c:extLst>
            <c:ext xmlns:c16="http://schemas.microsoft.com/office/drawing/2014/chart" uri="{C3380CC4-5D6E-409C-BE32-E72D297353CC}">
              <c16:uniqueId val="{00000000-80F8-4A39-A340-72B55924D1EA}"/>
            </c:ext>
          </c:extLst>
        </c:ser>
        <c:dLbls>
          <c:showLegendKey val="0"/>
          <c:showVal val="0"/>
          <c:showCatName val="0"/>
          <c:showSerName val="0"/>
          <c:showPercent val="0"/>
          <c:showBubbleSize val="0"/>
        </c:dLbls>
        <c:smooth val="0"/>
        <c:axId val="399078496"/>
        <c:axId val="399079280"/>
      </c:lineChart>
      <c:catAx>
        <c:axId val="399078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079280"/>
        <c:crossesAt val="-76.5"/>
        <c:auto val="1"/>
        <c:lblAlgn val="ctr"/>
        <c:lblOffset val="100"/>
        <c:tickLblSkip val="1"/>
        <c:tickMarkSkip val="1"/>
        <c:noMultiLvlLbl val="0"/>
      </c:catAx>
      <c:valAx>
        <c:axId val="399079280"/>
        <c:scaling>
          <c:orientation val="minMax"/>
          <c:min val="-76.5"/>
        </c:scaling>
        <c:delete val="0"/>
        <c:axPos val="l"/>
        <c:majorGridlines>
          <c:spPr>
            <a:ln w="3175">
              <a:solidFill>
                <a:srgbClr val="969696"/>
              </a:solidFill>
              <a:prstDash val="sysDash"/>
            </a:ln>
          </c:spPr>
        </c:majorGridlines>
        <c:title>
          <c:tx>
            <c:rich>
              <a:bodyPr/>
              <a:lstStyle/>
              <a:p>
                <a:pPr>
                  <a:defRPr/>
                </a:pPr>
                <a:r>
                  <a:rPr lang="en-US"/>
                  <a:t>R'billion</a:t>
                </a:r>
              </a:p>
            </c:rich>
          </c:tx>
          <c:layout>
            <c:manualLayout>
              <c:xMode val="edge"/>
              <c:yMode val="edge"/>
              <c:x val="1.6597539765360655E-2"/>
              <c:y val="0.4721408308809883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399078496"/>
        <c:crosses val="autoZero"/>
        <c:crossBetween val="midCat"/>
        <c:majorUnit val="25.5"/>
        <c:minorUnit val="5.0999999999999996"/>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horizontalDpi="0" verticalDpi="0"/>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MATRICULANTS WITH MATHEMITICS </a:t>
            </a:r>
          </a:p>
        </c:rich>
      </c:tx>
      <c:overlay val="0"/>
    </c:title>
    <c:autoTitleDeleted val="0"/>
    <c:plotArea>
      <c:layout/>
      <c:barChart>
        <c:barDir val="col"/>
        <c:grouping val="clustered"/>
        <c:varyColors val="0"/>
        <c:ser>
          <c:idx val="8"/>
          <c:order val="0"/>
          <c:tx>
            <c:strRef>
              <c:f>'Mathematics pass rate'!$D$9</c:f>
              <c:strCache>
                <c:ptCount val="1"/>
                <c:pt idx="0">
                  <c:v>Mathematics passes</c:v>
                </c:pt>
              </c:strCache>
            </c:strRef>
          </c:tx>
          <c:spPr>
            <a:solidFill>
              <a:srgbClr val="FCD5B5"/>
            </a:solidFill>
          </c:spPr>
          <c:invertIfNegative val="0"/>
          <c:cat>
            <c:numRef>
              <c:f>'Mathematics pass rate'!$R$8:$Z$8</c:f>
              <c:numCache>
                <c:formatCode>General</c:formatCode>
                <c:ptCount val="7"/>
                <c:pt idx="0">
                  <c:v>2010</c:v>
                </c:pt>
                <c:pt idx="1">
                  <c:v>2011</c:v>
                </c:pt>
                <c:pt idx="2">
                  <c:v>2012</c:v>
                </c:pt>
                <c:pt idx="3">
                  <c:v>2013</c:v>
                </c:pt>
                <c:pt idx="4">
                  <c:v>2014</c:v>
                </c:pt>
                <c:pt idx="5">
                  <c:v>2015</c:v>
                </c:pt>
                <c:pt idx="6">
                  <c:v>2016</c:v>
                </c:pt>
              </c:numCache>
            </c:numRef>
          </c:cat>
          <c:val>
            <c:numRef>
              <c:f>'Mathematics pass rate'!$R$9:$Z$9</c:f>
              <c:numCache>
                <c:formatCode>#,##0</c:formatCode>
                <c:ptCount val="7"/>
                <c:pt idx="0">
                  <c:v>124749</c:v>
                </c:pt>
                <c:pt idx="1">
                  <c:v>104033</c:v>
                </c:pt>
                <c:pt idx="2">
                  <c:v>121970</c:v>
                </c:pt>
                <c:pt idx="3">
                  <c:v>142666</c:v>
                </c:pt>
                <c:pt idx="4">
                  <c:v>120523</c:v>
                </c:pt>
                <c:pt idx="5">
                  <c:v>129481</c:v>
                </c:pt>
                <c:pt idx="6">
                  <c:v>135958</c:v>
                </c:pt>
              </c:numCache>
            </c:numRef>
          </c:val>
          <c:extLst>
            <c:ext xmlns:c16="http://schemas.microsoft.com/office/drawing/2014/chart" uri="{C3380CC4-5D6E-409C-BE32-E72D297353CC}">
              <c16:uniqueId val="{00000000-734D-44BE-AF4E-D0F905B26BF9}"/>
            </c:ext>
          </c:extLst>
        </c:ser>
        <c:ser>
          <c:idx val="0"/>
          <c:order val="1"/>
          <c:tx>
            <c:strRef>
              <c:f>'Mathematics pass rate'!$D$10</c:f>
              <c:strCache>
                <c:ptCount val="1"/>
                <c:pt idx="0">
                  <c:v>Achieved at 50% and above</c:v>
                </c:pt>
              </c:strCache>
            </c:strRef>
          </c:tx>
          <c:spPr>
            <a:solidFill>
              <a:srgbClr val="F8A662"/>
            </a:solidFill>
          </c:spPr>
          <c:invertIfNegative val="0"/>
          <c:cat>
            <c:numRef>
              <c:f>'Mathematics pass rate'!$R$8:$Z$8</c:f>
              <c:numCache>
                <c:formatCode>General</c:formatCode>
                <c:ptCount val="7"/>
                <c:pt idx="0">
                  <c:v>2010</c:v>
                </c:pt>
                <c:pt idx="1">
                  <c:v>2011</c:v>
                </c:pt>
                <c:pt idx="2">
                  <c:v>2012</c:v>
                </c:pt>
                <c:pt idx="3">
                  <c:v>2013</c:v>
                </c:pt>
                <c:pt idx="4">
                  <c:v>2014</c:v>
                </c:pt>
                <c:pt idx="5">
                  <c:v>2015</c:v>
                </c:pt>
                <c:pt idx="6">
                  <c:v>2016</c:v>
                </c:pt>
              </c:numCache>
            </c:numRef>
          </c:cat>
          <c:val>
            <c:numRef>
              <c:f>'Mathematics pass rate'!$R$10:$Z$10</c:f>
              <c:numCache>
                <c:formatCode>###\ ###\ ###</c:formatCode>
                <c:ptCount val="7"/>
                <c:pt idx="0">
                  <c:v>50195</c:v>
                </c:pt>
                <c:pt idx="1">
                  <c:v>41586</c:v>
                </c:pt>
                <c:pt idx="2">
                  <c:v>51231</c:v>
                </c:pt>
                <c:pt idx="3">
                  <c:v>63151</c:v>
                </c:pt>
                <c:pt idx="4">
                  <c:v>50365</c:v>
                </c:pt>
                <c:pt idx="5">
                  <c:v>53588</c:v>
                </c:pt>
                <c:pt idx="6" formatCode="#,##0">
                  <c:v>56555</c:v>
                </c:pt>
              </c:numCache>
            </c:numRef>
          </c:val>
          <c:extLst>
            <c:ext xmlns:c16="http://schemas.microsoft.com/office/drawing/2014/chart" uri="{C3380CC4-5D6E-409C-BE32-E72D297353CC}">
              <c16:uniqueId val="{00000001-734D-44BE-AF4E-D0F905B26BF9}"/>
            </c:ext>
          </c:extLst>
        </c:ser>
        <c:dLbls>
          <c:showLegendKey val="0"/>
          <c:showVal val="0"/>
          <c:showCatName val="0"/>
          <c:showSerName val="0"/>
          <c:showPercent val="0"/>
          <c:showBubbleSize val="0"/>
        </c:dLbls>
        <c:gapWidth val="150"/>
        <c:axId val="409658984"/>
        <c:axId val="409659768"/>
      </c:barChart>
      <c:catAx>
        <c:axId val="409658984"/>
        <c:scaling>
          <c:orientation val="minMax"/>
        </c:scaling>
        <c:delete val="0"/>
        <c:axPos val="b"/>
        <c:numFmt formatCode="General" sourceLinked="1"/>
        <c:majorTickMark val="none"/>
        <c:minorTickMark val="none"/>
        <c:tickLblPos val="nextTo"/>
        <c:crossAx val="409659768"/>
        <c:crosses val="autoZero"/>
        <c:auto val="1"/>
        <c:lblAlgn val="ctr"/>
        <c:lblOffset val="100"/>
        <c:noMultiLvlLbl val="0"/>
      </c:catAx>
      <c:valAx>
        <c:axId val="409659768"/>
        <c:scaling>
          <c:orientation val="minMax"/>
        </c:scaling>
        <c:delete val="0"/>
        <c:axPos val="l"/>
        <c:majorGridlines>
          <c:spPr>
            <a:ln>
              <a:solidFill>
                <a:schemeClr val="bg1">
                  <a:lumMod val="75000"/>
                  <a:alpha val="60000"/>
                </a:schemeClr>
              </a:solidFill>
              <a:prstDash val="dash"/>
            </a:ln>
          </c:spPr>
        </c:majorGridlines>
        <c:numFmt formatCode="###\ ###\ ###" sourceLinked="0"/>
        <c:majorTickMark val="none"/>
        <c:minorTickMark val="none"/>
        <c:tickLblPos val="nextTo"/>
        <c:crossAx val="409658984"/>
        <c:crosses val="autoZero"/>
        <c:crossBetween val="between"/>
      </c:valAx>
    </c:plotArea>
    <c:legend>
      <c:legendPos val="b"/>
      <c:overlay val="0"/>
    </c:legend>
    <c:plotVisOnly val="1"/>
    <c:dispBlanksAs val="gap"/>
    <c:showDLblsOverMax val="0"/>
  </c:chart>
  <c:spPr>
    <a:noFill/>
    <a:ln>
      <a:solidFill>
        <a:schemeClr val="tx1"/>
      </a:solidFill>
    </a:ln>
  </c:spPr>
  <c:txPr>
    <a:bodyPr/>
    <a:lstStyle/>
    <a:p>
      <a:pPr>
        <a:defRPr sz="900">
          <a:latin typeface="Arial Narrow" pitchFamily="34" charset="0"/>
        </a:defRPr>
      </a:pPr>
      <a:endParaRPr lang="en-US"/>
    </a:p>
  </c:txPr>
  <c:printSettings>
    <c:headerFooter alignWithMargins="0">
      <c:oddHeader>&amp;A</c:oddHeader>
      <c:oddFooter>Page &amp;P</c:oddFooter>
    </c:headerFooter>
    <c:pageMargins b="1" l="0.75000000000000544" r="0.75000000000000544" t="1" header="0.5" footer="0.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MATRICULANTS WITH PHYSICAL</a:t>
            </a:r>
            <a:r>
              <a:rPr lang="en-US" baseline="0"/>
              <a:t> SCIENCE</a:t>
            </a:r>
            <a:endParaRPr lang="en-US"/>
          </a:p>
        </c:rich>
      </c:tx>
      <c:overlay val="0"/>
    </c:title>
    <c:autoTitleDeleted val="0"/>
    <c:plotArea>
      <c:layout/>
      <c:barChart>
        <c:barDir val="col"/>
        <c:grouping val="clustered"/>
        <c:varyColors val="0"/>
        <c:ser>
          <c:idx val="8"/>
          <c:order val="0"/>
          <c:tx>
            <c:strRef>
              <c:f>'Mathematics pass rate'!$D$11</c:f>
              <c:strCache>
                <c:ptCount val="1"/>
                <c:pt idx="0">
                  <c:v>Physical Science passes</c:v>
                </c:pt>
              </c:strCache>
            </c:strRef>
          </c:tx>
          <c:spPr>
            <a:solidFill>
              <a:srgbClr val="FCD5B5"/>
            </a:solidFill>
          </c:spPr>
          <c:invertIfNegative val="0"/>
          <c:cat>
            <c:numRef>
              <c:f>'Mathematics pass rate'!$R$8:$Z$8</c:f>
              <c:numCache>
                <c:formatCode>General</c:formatCode>
                <c:ptCount val="7"/>
                <c:pt idx="0">
                  <c:v>2010</c:v>
                </c:pt>
                <c:pt idx="1">
                  <c:v>2011</c:v>
                </c:pt>
                <c:pt idx="2">
                  <c:v>2012</c:v>
                </c:pt>
                <c:pt idx="3">
                  <c:v>2013</c:v>
                </c:pt>
                <c:pt idx="4">
                  <c:v>2014</c:v>
                </c:pt>
                <c:pt idx="5">
                  <c:v>2015</c:v>
                </c:pt>
                <c:pt idx="6">
                  <c:v>2016</c:v>
                </c:pt>
              </c:numCache>
            </c:numRef>
          </c:cat>
          <c:val>
            <c:numRef>
              <c:f>'Mathematics pass rate'!$R$11:$Z$11</c:f>
              <c:numCache>
                <c:formatCode>###\ ###\ ###</c:formatCode>
                <c:ptCount val="7"/>
                <c:pt idx="0">
                  <c:v>98260</c:v>
                </c:pt>
                <c:pt idx="1">
                  <c:v>96441</c:v>
                </c:pt>
                <c:pt idx="2">
                  <c:v>109918</c:v>
                </c:pt>
                <c:pt idx="3">
                  <c:v>124206</c:v>
                </c:pt>
                <c:pt idx="4">
                  <c:v>103348</c:v>
                </c:pt>
                <c:pt idx="5">
                  <c:v>113121</c:v>
                </c:pt>
                <c:pt idx="6">
                  <c:v>119427</c:v>
                </c:pt>
              </c:numCache>
            </c:numRef>
          </c:val>
          <c:extLst>
            <c:ext xmlns:c16="http://schemas.microsoft.com/office/drawing/2014/chart" uri="{C3380CC4-5D6E-409C-BE32-E72D297353CC}">
              <c16:uniqueId val="{00000000-7250-4307-8A40-B84B98C3073D}"/>
            </c:ext>
          </c:extLst>
        </c:ser>
        <c:ser>
          <c:idx val="0"/>
          <c:order val="1"/>
          <c:tx>
            <c:strRef>
              <c:f>'Mathematics pass rate'!$D$12</c:f>
              <c:strCache>
                <c:ptCount val="1"/>
                <c:pt idx="0">
                  <c:v>Achieved at 50% and above</c:v>
                </c:pt>
              </c:strCache>
            </c:strRef>
          </c:tx>
          <c:spPr>
            <a:solidFill>
              <a:srgbClr val="F8A662"/>
            </a:solidFill>
          </c:spPr>
          <c:invertIfNegative val="0"/>
          <c:cat>
            <c:numRef>
              <c:f>'Mathematics pass rate'!$R$8:$Z$8</c:f>
              <c:numCache>
                <c:formatCode>General</c:formatCode>
                <c:ptCount val="7"/>
                <c:pt idx="0">
                  <c:v>2010</c:v>
                </c:pt>
                <c:pt idx="1">
                  <c:v>2011</c:v>
                </c:pt>
                <c:pt idx="2">
                  <c:v>2012</c:v>
                </c:pt>
                <c:pt idx="3">
                  <c:v>2013</c:v>
                </c:pt>
                <c:pt idx="4">
                  <c:v>2014</c:v>
                </c:pt>
                <c:pt idx="5">
                  <c:v>2015</c:v>
                </c:pt>
                <c:pt idx="6">
                  <c:v>2016</c:v>
                </c:pt>
              </c:numCache>
            </c:numRef>
          </c:cat>
          <c:val>
            <c:numRef>
              <c:f>'Mathematics pass rate'!$R$12:$Z$12</c:f>
              <c:numCache>
                <c:formatCode>###\ ###\ ###</c:formatCode>
                <c:ptCount val="7"/>
                <c:pt idx="0">
                  <c:v>37853</c:v>
                </c:pt>
                <c:pt idx="1">
                  <c:v>37106</c:v>
                </c:pt>
                <c:pt idx="2">
                  <c:v>43639</c:v>
                </c:pt>
                <c:pt idx="3">
                  <c:v>47030</c:v>
                </c:pt>
                <c:pt idx="4">
                  <c:v>37749</c:v>
                </c:pt>
                <c:pt idx="5">
                  <c:v>42433</c:v>
                </c:pt>
                <c:pt idx="6">
                  <c:v>47586</c:v>
                </c:pt>
              </c:numCache>
            </c:numRef>
          </c:val>
          <c:extLst>
            <c:ext xmlns:c16="http://schemas.microsoft.com/office/drawing/2014/chart" uri="{C3380CC4-5D6E-409C-BE32-E72D297353CC}">
              <c16:uniqueId val="{00000001-7250-4307-8A40-B84B98C3073D}"/>
            </c:ext>
          </c:extLst>
        </c:ser>
        <c:dLbls>
          <c:showLegendKey val="0"/>
          <c:showVal val="0"/>
          <c:showCatName val="0"/>
          <c:showSerName val="0"/>
          <c:showPercent val="0"/>
          <c:showBubbleSize val="0"/>
        </c:dLbls>
        <c:gapWidth val="150"/>
        <c:axId val="409661336"/>
        <c:axId val="409661728"/>
      </c:barChart>
      <c:catAx>
        <c:axId val="409661336"/>
        <c:scaling>
          <c:orientation val="minMax"/>
        </c:scaling>
        <c:delete val="0"/>
        <c:axPos val="b"/>
        <c:numFmt formatCode="General" sourceLinked="1"/>
        <c:majorTickMark val="none"/>
        <c:minorTickMark val="none"/>
        <c:tickLblPos val="nextTo"/>
        <c:crossAx val="409661728"/>
        <c:crosses val="autoZero"/>
        <c:auto val="1"/>
        <c:lblAlgn val="ctr"/>
        <c:lblOffset val="100"/>
        <c:noMultiLvlLbl val="0"/>
      </c:catAx>
      <c:valAx>
        <c:axId val="409661728"/>
        <c:scaling>
          <c:orientation val="minMax"/>
        </c:scaling>
        <c:delete val="0"/>
        <c:axPos val="l"/>
        <c:majorGridlines>
          <c:spPr>
            <a:ln>
              <a:solidFill>
                <a:schemeClr val="bg1">
                  <a:lumMod val="75000"/>
                  <a:alpha val="60000"/>
                </a:schemeClr>
              </a:solidFill>
              <a:prstDash val="dash"/>
            </a:ln>
          </c:spPr>
        </c:majorGridlines>
        <c:numFmt formatCode="###\ ###\ ###" sourceLinked="0"/>
        <c:majorTickMark val="none"/>
        <c:minorTickMark val="none"/>
        <c:tickLblPos val="nextTo"/>
        <c:crossAx val="409661336"/>
        <c:crosses val="autoZero"/>
        <c:crossBetween val="between"/>
      </c:valAx>
    </c:plotArea>
    <c:legend>
      <c:legendPos val="b"/>
      <c:overlay val="0"/>
    </c:legend>
    <c:plotVisOnly val="1"/>
    <c:dispBlanksAs val="gap"/>
    <c:showDLblsOverMax val="0"/>
  </c:chart>
  <c:spPr>
    <a:noFill/>
    <a:ln>
      <a:solidFill>
        <a:schemeClr val="tx1"/>
      </a:solidFill>
    </a:ln>
  </c:spPr>
  <c:txPr>
    <a:bodyPr/>
    <a:lstStyle/>
    <a:p>
      <a:pPr>
        <a:defRPr sz="900">
          <a:latin typeface="Arial Narrow" pitchFamily="34" charset="0"/>
        </a:defRPr>
      </a:pPr>
      <a:endParaRPr lang="en-US"/>
    </a:p>
  </c:txPr>
  <c:printSettings>
    <c:headerFooter alignWithMargins="0">
      <c:oddHeader>&amp;A</c:oddHeader>
      <c:oddFooter>Page &amp;P</c:oddFooter>
    </c:headerFooter>
    <c:pageMargins b="1" l="0.75000000000000544" r="0.75000000000000544" t="1" header="0.5" footer="0.5"/>
    <c:pageSetup paperSize="9"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ADULT LITERACY RATE</a:t>
            </a:r>
          </a:p>
        </c:rich>
      </c:tx>
      <c:layout>
        <c:manualLayout>
          <c:xMode val="edge"/>
          <c:yMode val="edge"/>
          <c:x val="1.8501387604070343E-2"/>
          <c:y val="5.6537102473498226E-2"/>
        </c:manualLayout>
      </c:layout>
      <c:overlay val="0"/>
      <c:spPr>
        <a:noFill/>
        <a:ln w="25400">
          <a:noFill/>
        </a:ln>
      </c:spPr>
    </c:title>
    <c:autoTitleDeleted val="0"/>
    <c:plotArea>
      <c:layout>
        <c:manualLayout>
          <c:layoutTarget val="inner"/>
          <c:xMode val="edge"/>
          <c:yMode val="edge"/>
          <c:x val="4.9132991312714779E-2"/>
          <c:y val="0.22636182326815033"/>
          <c:w val="0.93786209888091521"/>
          <c:h val="0.55301053026270042"/>
        </c:manualLayout>
      </c:layout>
      <c:lineChart>
        <c:grouping val="standard"/>
        <c:varyColors val="0"/>
        <c:ser>
          <c:idx val="0"/>
          <c:order val="0"/>
          <c:tx>
            <c:strRef>
              <c:f>'Literacy rate '!$D$57</c:f>
              <c:strCache>
                <c:ptCount val="1"/>
                <c:pt idx="0">
                  <c:v>Total literacy </c:v>
                </c:pt>
              </c:strCache>
            </c:strRef>
          </c:tx>
          <c:spPr>
            <a:ln w="25400">
              <a:solidFill>
                <a:srgbClr val="FF6600"/>
              </a:solidFill>
              <a:prstDash val="solid"/>
            </a:ln>
          </c:spPr>
          <c:marker>
            <c:symbol val="diamond"/>
            <c:size val="7"/>
            <c:spPr>
              <a:solidFill>
                <a:srgbClr val="FF6600"/>
              </a:solidFill>
              <a:ln>
                <a:noFill/>
                <a:prstDash val="solid"/>
              </a:ln>
            </c:spPr>
          </c:marker>
          <c:cat>
            <c:numRef>
              <c:f>'Literacy rate '!$E$56:$Y$56</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'Literacy rate '!$E$57:$Y$57</c:f>
              <c:numCache>
                <c:formatCode>General</c:formatCode>
                <c:ptCount val="21"/>
                <c:pt idx="7" formatCode="0.0%">
                  <c:v>0.72699999999999998</c:v>
                </c:pt>
                <c:pt idx="8" formatCode="0.0%">
                  <c:v>0.745</c:v>
                </c:pt>
                <c:pt idx="9" formatCode="0.0%">
                  <c:v>0.75</c:v>
                </c:pt>
                <c:pt idx="10" formatCode="0.0%">
                  <c:v>0.75800000000000001</c:v>
                </c:pt>
                <c:pt idx="11" formatCode="0.0%">
                  <c:v>0.76300000000000001</c:v>
                </c:pt>
                <c:pt idx="12" formatCode="0.0%">
                  <c:v>0.77300000000000002</c:v>
                </c:pt>
                <c:pt idx="13" formatCode="0.0%">
                  <c:v>0.77600000000000002</c:v>
                </c:pt>
                <c:pt idx="14" formatCode="0.0%">
                  <c:v>0.80700000000000005</c:v>
                </c:pt>
                <c:pt idx="15" formatCode="0.0%">
                  <c:v>0.81200000000000006</c:v>
                </c:pt>
                <c:pt idx="16" formatCode="0.0%">
                  <c:v>0.82299999999999995</c:v>
                </c:pt>
                <c:pt idx="17" formatCode="0.0%">
                  <c:v>0.83499999999999996</c:v>
                </c:pt>
                <c:pt idx="18" formatCode="0.0%">
                  <c:v>0.83799999999999997</c:v>
                </c:pt>
                <c:pt idx="19" formatCode="0.0%">
                  <c:v>0.84199999999999997</c:v>
                </c:pt>
                <c:pt idx="20" formatCode="0.0%">
                  <c:v>0.84399999999999997</c:v>
                </c:pt>
              </c:numCache>
            </c:numRef>
          </c:val>
          <c:smooth val="0"/>
          <c:extLst>
            <c:ext xmlns:c16="http://schemas.microsoft.com/office/drawing/2014/chart" uri="{C3380CC4-5D6E-409C-BE32-E72D297353CC}">
              <c16:uniqueId val="{00000000-B0A9-4F7B-8BB8-B3DACCF2B737}"/>
            </c:ext>
          </c:extLst>
        </c:ser>
        <c:ser>
          <c:idx val="1"/>
          <c:order val="1"/>
          <c:tx>
            <c:strRef>
              <c:f>'Literacy rate '!$D$58</c:f>
              <c:strCache>
                <c:ptCount val="1"/>
                <c:pt idx="0">
                  <c:v>Total literacy - OHS</c:v>
                </c:pt>
              </c:strCache>
            </c:strRef>
          </c:tx>
          <c:spPr>
            <a:ln w="25400">
              <a:solidFill>
                <a:srgbClr val="BE4B48"/>
              </a:solidFill>
              <a:prstDash val="solid"/>
            </a:ln>
          </c:spPr>
          <c:marker>
            <c:symbol val="circle"/>
            <c:size val="7"/>
            <c:spPr>
              <a:solidFill>
                <a:srgbClr val="BE4B48"/>
              </a:solidFill>
              <a:ln>
                <a:noFill/>
                <a:prstDash val="solid"/>
              </a:ln>
            </c:spPr>
          </c:marker>
          <c:cat>
            <c:numRef>
              <c:f>'Literacy rate '!$E$56:$Y$56</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'Literacy rate '!$E$58:$W$58</c:f>
              <c:numCache>
                <c:formatCode>General</c:formatCode>
                <c:ptCount val="19"/>
                <c:pt idx="0" formatCode="0.0%">
                  <c:v>0.69582114118507699</c:v>
                </c:pt>
                <c:pt idx="2" formatCode="0.0%">
                  <c:v>0.69258781105587497</c:v>
                </c:pt>
                <c:pt idx="3" formatCode="0.0%">
                  <c:v>0.68703930601276797</c:v>
                </c:pt>
                <c:pt idx="4" formatCode="0.0%">
                  <c:v>0.69049620076509899</c:v>
                </c:pt>
              </c:numCache>
            </c:numRef>
          </c:val>
          <c:smooth val="0"/>
          <c:extLst>
            <c:ext xmlns:c16="http://schemas.microsoft.com/office/drawing/2014/chart" uri="{C3380CC4-5D6E-409C-BE32-E72D297353CC}">
              <c16:uniqueId val="{00000001-B0A9-4F7B-8BB8-B3DACCF2B737}"/>
            </c:ext>
          </c:extLst>
        </c:ser>
        <c:ser>
          <c:idx val="2"/>
          <c:order val="2"/>
          <c:tx>
            <c:strRef>
              <c:f>'Literacy rate '!$D$59</c:f>
              <c:strCache>
                <c:ptCount val="1"/>
                <c:pt idx="0">
                  <c:v>Female literacy </c:v>
                </c:pt>
              </c:strCache>
            </c:strRef>
          </c:tx>
          <c:spPr>
            <a:ln>
              <a:solidFill>
                <a:srgbClr val="FFC600"/>
              </a:solidFill>
            </a:ln>
          </c:spPr>
          <c:marker>
            <c:spPr>
              <a:solidFill>
                <a:srgbClr val="FFC600"/>
              </a:solidFill>
              <a:ln>
                <a:noFill/>
              </a:ln>
            </c:spPr>
          </c:marker>
          <c:cat>
            <c:numRef>
              <c:f>'Literacy rate '!$E$56:$Y$56</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'Literacy rate '!$E$59:$Y$59</c:f>
              <c:numCache>
                <c:formatCode>General</c:formatCode>
                <c:ptCount val="21"/>
                <c:pt idx="7" formatCode="0.0%">
                  <c:v>0.69379092021008704</c:v>
                </c:pt>
                <c:pt idx="8" formatCode="0.0%">
                  <c:v>0.70300464922628603</c:v>
                </c:pt>
                <c:pt idx="9" formatCode="0.0%">
                  <c:v>0.71803278688524597</c:v>
                </c:pt>
                <c:pt idx="10" formatCode="0.0%">
                  <c:v>0.73699999999999999</c:v>
                </c:pt>
                <c:pt idx="11" formatCode="0.0%">
                  <c:v>0.745</c:v>
                </c:pt>
                <c:pt idx="12" formatCode="0.0%">
                  <c:v>0.75700000000000001</c:v>
                </c:pt>
                <c:pt idx="13" formatCode="0.0%">
                  <c:v>0.753</c:v>
                </c:pt>
                <c:pt idx="14" formatCode="0.0%">
                  <c:v>0.78800000000000003</c:v>
                </c:pt>
                <c:pt idx="15" formatCode="0.0%">
                  <c:v>0.79500000000000004</c:v>
                </c:pt>
                <c:pt idx="16" formatCode="0.0%">
                  <c:v>0.80700000000000005</c:v>
                </c:pt>
                <c:pt idx="17" formatCode="0.0%">
                  <c:v>0.82</c:v>
                </c:pt>
                <c:pt idx="18" formatCode="0.0%">
                  <c:v>0.82499999999999996</c:v>
                </c:pt>
                <c:pt idx="19" formatCode="0.0%">
                  <c:v>0.83</c:v>
                </c:pt>
                <c:pt idx="20" formatCode="0.0%">
                  <c:v>0.83199999999999996</c:v>
                </c:pt>
              </c:numCache>
            </c:numRef>
          </c:val>
          <c:smooth val="0"/>
          <c:extLst>
            <c:ext xmlns:c16="http://schemas.microsoft.com/office/drawing/2014/chart" uri="{C3380CC4-5D6E-409C-BE32-E72D297353CC}">
              <c16:uniqueId val="{00000002-B0A9-4F7B-8BB8-B3DACCF2B737}"/>
            </c:ext>
          </c:extLst>
        </c:ser>
        <c:ser>
          <c:idx val="3"/>
          <c:order val="3"/>
          <c:tx>
            <c:strRef>
              <c:f>'Literacy rate '!$D$60</c:f>
              <c:strCache>
                <c:ptCount val="1"/>
                <c:pt idx="0">
                  <c:v>Female literacy - OHS</c:v>
                </c:pt>
              </c:strCache>
            </c:strRef>
          </c:tx>
          <c:spPr>
            <a:ln>
              <a:solidFill>
                <a:srgbClr val="00B050"/>
              </a:solidFill>
            </a:ln>
          </c:spPr>
          <c:marker>
            <c:spPr>
              <a:solidFill>
                <a:srgbClr val="00B050"/>
              </a:solidFill>
            </c:spPr>
          </c:marker>
          <c:cat>
            <c:numRef>
              <c:f>'Literacy rate '!$E$56:$Y$56</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'Literacy rate '!$E$60:$W$60</c:f>
              <c:numCache>
                <c:formatCode>General</c:formatCode>
                <c:ptCount val="19"/>
                <c:pt idx="0" formatCode="0.0%">
                  <c:v>0.67228661749209695</c:v>
                </c:pt>
                <c:pt idx="2" formatCode="0.0%">
                  <c:v>0.675676991430467</c:v>
                </c:pt>
                <c:pt idx="3" formatCode="0.0%">
                  <c:v>0.67219802920879301</c:v>
                </c:pt>
                <c:pt idx="4" formatCode="0.0%">
                  <c:v>0.67376959649273205</c:v>
                </c:pt>
              </c:numCache>
            </c:numRef>
          </c:val>
          <c:smooth val="0"/>
          <c:extLst>
            <c:ext xmlns:c16="http://schemas.microsoft.com/office/drawing/2014/chart" uri="{C3380CC4-5D6E-409C-BE32-E72D297353CC}">
              <c16:uniqueId val="{00000003-B0A9-4F7B-8BB8-B3DACCF2B737}"/>
            </c:ext>
          </c:extLst>
        </c:ser>
        <c:dLbls>
          <c:showLegendKey val="0"/>
          <c:showVal val="0"/>
          <c:showCatName val="0"/>
          <c:showSerName val="0"/>
          <c:showPercent val="0"/>
          <c:showBubbleSize val="0"/>
        </c:dLbls>
        <c:marker val="1"/>
        <c:smooth val="0"/>
        <c:axId val="720915424"/>
        <c:axId val="720916208"/>
      </c:lineChart>
      <c:catAx>
        <c:axId val="720915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916208"/>
        <c:crosses val="autoZero"/>
        <c:auto val="1"/>
        <c:lblAlgn val="ctr"/>
        <c:lblOffset val="100"/>
        <c:tickLblSkip val="1"/>
        <c:tickMarkSkip val="1"/>
        <c:noMultiLvlLbl val="0"/>
      </c:catAx>
      <c:valAx>
        <c:axId val="720916208"/>
        <c:scaling>
          <c:orientation val="minMax"/>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915424"/>
        <c:crosses val="autoZero"/>
        <c:crossBetween val="between"/>
      </c:valAx>
      <c:spPr>
        <a:solidFill>
          <a:srgbClr val="FFFFFF"/>
        </a:solidFill>
        <a:ln w="3175">
          <a:solidFill>
            <a:srgbClr val="000000"/>
          </a:solidFill>
          <a:prstDash val="solid"/>
        </a:ln>
      </c:spPr>
    </c:plotArea>
    <c:legend>
      <c:legendPos val="r"/>
      <c:layout>
        <c:manualLayout>
          <c:xMode val="edge"/>
          <c:yMode val="edge"/>
          <c:x val="4.4384168548698852E-2"/>
          <c:y val="0.91690865121276754"/>
          <c:w val="0.76475589533866406"/>
          <c:h val="8.3091500354908462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95663425213612E-2"/>
          <c:y val="8.7845235833456478E-2"/>
          <c:w val="0.92233870670380758"/>
          <c:h val="0.691527165002498"/>
        </c:manualLayout>
      </c:layout>
      <c:lineChart>
        <c:grouping val="standard"/>
        <c:varyColors val="0"/>
        <c:ser>
          <c:idx val="0"/>
          <c:order val="0"/>
          <c:tx>
            <c:strRef>
              <c:f>'Literacy rate '!$D$57</c:f>
              <c:strCache>
                <c:ptCount val="1"/>
                <c:pt idx="0">
                  <c:v>Total literacy </c:v>
                </c:pt>
              </c:strCache>
            </c:strRef>
          </c:tx>
          <c:spPr>
            <a:ln w="25400">
              <a:solidFill>
                <a:srgbClr val="993300"/>
              </a:solidFill>
              <a:prstDash val="solid"/>
            </a:ln>
          </c:spPr>
          <c:marker>
            <c:symbol val="diamond"/>
            <c:size val="7"/>
            <c:spPr>
              <a:solidFill>
                <a:srgbClr val="993300"/>
              </a:solidFill>
              <a:ln>
                <a:solidFill>
                  <a:srgbClr val="993300"/>
                </a:solidFill>
                <a:prstDash val="solid"/>
              </a:ln>
            </c:spPr>
          </c:marker>
          <c:cat>
            <c:numRef>
              <c:f>'Literacy rate '!$E$56:$X$56</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'Literacy rate '!$E$57:$X$57</c:f>
              <c:numCache>
                <c:formatCode>General</c:formatCode>
                <c:ptCount val="20"/>
                <c:pt idx="7" formatCode="0.0%">
                  <c:v>0.72699999999999998</c:v>
                </c:pt>
                <c:pt idx="8" formatCode="0.0%">
                  <c:v>0.745</c:v>
                </c:pt>
                <c:pt idx="9" formatCode="0.0%">
                  <c:v>0.75</c:v>
                </c:pt>
                <c:pt idx="10" formatCode="0.0%">
                  <c:v>0.75800000000000001</c:v>
                </c:pt>
                <c:pt idx="11" formatCode="0.0%">
                  <c:v>0.76300000000000001</c:v>
                </c:pt>
                <c:pt idx="12" formatCode="0.0%">
                  <c:v>0.77300000000000002</c:v>
                </c:pt>
                <c:pt idx="13" formatCode="0.0%">
                  <c:v>0.77600000000000002</c:v>
                </c:pt>
                <c:pt idx="14" formatCode="0.0%">
                  <c:v>0.80700000000000005</c:v>
                </c:pt>
                <c:pt idx="15" formatCode="0.0%">
                  <c:v>0.81200000000000006</c:v>
                </c:pt>
                <c:pt idx="16" formatCode="0.0%">
                  <c:v>0.82299999999999995</c:v>
                </c:pt>
                <c:pt idx="17" formatCode="0.0%">
                  <c:v>0.83499999999999996</c:v>
                </c:pt>
                <c:pt idx="18" formatCode="0.0%">
                  <c:v>0.83799999999999997</c:v>
                </c:pt>
                <c:pt idx="19" formatCode="0.0%">
                  <c:v>0.84199999999999997</c:v>
                </c:pt>
              </c:numCache>
            </c:numRef>
          </c:val>
          <c:smooth val="0"/>
          <c:extLst>
            <c:ext xmlns:c16="http://schemas.microsoft.com/office/drawing/2014/chart" uri="{C3380CC4-5D6E-409C-BE32-E72D297353CC}">
              <c16:uniqueId val="{00000000-E7CC-40DA-A889-720F64A7DBD0}"/>
            </c:ext>
          </c:extLst>
        </c:ser>
        <c:ser>
          <c:idx val="1"/>
          <c:order val="1"/>
          <c:tx>
            <c:strRef>
              <c:f>'Literacy rate '!$D$58</c:f>
              <c:strCache>
                <c:ptCount val="1"/>
                <c:pt idx="0">
                  <c:v>Total literacy - OHS</c:v>
                </c:pt>
              </c:strCache>
            </c:strRef>
          </c:tx>
          <c:spPr>
            <a:ln w="25400">
              <a:solidFill>
                <a:srgbClr val="FF9900"/>
              </a:solidFill>
              <a:prstDash val="solid"/>
            </a:ln>
          </c:spPr>
          <c:marker>
            <c:symbol val="circle"/>
            <c:size val="7"/>
            <c:spPr>
              <a:solidFill>
                <a:srgbClr val="FF9900"/>
              </a:solidFill>
              <a:ln>
                <a:solidFill>
                  <a:srgbClr val="FF9900"/>
                </a:solidFill>
                <a:prstDash val="solid"/>
              </a:ln>
            </c:spPr>
          </c:marker>
          <c:cat>
            <c:numRef>
              <c:f>'Literacy rate '!$E$56:$X$56</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'Literacy rate '!$E$58:$W$58</c:f>
              <c:numCache>
                <c:formatCode>General</c:formatCode>
                <c:ptCount val="19"/>
                <c:pt idx="0" formatCode="0.0%">
                  <c:v>0.69582114118507699</c:v>
                </c:pt>
                <c:pt idx="2" formatCode="0.0%">
                  <c:v>0.69258781105587497</c:v>
                </c:pt>
                <c:pt idx="3" formatCode="0.0%">
                  <c:v>0.68703930601276797</c:v>
                </c:pt>
                <c:pt idx="4" formatCode="0.0%">
                  <c:v>0.69049620076509899</c:v>
                </c:pt>
              </c:numCache>
            </c:numRef>
          </c:val>
          <c:smooth val="0"/>
          <c:extLst>
            <c:ext xmlns:c16="http://schemas.microsoft.com/office/drawing/2014/chart" uri="{C3380CC4-5D6E-409C-BE32-E72D297353CC}">
              <c16:uniqueId val="{00000001-E7CC-40DA-A889-720F64A7DBD0}"/>
            </c:ext>
          </c:extLst>
        </c:ser>
        <c:ser>
          <c:idx val="2"/>
          <c:order val="2"/>
          <c:tx>
            <c:strRef>
              <c:f>'Literacy rate '!$D$59</c:f>
              <c:strCache>
                <c:ptCount val="1"/>
                <c:pt idx="0">
                  <c:v>Female literacy </c:v>
                </c:pt>
              </c:strCache>
            </c:strRef>
          </c:tx>
          <c:cat>
            <c:numRef>
              <c:f>'Literacy rate '!$E$56:$X$56</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'Literacy rate '!$E$59:$X$59</c:f>
              <c:numCache>
                <c:formatCode>General</c:formatCode>
                <c:ptCount val="20"/>
                <c:pt idx="7" formatCode="0.0%">
                  <c:v>0.69379092021008704</c:v>
                </c:pt>
                <c:pt idx="8" formatCode="0.0%">
                  <c:v>0.70300464922628603</c:v>
                </c:pt>
                <c:pt idx="9" formatCode="0.0%">
                  <c:v>0.71803278688524597</c:v>
                </c:pt>
                <c:pt idx="10" formatCode="0.0%">
                  <c:v>0.73699999999999999</c:v>
                </c:pt>
                <c:pt idx="11" formatCode="0.0%">
                  <c:v>0.745</c:v>
                </c:pt>
                <c:pt idx="12" formatCode="0.0%">
                  <c:v>0.75700000000000001</c:v>
                </c:pt>
                <c:pt idx="13" formatCode="0.0%">
                  <c:v>0.753</c:v>
                </c:pt>
                <c:pt idx="14" formatCode="0.0%">
                  <c:v>0.78800000000000003</c:v>
                </c:pt>
                <c:pt idx="15" formatCode="0.0%">
                  <c:v>0.79500000000000004</c:v>
                </c:pt>
                <c:pt idx="16" formatCode="0.0%">
                  <c:v>0.80700000000000005</c:v>
                </c:pt>
                <c:pt idx="17" formatCode="0.0%">
                  <c:v>0.82</c:v>
                </c:pt>
                <c:pt idx="18" formatCode="0.0%">
                  <c:v>0.82499999999999996</c:v>
                </c:pt>
                <c:pt idx="19" formatCode="0.0%">
                  <c:v>0.83</c:v>
                </c:pt>
              </c:numCache>
            </c:numRef>
          </c:val>
          <c:smooth val="0"/>
          <c:extLst>
            <c:ext xmlns:c16="http://schemas.microsoft.com/office/drawing/2014/chart" uri="{C3380CC4-5D6E-409C-BE32-E72D297353CC}">
              <c16:uniqueId val="{00000002-E7CC-40DA-A889-720F64A7DBD0}"/>
            </c:ext>
          </c:extLst>
        </c:ser>
        <c:ser>
          <c:idx val="3"/>
          <c:order val="3"/>
          <c:tx>
            <c:strRef>
              <c:f>'Literacy rate '!$D$60</c:f>
              <c:strCache>
                <c:ptCount val="1"/>
                <c:pt idx="0">
                  <c:v>Female literacy - OHS</c:v>
                </c:pt>
              </c:strCache>
            </c:strRef>
          </c:tx>
          <c:cat>
            <c:numRef>
              <c:f>'Literacy rate '!$E$56:$X$56</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'Literacy rate '!$E$60:$W$60</c:f>
              <c:numCache>
                <c:formatCode>General</c:formatCode>
                <c:ptCount val="19"/>
                <c:pt idx="0" formatCode="0.0%">
                  <c:v>0.67228661749209695</c:v>
                </c:pt>
                <c:pt idx="2" formatCode="0.0%">
                  <c:v>0.675676991430467</c:v>
                </c:pt>
                <c:pt idx="3" formatCode="0.0%">
                  <c:v>0.67219802920879301</c:v>
                </c:pt>
                <c:pt idx="4" formatCode="0.0%">
                  <c:v>0.67376959649273205</c:v>
                </c:pt>
              </c:numCache>
            </c:numRef>
          </c:val>
          <c:smooth val="0"/>
          <c:extLst>
            <c:ext xmlns:c16="http://schemas.microsoft.com/office/drawing/2014/chart" uri="{C3380CC4-5D6E-409C-BE32-E72D297353CC}">
              <c16:uniqueId val="{00000003-E7CC-40DA-A889-720F64A7DBD0}"/>
            </c:ext>
          </c:extLst>
        </c:ser>
        <c:dLbls>
          <c:showLegendKey val="0"/>
          <c:showVal val="0"/>
          <c:showCatName val="0"/>
          <c:showSerName val="0"/>
          <c:showPercent val="0"/>
          <c:showBubbleSize val="0"/>
        </c:dLbls>
        <c:marker val="1"/>
        <c:smooth val="0"/>
        <c:axId val="720895432"/>
        <c:axId val="720892688"/>
      </c:lineChart>
      <c:catAx>
        <c:axId val="720895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892688"/>
        <c:crosses val="autoZero"/>
        <c:auto val="1"/>
        <c:lblAlgn val="ctr"/>
        <c:lblOffset val="100"/>
        <c:tickLblSkip val="1"/>
        <c:tickMarkSkip val="1"/>
        <c:noMultiLvlLbl val="0"/>
      </c:catAx>
      <c:valAx>
        <c:axId val="720892688"/>
        <c:scaling>
          <c:orientation val="minMax"/>
          <c:min val="0.60000000000000009"/>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895432"/>
        <c:crosses val="autoZero"/>
        <c:crossBetween val="between"/>
      </c:valAx>
      <c:spPr>
        <a:noFill/>
        <a:ln w="25400">
          <a:noFill/>
        </a:ln>
      </c:spPr>
    </c:plotArea>
    <c:legend>
      <c:legendPos val="r"/>
      <c:layout>
        <c:manualLayout>
          <c:xMode val="edge"/>
          <c:yMode val="edge"/>
          <c:x val="4.4384168548698852E-2"/>
          <c:y val="0.91690865121276754"/>
          <c:w val="0.76475589533866406"/>
          <c:h val="8.3091500354908462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GRADUATING SET STUDENTS</a:t>
            </a:r>
          </a:p>
        </c:rich>
      </c:tx>
      <c:layout>
        <c:manualLayout>
          <c:xMode val="edge"/>
          <c:yMode val="edge"/>
          <c:x val="5.179701902053558E-2"/>
          <c:y val="1.7605633802816902E-2"/>
        </c:manualLayout>
      </c:layout>
      <c:overlay val="0"/>
      <c:spPr>
        <a:noFill/>
        <a:ln w="25400">
          <a:noFill/>
        </a:ln>
      </c:spPr>
    </c:title>
    <c:autoTitleDeleted val="0"/>
    <c:plotArea>
      <c:layout>
        <c:manualLayout>
          <c:layoutTarget val="inner"/>
          <c:xMode val="edge"/>
          <c:yMode val="edge"/>
          <c:x val="7.9198510182392712E-2"/>
          <c:y val="0.14436619718309929"/>
          <c:w val="0.89122178928138296"/>
          <c:h val="0.71830985915492962"/>
        </c:manualLayout>
      </c:layout>
      <c:lineChart>
        <c:grouping val="standard"/>
        <c:varyColors val="0"/>
        <c:ser>
          <c:idx val="1"/>
          <c:order val="0"/>
          <c:tx>
            <c:strRef>
              <c:f>'SET Uni'!$D$20</c:f>
              <c:strCache>
                <c:ptCount val="1"/>
                <c:pt idx="0">
                  <c:v>SET as % of total graduates</c:v>
                </c:pt>
              </c:strCache>
            </c:strRef>
          </c:tx>
          <c:spPr>
            <a:ln w="25400">
              <a:solidFill>
                <a:srgbClr val="FF6600"/>
              </a:solidFill>
              <a:prstDash val="solid"/>
            </a:ln>
          </c:spPr>
          <c:marker>
            <c:symbol val="none"/>
          </c:marker>
          <c:cat>
            <c:numRef>
              <c:f>'SET Uni'!$F$8:$Z$8</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'SET Uni'!$F$20:$Z$20</c:f>
              <c:numCache>
                <c:formatCode>_ * #\ ##0.0_ ;_ * \-#\ ##0.0_ ;_ * "-"??_ ;_ @_ </c:formatCode>
                <c:ptCount val="21"/>
                <c:pt idx="0">
                  <c:v>27.8</c:v>
                </c:pt>
                <c:pt idx="1">
                  <c:v>25</c:v>
                </c:pt>
                <c:pt idx="2">
                  <c:v>25.2</c:v>
                </c:pt>
                <c:pt idx="3">
                  <c:v>26</c:v>
                </c:pt>
                <c:pt idx="4">
                  <c:v>26</c:v>
                </c:pt>
                <c:pt idx="5">
                  <c:v>25.2</c:v>
                </c:pt>
                <c:pt idx="6">
                  <c:v>25.5</c:v>
                </c:pt>
                <c:pt idx="7">
                  <c:v>26</c:v>
                </c:pt>
                <c:pt idx="8">
                  <c:v>27</c:v>
                </c:pt>
                <c:pt idx="9">
                  <c:v>27.2</c:v>
                </c:pt>
                <c:pt idx="10">
                  <c:v>26.8</c:v>
                </c:pt>
                <c:pt idx="11">
                  <c:v>27.8</c:v>
                </c:pt>
                <c:pt idx="12">
                  <c:v>28.5</c:v>
                </c:pt>
                <c:pt idx="13">
                  <c:v>28.8</c:v>
                </c:pt>
                <c:pt idx="14">
                  <c:v>29.1</c:v>
                </c:pt>
                <c:pt idx="15">
                  <c:v>28.3</c:v>
                </c:pt>
                <c:pt idx="16">
                  <c:v>27.9</c:v>
                </c:pt>
                <c:pt idx="17">
                  <c:v>28.597005614472863</c:v>
                </c:pt>
                <c:pt idx="18">
                  <c:v>29.427844212175064</c:v>
                </c:pt>
                <c:pt idx="19">
                  <c:v>29.407926026700292</c:v>
                </c:pt>
                <c:pt idx="20">
                  <c:v>29.979231287929871</c:v>
                </c:pt>
              </c:numCache>
            </c:numRef>
          </c:val>
          <c:smooth val="0"/>
          <c:extLst>
            <c:ext xmlns:c16="http://schemas.microsoft.com/office/drawing/2014/chart" uri="{C3380CC4-5D6E-409C-BE32-E72D297353CC}">
              <c16:uniqueId val="{00000000-BB67-4B76-B512-4CFCCA383D59}"/>
            </c:ext>
          </c:extLst>
        </c:ser>
        <c:dLbls>
          <c:showLegendKey val="0"/>
          <c:showVal val="0"/>
          <c:showCatName val="0"/>
          <c:showSerName val="0"/>
          <c:showPercent val="0"/>
          <c:showBubbleSize val="0"/>
        </c:dLbls>
        <c:smooth val="0"/>
        <c:axId val="720887984"/>
        <c:axId val="720897784"/>
      </c:lineChart>
      <c:catAx>
        <c:axId val="720887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897784"/>
        <c:crosses val="autoZero"/>
        <c:auto val="1"/>
        <c:lblAlgn val="ctr"/>
        <c:lblOffset val="100"/>
        <c:tickLblSkip val="1"/>
        <c:tickMarkSkip val="1"/>
        <c:noMultiLvlLbl val="0"/>
      </c:catAx>
      <c:valAx>
        <c:axId val="720897784"/>
        <c:scaling>
          <c:orientation val="minMax"/>
          <c:min val="2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2.4312845649284782E-2"/>
              <c:y val="0.4788732394366198"/>
            </c:manualLayout>
          </c:layout>
          <c:overlay val="0"/>
          <c:spPr>
            <a:noFill/>
            <a:ln w="25400">
              <a:noFill/>
            </a:ln>
          </c:spPr>
        </c:title>
        <c:numFmt formatCode="#\ ##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887984"/>
        <c:crosses val="autoZero"/>
        <c:crossBetween val="midCat"/>
      </c:valAx>
      <c:spPr>
        <a:solidFill>
          <a:srgbClr val="FFFFFF"/>
        </a:solidFill>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paperSize="9" orientation="landscape" horizontalDpi="-4"/>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'[24]SET Uni'!$D$52</c:f>
              <c:strCache>
                <c:ptCount val="1"/>
                <c:pt idx="0">
                  <c:v>Total enrolment</c:v>
                </c:pt>
              </c:strCache>
            </c:strRef>
          </c:tx>
          <c:spPr>
            <a:ln w="12700">
              <a:solidFill>
                <a:srgbClr val="000080"/>
              </a:solidFill>
              <a:prstDash val="solid"/>
            </a:ln>
          </c:spPr>
          <c:marker>
            <c:symbol val="none"/>
          </c:marker>
          <c:cat>
            <c:numRef>
              <c:f>'[24]SET Uni'!$E$51:$K$51</c:f>
              <c:numCache>
                <c:formatCode>General</c:formatCode>
                <c:ptCount val="7"/>
                <c:pt idx="0">
                  <c:v>2000</c:v>
                </c:pt>
                <c:pt idx="1">
                  <c:v>2001</c:v>
                </c:pt>
                <c:pt idx="2">
                  <c:v>2002</c:v>
                </c:pt>
                <c:pt idx="3">
                  <c:v>2003</c:v>
                </c:pt>
                <c:pt idx="4">
                  <c:v>2004</c:v>
                </c:pt>
                <c:pt idx="5">
                  <c:v>2005</c:v>
                </c:pt>
                <c:pt idx="6">
                  <c:v>2006</c:v>
                </c:pt>
              </c:numCache>
            </c:numRef>
          </c:cat>
          <c:val>
            <c:numRef>
              <c:f>'[24]SET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EB44-4133-9A69-37A3A739E24A}"/>
            </c:ext>
          </c:extLst>
        </c:ser>
        <c:ser>
          <c:idx val="4"/>
          <c:order val="1"/>
          <c:tx>
            <c:strRef>
              <c:f>'[24]SET Uni'!$D$56</c:f>
              <c:strCache>
                <c:ptCount val="1"/>
                <c:pt idx="0">
                  <c:v>Total Graduates</c:v>
                </c:pt>
              </c:strCache>
            </c:strRef>
          </c:tx>
          <c:spPr>
            <a:ln w="12700">
              <a:solidFill>
                <a:srgbClr val="800080"/>
              </a:solidFill>
              <a:prstDash val="solid"/>
            </a:ln>
          </c:spPr>
          <c:marker>
            <c:symbol val="none"/>
          </c:marker>
          <c:cat>
            <c:numRef>
              <c:f>'[24]SET Uni'!$E$51:$K$51</c:f>
              <c:numCache>
                <c:formatCode>General</c:formatCode>
                <c:ptCount val="7"/>
                <c:pt idx="0">
                  <c:v>2000</c:v>
                </c:pt>
                <c:pt idx="1">
                  <c:v>2001</c:v>
                </c:pt>
                <c:pt idx="2">
                  <c:v>2002</c:v>
                </c:pt>
                <c:pt idx="3">
                  <c:v>2003</c:v>
                </c:pt>
                <c:pt idx="4">
                  <c:v>2004</c:v>
                </c:pt>
                <c:pt idx="5">
                  <c:v>2005</c:v>
                </c:pt>
                <c:pt idx="6">
                  <c:v>2006</c:v>
                </c:pt>
              </c:numCache>
            </c:numRef>
          </c:cat>
          <c:val>
            <c:numRef>
              <c:f>'[24]SET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EB44-4133-9A69-37A3A739E24A}"/>
            </c:ext>
          </c:extLst>
        </c:ser>
        <c:ser>
          <c:idx val="5"/>
          <c:order val="2"/>
          <c:tx>
            <c:strRef>
              <c:f>'[24]SET Uni'!$D$57</c:f>
              <c:strCache>
                <c:ptCount val="1"/>
                <c:pt idx="0">
                  <c:v>SET Graduates</c:v>
                </c:pt>
              </c:strCache>
            </c:strRef>
          </c:tx>
          <c:spPr>
            <a:ln w="12700">
              <a:solidFill>
                <a:srgbClr val="800000"/>
              </a:solidFill>
              <a:prstDash val="solid"/>
            </a:ln>
          </c:spPr>
          <c:marker>
            <c:symbol val="none"/>
          </c:marker>
          <c:cat>
            <c:numRef>
              <c:f>'[24]SET Uni'!$E$51:$K$51</c:f>
              <c:numCache>
                <c:formatCode>General</c:formatCode>
                <c:ptCount val="7"/>
                <c:pt idx="0">
                  <c:v>2000</c:v>
                </c:pt>
                <c:pt idx="1">
                  <c:v>2001</c:v>
                </c:pt>
                <c:pt idx="2">
                  <c:v>2002</c:v>
                </c:pt>
                <c:pt idx="3">
                  <c:v>2003</c:v>
                </c:pt>
                <c:pt idx="4">
                  <c:v>2004</c:v>
                </c:pt>
                <c:pt idx="5">
                  <c:v>2005</c:v>
                </c:pt>
                <c:pt idx="6">
                  <c:v>2006</c:v>
                </c:pt>
              </c:numCache>
            </c:numRef>
          </c:cat>
          <c:val>
            <c:numRef>
              <c:f>'[24]SET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EB44-4133-9A69-37A3A739E24A}"/>
            </c:ext>
          </c:extLst>
        </c:ser>
        <c:dLbls>
          <c:showLegendKey val="0"/>
          <c:showVal val="0"/>
          <c:showCatName val="0"/>
          <c:showSerName val="0"/>
          <c:showPercent val="0"/>
          <c:showBubbleSize val="0"/>
        </c:dLbls>
        <c:smooth val="0"/>
        <c:axId val="720906408"/>
        <c:axId val="720904840"/>
      </c:lineChart>
      <c:catAx>
        <c:axId val="720906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904840"/>
        <c:crosses val="autoZero"/>
        <c:auto val="1"/>
        <c:lblAlgn val="ctr"/>
        <c:lblOffset val="100"/>
        <c:tickLblSkip val="1"/>
        <c:tickMarkSkip val="1"/>
        <c:noMultiLvlLbl val="0"/>
      </c:catAx>
      <c:valAx>
        <c:axId val="720904840"/>
        <c:scaling>
          <c:orientation val="minMax"/>
        </c:scaling>
        <c:delete val="0"/>
        <c:axPos val="l"/>
        <c:majorGridlines>
          <c:spPr>
            <a:ln w="3175">
              <a:solidFill>
                <a:srgbClr val="000000"/>
              </a:solidFill>
              <a:prstDash val="solid"/>
            </a:ln>
          </c:spPr>
        </c:majorGridlines>
        <c:title>
          <c:tx>
            <c:rich>
              <a:bodyPr/>
              <a:lstStyle/>
              <a:p>
                <a:pPr>
                  <a:defRPr sz="275" b="1" i="0" u="none" strike="noStrike" baseline="0">
                    <a:solidFill>
                      <a:srgbClr val="000000"/>
                    </a:solidFill>
                    <a:latin typeface="Arial"/>
                    <a:ea typeface="Arial"/>
                    <a:cs typeface="Arial"/>
                  </a:defRPr>
                </a:pPr>
                <a:r>
                  <a:rPr lang="en-ZA"/>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90640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'SET Uni'!$AC$9:$AD$9</c:f>
              <c:strCache>
                <c:ptCount val="2"/>
                <c:pt idx="0">
                  <c:v>Total Enrolment</c:v>
                </c:pt>
              </c:strCache>
            </c:strRef>
          </c:tx>
          <c:marker>
            <c:symbol val="none"/>
          </c:marker>
          <c:cat>
            <c:numRef>
              <c:f>'SET Uni'!$AE$8:$AY$8</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'SET Uni'!$AE$9:$AY$9</c:f>
              <c:numCache>
                <c:formatCode>0.00</c:formatCode>
                <c:ptCount val="21"/>
                <c:pt idx="0">
                  <c:v>495356</c:v>
                </c:pt>
                <c:pt idx="1">
                  <c:v>557383</c:v>
                </c:pt>
                <c:pt idx="2">
                  <c:v>574771</c:v>
                </c:pt>
                <c:pt idx="3">
                  <c:v>569814</c:v>
                </c:pt>
                <c:pt idx="4">
                  <c:v>559309</c:v>
                </c:pt>
                <c:pt idx="5">
                  <c:v>553800</c:v>
                </c:pt>
                <c:pt idx="6">
                  <c:v>578134</c:v>
                </c:pt>
                <c:pt idx="7">
                  <c:v>627277</c:v>
                </c:pt>
                <c:pt idx="8">
                  <c:v>667182</c:v>
                </c:pt>
                <c:pt idx="9">
                  <c:v>705255</c:v>
                </c:pt>
                <c:pt idx="10">
                  <c:v>744478</c:v>
                </c:pt>
                <c:pt idx="11">
                  <c:v>735073</c:v>
                </c:pt>
                <c:pt idx="12">
                  <c:v>741380</c:v>
                </c:pt>
                <c:pt idx="13">
                  <c:v>760889</c:v>
                </c:pt>
                <c:pt idx="14">
                  <c:v>799490</c:v>
                </c:pt>
                <c:pt idx="15">
                  <c:v>837779</c:v>
                </c:pt>
                <c:pt idx="16">
                  <c:v>892936</c:v>
                </c:pt>
                <c:pt idx="17">
                  <c:v>937454</c:v>
                </c:pt>
                <c:pt idx="18">
                  <c:v>953373</c:v>
                </c:pt>
                <c:pt idx="19">
                  <c:v>983698</c:v>
                </c:pt>
                <c:pt idx="20">
                  <c:v>969154</c:v>
                </c:pt>
              </c:numCache>
            </c:numRef>
          </c:val>
          <c:smooth val="0"/>
          <c:extLst>
            <c:ext xmlns:c16="http://schemas.microsoft.com/office/drawing/2014/chart" uri="{C3380CC4-5D6E-409C-BE32-E72D297353CC}">
              <c16:uniqueId val="{00000000-6237-4D78-BF36-CBAEF4D597B8}"/>
            </c:ext>
          </c:extLst>
        </c:ser>
        <c:ser>
          <c:idx val="1"/>
          <c:order val="1"/>
          <c:tx>
            <c:strRef>
              <c:f>'SET Uni'!$AC$10:$AD$10</c:f>
              <c:strCache>
                <c:ptCount val="2"/>
                <c:pt idx="0">
                  <c:v>Total number of graduates</c:v>
                </c:pt>
              </c:strCache>
            </c:strRef>
          </c:tx>
          <c:marker>
            <c:symbol val="none"/>
          </c:marker>
          <c:cat>
            <c:numRef>
              <c:f>'SET Uni'!$AE$8:$AY$8</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'SET Uni'!$AE$10:$AY$10</c:f>
              <c:numCache>
                <c:formatCode>0.00</c:formatCode>
                <c:ptCount val="21"/>
                <c:pt idx="0">
                  <c:v>74137</c:v>
                </c:pt>
                <c:pt idx="1">
                  <c:v>81684</c:v>
                </c:pt>
                <c:pt idx="2">
                  <c:v>86215</c:v>
                </c:pt>
                <c:pt idx="3">
                  <c:v>88221</c:v>
                </c:pt>
                <c:pt idx="4">
                  <c:v>86625</c:v>
                </c:pt>
                <c:pt idx="5">
                  <c:v>92499</c:v>
                </c:pt>
                <c:pt idx="6">
                  <c:v>92819</c:v>
                </c:pt>
                <c:pt idx="7">
                  <c:v>95940</c:v>
                </c:pt>
                <c:pt idx="8">
                  <c:v>101047</c:v>
                </c:pt>
                <c:pt idx="9">
                  <c:v>108263</c:v>
                </c:pt>
                <c:pt idx="10">
                  <c:v>117240</c:v>
                </c:pt>
                <c:pt idx="11">
                  <c:v>120385</c:v>
                </c:pt>
                <c:pt idx="12">
                  <c:v>124676</c:v>
                </c:pt>
                <c:pt idx="13">
                  <c:v>126618</c:v>
                </c:pt>
                <c:pt idx="14">
                  <c:v>133241</c:v>
                </c:pt>
                <c:pt idx="15">
                  <c:v>144852</c:v>
                </c:pt>
                <c:pt idx="16">
                  <c:v>153325</c:v>
                </c:pt>
                <c:pt idx="17">
                  <c:v>160300</c:v>
                </c:pt>
                <c:pt idx="18">
                  <c:v>165995</c:v>
                </c:pt>
                <c:pt idx="19">
                  <c:v>180823</c:v>
                </c:pt>
                <c:pt idx="20">
                  <c:v>185375</c:v>
                </c:pt>
              </c:numCache>
            </c:numRef>
          </c:val>
          <c:smooth val="0"/>
          <c:extLst>
            <c:ext xmlns:c16="http://schemas.microsoft.com/office/drawing/2014/chart" uri="{C3380CC4-5D6E-409C-BE32-E72D297353CC}">
              <c16:uniqueId val="{00000001-6237-4D78-BF36-CBAEF4D597B8}"/>
            </c:ext>
          </c:extLst>
        </c:ser>
        <c:ser>
          <c:idx val="2"/>
          <c:order val="2"/>
          <c:tx>
            <c:strRef>
              <c:f>'SET Uni'!$AC$11:$AD$11</c:f>
              <c:strCache>
                <c:ptCount val="2"/>
                <c:pt idx="0">
                  <c:v>Total number of SET graduates</c:v>
                </c:pt>
              </c:strCache>
            </c:strRef>
          </c:tx>
          <c:marker>
            <c:symbol val="none"/>
          </c:marker>
          <c:cat>
            <c:numRef>
              <c:f>'SET Uni'!$AE$8:$AY$8</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'SET Uni'!$AE$11:$AY$11</c:f>
              <c:numCache>
                <c:formatCode>0.00</c:formatCode>
                <c:ptCount val="21"/>
                <c:pt idx="0">
                  <c:v>20598</c:v>
                </c:pt>
                <c:pt idx="1">
                  <c:v>20456</c:v>
                </c:pt>
                <c:pt idx="2">
                  <c:v>21682</c:v>
                </c:pt>
                <c:pt idx="3">
                  <c:v>22904</c:v>
                </c:pt>
                <c:pt idx="4">
                  <c:v>22506</c:v>
                </c:pt>
                <c:pt idx="5">
                  <c:v>23269</c:v>
                </c:pt>
                <c:pt idx="6">
                  <c:v>23679</c:v>
                </c:pt>
                <c:pt idx="7">
                  <c:v>24907</c:v>
                </c:pt>
                <c:pt idx="8">
                  <c:v>27240</c:v>
                </c:pt>
                <c:pt idx="9">
                  <c:v>29495</c:v>
                </c:pt>
                <c:pt idx="10">
                  <c:v>31436</c:v>
                </c:pt>
                <c:pt idx="11">
                  <c:v>33506</c:v>
                </c:pt>
                <c:pt idx="12">
                  <c:v>35562</c:v>
                </c:pt>
                <c:pt idx="13">
                  <c:v>36429</c:v>
                </c:pt>
                <c:pt idx="14">
                  <c:v>38819</c:v>
                </c:pt>
                <c:pt idx="15">
                  <c:v>40973</c:v>
                </c:pt>
                <c:pt idx="16">
                  <c:v>42759.582999999999</c:v>
                </c:pt>
                <c:pt idx="17">
                  <c:v>45841</c:v>
                </c:pt>
                <c:pt idx="18">
                  <c:v>48848.75</c:v>
                </c:pt>
                <c:pt idx="19">
                  <c:v>53176</c:v>
                </c:pt>
                <c:pt idx="20">
                  <c:v>55574</c:v>
                </c:pt>
              </c:numCache>
            </c:numRef>
          </c:val>
          <c:smooth val="0"/>
          <c:extLst>
            <c:ext xmlns:c16="http://schemas.microsoft.com/office/drawing/2014/chart" uri="{C3380CC4-5D6E-409C-BE32-E72D297353CC}">
              <c16:uniqueId val="{00000002-6237-4D78-BF36-CBAEF4D597B8}"/>
            </c:ext>
          </c:extLst>
        </c:ser>
        <c:dLbls>
          <c:showLegendKey val="0"/>
          <c:showVal val="0"/>
          <c:showCatName val="0"/>
          <c:showSerName val="0"/>
          <c:showPercent val="0"/>
          <c:showBubbleSize val="0"/>
        </c:dLbls>
        <c:smooth val="0"/>
        <c:axId val="720909936"/>
        <c:axId val="720906800"/>
      </c:lineChart>
      <c:catAx>
        <c:axId val="720909936"/>
        <c:scaling>
          <c:orientation val="minMax"/>
        </c:scaling>
        <c:delete val="0"/>
        <c:axPos val="b"/>
        <c:numFmt formatCode="General" sourceLinked="1"/>
        <c:majorTickMark val="out"/>
        <c:minorTickMark val="none"/>
        <c:tickLblPos val="nextTo"/>
        <c:crossAx val="720906800"/>
        <c:crosses val="autoZero"/>
        <c:auto val="1"/>
        <c:lblAlgn val="ctr"/>
        <c:lblOffset val="100"/>
        <c:noMultiLvlLbl val="0"/>
      </c:catAx>
      <c:valAx>
        <c:axId val="720906800"/>
        <c:scaling>
          <c:orientation val="minMax"/>
        </c:scaling>
        <c:delete val="0"/>
        <c:axPos val="l"/>
        <c:majorGridlines/>
        <c:numFmt formatCode="0.00" sourceLinked="1"/>
        <c:majorTickMark val="out"/>
        <c:minorTickMark val="none"/>
        <c:tickLblPos val="nextTo"/>
        <c:crossAx val="7209099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'[25]SET Uni'!$D$52</c:f>
              <c:strCache>
                <c:ptCount val="1"/>
                <c:pt idx="0">
                  <c:v>Total enrolment</c:v>
                </c:pt>
              </c:strCache>
            </c:strRef>
          </c:tx>
          <c:spPr>
            <a:ln w="12700">
              <a:solidFill>
                <a:srgbClr val="000080"/>
              </a:solidFill>
              <a:prstDash val="solid"/>
            </a:ln>
          </c:spPr>
          <c:marker>
            <c:symbol val="none"/>
          </c:marker>
          <c:cat>
            <c:numRef>
              <c:f>'[25]SET Uni'!$E$51:$K$51</c:f>
              <c:numCache>
                <c:formatCode>General</c:formatCode>
                <c:ptCount val="7"/>
                <c:pt idx="0">
                  <c:v>2000</c:v>
                </c:pt>
                <c:pt idx="1">
                  <c:v>2001</c:v>
                </c:pt>
                <c:pt idx="2">
                  <c:v>2002</c:v>
                </c:pt>
                <c:pt idx="3">
                  <c:v>2003</c:v>
                </c:pt>
                <c:pt idx="4">
                  <c:v>2004</c:v>
                </c:pt>
                <c:pt idx="5">
                  <c:v>2005</c:v>
                </c:pt>
                <c:pt idx="6">
                  <c:v>2006</c:v>
                </c:pt>
              </c:numCache>
            </c:numRef>
          </c:cat>
          <c:val>
            <c:numRef>
              <c:f>'[25]SET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AEEF-43A1-A98F-533349E9244A}"/>
            </c:ext>
          </c:extLst>
        </c:ser>
        <c:ser>
          <c:idx val="4"/>
          <c:order val="1"/>
          <c:tx>
            <c:strRef>
              <c:f>'[25]SET Uni'!$D$56</c:f>
              <c:strCache>
                <c:ptCount val="1"/>
                <c:pt idx="0">
                  <c:v>Total Graduates</c:v>
                </c:pt>
              </c:strCache>
            </c:strRef>
          </c:tx>
          <c:spPr>
            <a:ln w="12700">
              <a:solidFill>
                <a:srgbClr val="800080"/>
              </a:solidFill>
              <a:prstDash val="solid"/>
            </a:ln>
          </c:spPr>
          <c:marker>
            <c:symbol val="none"/>
          </c:marker>
          <c:cat>
            <c:numRef>
              <c:f>'[25]SET Uni'!$E$51:$K$51</c:f>
              <c:numCache>
                <c:formatCode>General</c:formatCode>
                <c:ptCount val="7"/>
                <c:pt idx="0">
                  <c:v>2000</c:v>
                </c:pt>
                <c:pt idx="1">
                  <c:v>2001</c:v>
                </c:pt>
                <c:pt idx="2">
                  <c:v>2002</c:v>
                </c:pt>
                <c:pt idx="3">
                  <c:v>2003</c:v>
                </c:pt>
                <c:pt idx="4">
                  <c:v>2004</c:v>
                </c:pt>
                <c:pt idx="5">
                  <c:v>2005</c:v>
                </c:pt>
                <c:pt idx="6">
                  <c:v>2006</c:v>
                </c:pt>
              </c:numCache>
            </c:numRef>
          </c:cat>
          <c:val>
            <c:numRef>
              <c:f>'[25]SET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AEEF-43A1-A98F-533349E9244A}"/>
            </c:ext>
          </c:extLst>
        </c:ser>
        <c:ser>
          <c:idx val="5"/>
          <c:order val="2"/>
          <c:tx>
            <c:strRef>
              <c:f>'[25]SET Uni'!$D$57</c:f>
              <c:strCache>
                <c:ptCount val="1"/>
                <c:pt idx="0">
                  <c:v>SET Graduates</c:v>
                </c:pt>
              </c:strCache>
            </c:strRef>
          </c:tx>
          <c:spPr>
            <a:ln w="12700">
              <a:solidFill>
                <a:srgbClr val="800000"/>
              </a:solidFill>
              <a:prstDash val="solid"/>
            </a:ln>
          </c:spPr>
          <c:marker>
            <c:symbol val="none"/>
          </c:marker>
          <c:cat>
            <c:numRef>
              <c:f>'[25]SET Uni'!$E$51:$K$51</c:f>
              <c:numCache>
                <c:formatCode>General</c:formatCode>
                <c:ptCount val="7"/>
                <c:pt idx="0">
                  <c:v>2000</c:v>
                </c:pt>
                <c:pt idx="1">
                  <c:v>2001</c:v>
                </c:pt>
                <c:pt idx="2">
                  <c:v>2002</c:v>
                </c:pt>
                <c:pt idx="3">
                  <c:v>2003</c:v>
                </c:pt>
                <c:pt idx="4">
                  <c:v>2004</c:v>
                </c:pt>
                <c:pt idx="5">
                  <c:v>2005</c:v>
                </c:pt>
                <c:pt idx="6">
                  <c:v>2006</c:v>
                </c:pt>
              </c:numCache>
            </c:numRef>
          </c:cat>
          <c:val>
            <c:numRef>
              <c:f>'[25]SET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AEEF-43A1-A98F-533349E9244A}"/>
            </c:ext>
          </c:extLst>
        </c:ser>
        <c:dLbls>
          <c:showLegendKey val="0"/>
          <c:showVal val="0"/>
          <c:showCatName val="0"/>
          <c:showSerName val="0"/>
          <c:showPercent val="0"/>
          <c:showBubbleSize val="0"/>
        </c:dLbls>
        <c:smooth val="0"/>
        <c:axId val="722396064"/>
        <c:axId val="722398416"/>
      </c:lineChart>
      <c:catAx>
        <c:axId val="722396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2398416"/>
        <c:crosses val="autoZero"/>
        <c:auto val="1"/>
        <c:lblAlgn val="ctr"/>
        <c:lblOffset val="100"/>
        <c:tickLblSkip val="1"/>
        <c:tickMarkSkip val="1"/>
        <c:noMultiLvlLbl val="0"/>
      </c:catAx>
      <c:valAx>
        <c:axId val="722398416"/>
        <c:scaling>
          <c:orientation val="minMax"/>
        </c:scaling>
        <c:delete val="0"/>
        <c:axPos val="l"/>
        <c:majorGridlines>
          <c:spPr>
            <a:ln w="3175">
              <a:solidFill>
                <a:srgbClr val="000000"/>
              </a:solidFill>
              <a:prstDash val="solid"/>
            </a:ln>
          </c:spPr>
        </c:majorGridlines>
        <c:title>
          <c:tx>
            <c:rich>
              <a:bodyPr/>
              <a:lstStyle/>
              <a:p>
                <a:pPr>
                  <a:defRPr lang="en-ZA"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239606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ZA"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000"/>
            </a:pPr>
            <a:r>
              <a:rPr lang="en-US" sz="1000"/>
              <a:t>Educational Perfomance of Grade 6 Learners 2004</a:t>
            </a:r>
          </a:p>
        </c:rich>
      </c:tx>
      <c:overlay val="0"/>
    </c:title>
    <c:autoTitleDeleted val="0"/>
    <c:plotArea>
      <c:layout/>
      <c:barChart>
        <c:barDir val="col"/>
        <c:grouping val="clustered"/>
        <c:varyColors val="0"/>
        <c:ser>
          <c:idx val="3"/>
          <c:order val="0"/>
          <c:tx>
            <c:strRef>
              <c:f>'[26]Educational Perf'!$H$69:$H$70</c:f>
              <c:strCache>
                <c:ptCount val="1"/>
                <c:pt idx="0">
                  <c:v>Not Achieved</c:v>
                </c:pt>
              </c:strCache>
            </c:strRef>
          </c:tx>
          <c:spPr>
            <a:solidFill>
              <a:schemeClr val="tx2">
                <a:lumMod val="75000"/>
              </a:schemeClr>
            </a:solidFill>
          </c:spPr>
          <c:invertIfNegative val="0"/>
          <c:cat>
            <c:strRef>
              <c:f>'[26]Educational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'[26]Educational Perf'!$H$71:$H$79</c:f>
              <c:numCache>
                <c:formatCode>General</c:formatCode>
                <c:ptCount val="9"/>
                <c:pt idx="0">
                  <c:v>76</c:v>
                </c:pt>
                <c:pt idx="1">
                  <c:v>66</c:v>
                </c:pt>
                <c:pt idx="2">
                  <c:v>36</c:v>
                </c:pt>
                <c:pt idx="3">
                  <c:v>68</c:v>
                </c:pt>
                <c:pt idx="4">
                  <c:v>86</c:v>
                </c:pt>
                <c:pt idx="5">
                  <c:v>67</c:v>
                </c:pt>
                <c:pt idx="6">
                  <c:v>67</c:v>
                </c:pt>
                <c:pt idx="7">
                  <c:v>33</c:v>
                </c:pt>
                <c:pt idx="8">
                  <c:v>28</c:v>
                </c:pt>
              </c:numCache>
            </c:numRef>
          </c:val>
          <c:extLst>
            <c:ext xmlns:c16="http://schemas.microsoft.com/office/drawing/2014/chart" uri="{C3380CC4-5D6E-409C-BE32-E72D297353CC}">
              <c16:uniqueId val="{00000000-5153-4D18-B7CD-C3EF4DC24C94}"/>
            </c:ext>
          </c:extLst>
        </c:ser>
        <c:ser>
          <c:idx val="7"/>
          <c:order val="1"/>
          <c:tx>
            <c:strRef>
              <c:f>'[26]Educational Perf'!$L$69:$L$70</c:f>
              <c:strCache>
                <c:ptCount val="1"/>
                <c:pt idx="0">
                  <c:v>Not Achieved</c:v>
                </c:pt>
              </c:strCache>
            </c:strRef>
          </c:tx>
          <c:spPr>
            <a:solidFill>
              <a:schemeClr val="accent2">
                <a:lumMod val="75000"/>
              </a:schemeClr>
            </a:solidFill>
          </c:spPr>
          <c:invertIfNegative val="0"/>
          <c:cat>
            <c:strRef>
              <c:f>'[26]Educational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'[26]Educational Perf'!$L$71:$L$79</c:f>
              <c:numCache>
                <c:formatCode>General</c:formatCode>
                <c:ptCount val="9"/>
                <c:pt idx="0">
                  <c:v>87</c:v>
                </c:pt>
                <c:pt idx="1">
                  <c:v>75</c:v>
                </c:pt>
                <c:pt idx="2">
                  <c:v>68</c:v>
                </c:pt>
                <c:pt idx="3">
                  <c:v>82</c:v>
                </c:pt>
                <c:pt idx="4">
                  <c:v>95</c:v>
                </c:pt>
                <c:pt idx="5">
                  <c:v>86</c:v>
                </c:pt>
                <c:pt idx="6">
                  <c:v>88</c:v>
                </c:pt>
                <c:pt idx="7">
                  <c:v>70</c:v>
                </c:pt>
                <c:pt idx="8">
                  <c:v>55</c:v>
                </c:pt>
              </c:numCache>
            </c:numRef>
          </c:val>
          <c:extLst>
            <c:ext xmlns:c16="http://schemas.microsoft.com/office/drawing/2014/chart" uri="{C3380CC4-5D6E-409C-BE32-E72D297353CC}">
              <c16:uniqueId val="{00000001-5153-4D18-B7CD-C3EF4DC24C94}"/>
            </c:ext>
          </c:extLst>
        </c:ser>
        <c:dLbls>
          <c:showLegendKey val="0"/>
          <c:showVal val="0"/>
          <c:showCatName val="0"/>
          <c:showSerName val="0"/>
          <c:showPercent val="0"/>
          <c:showBubbleSize val="0"/>
        </c:dLbls>
        <c:gapWidth val="55"/>
        <c:axId val="722380384"/>
        <c:axId val="722378816"/>
      </c:barChart>
      <c:catAx>
        <c:axId val="722380384"/>
        <c:scaling>
          <c:orientation val="minMax"/>
        </c:scaling>
        <c:delete val="0"/>
        <c:axPos val="b"/>
        <c:numFmt formatCode="General" sourceLinked="1"/>
        <c:majorTickMark val="none"/>
        <c:minorTickMark val="none"/>
        <c:tickLblPos val="nextTo"/>
        <c:txPr>
          <a:bodyPr/>
          <a:lstStyle/>
          <a:p>
            <a:pPr>
              <a:defRPr lang="en-ZA"/>
            </a:pPr>
            <a:endParaRPr lang="en-US"/>
          </a:p>
        </c:txPr>
        <c:crossAx val="722378816"/>
        <c:crosses val="autoZero"/>
        <c:auto val="1"/>
        <c:lblAlgn val="ctr"/>
        <c:lblOffset val="100"/>
        <c:noMultiLvlLbl val="0"/>
      </c:catAx>
      <c:valAx>
        <c:axId val="722378816"/>
        <c:scaling>
          <c:orientation val="minMax"/>
        </c:scaling>
        <c:delete val="0"/>
        <c:axPos val="l"/>
        <c:majorGridlines/>
        <c:numFmt formatCode="General" sourceLinked="1"/>
        <c:majorTickMark val="none"/>
        <c:minorTickMark val="none"/>
        <c:tickLblPos val="nextTo"/>
        <c:txPr>
          <a:bodyPr/>
          <a:lstStyle/>
          <a:p>
            <a:pPr>
              <a:defRPr lang="en-ZA"/>
            </a:pPr>
            <a:endParaRPr lang="en-US"/>
          </a:p>
        </c:txPr>
        <c:crossAx val="722380384"/>
        <c:crosses val="autoZero"/>
        <c:crossBetween val="between"/>
      </c:valAx>
    </c:plotArea>
    <c:legend>
      <c:legendPos val="r"/>
      <c:layout>
        <c:manualLayout>
          <c:xMode val="edge"/>
          <c:yMode val="edge"/>
          <c:x val="0.23931686353598974"/>
          <c:y val="0.90438269003640959"/>
          <c:w val="0.5042748195936988"/>
          <c:h val="5.7768938350344246E-2"/>
        </c:manualLayout>
      </c:layout>
      <c:overlay val="0"/>
      <c:txPr>
        <a:bodyPr/>
        <a:lstStyle/>
        <a:p>
          <a:pPr>
            <a:defRPr lang="en-ZA"/>
          </a:pPr>
          <a:endParaRPr lang="en-US"/>
        </a:p>
      </c:txPr>
    </c:legend>
    <c:plotVisOnly val="1"/>
    <c:dispBlanksAs val="gap"/>
    <c:showDLblsOverMax val="0"/>
  </c:chart>
  <c:printSettings>
    <c:headerFooter/>
    <c:pageMargins b="0.750000000000006" l="0.70000000000000062" r="0.70000000000000062" t="0.750000000000006" header="0.30000000000000032" footer="0.30000000000000032"/>
    <c:pageSetup orientation="landscape" horizontalDpi="0" verticalDpi="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000"/>
            </a:pPr>
            <a:r>
              <a:rPr lang="en-US" sz="1000" b="1" i="0" u="none" strike="noStrike" baseline="0"/>
              <a:t>GRADE 3: Overall Literacy and Numeracy Achievement  </a:t>
            </a:r>
            <a:endParaRPr lang="en-US" sz="1000"/>
          </a:p>
        </c:rich>
      </c:tx>
      <c:overlay val="0"/>
    </c:title>
    <c:autoTitleDeleted val="0"/>
    <c:plotArea>
      <c:layout/>
      <c:barChart>
        <c:barDir val="col"/>
        <c:grouping val="clustered"/>
        <c:varyColors val="0"/>
        <c:ser>
          <c:idx val="2"/>
          <c:order val="2"/>
          <c:tx>
            <c:strRef>
              <c:f>'[26]Educational Perf'!$AM$33</c:f>
              <c:strCache>
                <c:ptCount val="1"/>
                <c:pt idx="0">
                  <c:v>Numeracy Achievement 2001</c:v>
                </c:pt>
              </c:strCache>
            </c:strRef>
          </c:tx>
          <c:invertIfNegative val="0"/>
          <c:cat>
            <c:strRef>
              <c:f>'[26]Educational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'[26]Educational Perf'!$H$88:$H$96</c:f>
              <c:numCache>
                <c:formatCode>General</c:formatCode>
                <c:ptCount val="9"/>
                <c:pt idx="0">
                  <c:v>34</c:v>
                </c:pt>
                <c:pt idx="1">
                  <c:v>29</c:v>
                </c:pt>
                <c:pt idx="2">
                  <c:v>32</c:v>
                </c:pt>
                <c:pt idx="3">
                  <c:v>31</c:v>
                </c:pt>
                <c:pt idx="4">
                  <c:v>24</c:v>
                </c:pt>
                <c:pt idx="5">
                  <c:v>29</c:v>
                </c:pt>
                <c:pt idx="6">
                  <c:v>25</c:v>
                </c:pt>
                <c:pt idx="7">
                  <c:v>26</c:v>
                </c:pt>
                <c:pt idx="8">
                  <c:v>32</c:v>
                </c:pt>
              </c:numCache>
            </c:numRef>
          </c:val>
          <c:extLst>
            <c:ext xmlns:c16="http://schemas.microsoft.com/office/drawing/2014/chart" uri="{C3380CC4-5D6E-409C-BE32-E72D297353CC}">
              <c16:uniqueId val="{00000000-8B58-4914-A341-968ABCE6CDF8}"/>
            </c:ext>
          </c:extLst>
        </c:ser>
        <c:ser>
          <c:idx val="3"/>
          <c:order val="3"/>
          <c:tx>
            <c:strRef>
              <c:f>'[26]Educational Perf'!$AM$34</c:f>
              <c:strCache>
                <c:ptCount val="1"/>
                <c:pt idx="0">
                  <c:v>Numeracy Achievement 2007</c:v>
                </c:pt>
              </c:strCache>
            </c:strRef>
          </c:tx>
          <c:invertIfNegative val="0"/>
          <c:cat>
            <c:strRef>
              <c:f>'[26]Educational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'[26]Educational Perf'!$I$88:$I$96</c:f>
              <c:numCache>
                <c:formatCode>General</c:formatCode>
                <c:ptCount val="9"/>
                <c:pt idx="0">
                  <c:v>36</c:v>
                </c:pt>
                <c:pt idx="1">
                  <c:v>42</c:v>
                </c:pt>
                <c:pt idx="2">
                  <c:v>42</c:v>
                </c:pt>
                <c:pt idx="3">
                  <c:v>36</c:v>
                </c:pt>
                <c:pt idx="4">
                  <c:v>26</c:v>
                </c:pt>
                <c:pt idx="5">
                  <c:v>31</c:v>
                </c:pt>
                <c:pt idx="6">
                  <c:v>29</c:v>
                </c:pt>
                <c:pt idx="7">
                  <c:v>31</c:v>
                </c:pt>
                <c:pt idx="8">
                  <c:v>49</c:v>
                </c:pt>
              </c:numCache>
            </c:numRef>
          </c:val>
          <c:extLst>
            <c:ext xmlns:c16="http://schemas.microsoft.com/office/drawing/2014/chart" uri="{C3380CC4-5D6E-409C-BE32-E72D297353CC}">
              <c16:uniqueId val="{00000001-8B58-4914-A341-968ABCE6CDF8}"/>
            </c:ext>
          </c:extLst>
        </c:ser>
        <c:dLbls>
          <c:showLegendKey val="0"/>
          <c:showVal val="0"/>
          <c:showCatName val="0"/>
          <c:showSerName val="0"/>
          <c:showPercent val="0"/>
          <c:showBubbleSize val="0"/>
        </c:dLbls>
        <c:gapWidth val="150"/>
        <c:axId val="397417208"/>
        <c:axId val="714542704"/>
      </c:barChart>
      <c:lineChart>
        <c:grouping val="standard"/>
        <c:varyColors val="0"/>
        <c:ser>
          <c:idx val="0"/>
          <c:order val="0"/>
          <c:tx>
            <c:strRef>
              <c:f>'[26]Educational Perf'!$AM$31</c:f>
              <c:strCache>
                <c:ptCount val="1"/>
                <c:pt idx="0">
                  <c:v>Litercay Achievement 2001</c:v>
                </c:pt>
              </c:strCache>
            </c:strRef>
          </c:tx>
          <c:marker>
            <c:symbol val="none"/>
          </c:marker>
          <c:cat>
            <c:strRef>
              <c:f>'[26]Educational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'[26]Educational Perf'!$E$88:$E$96</c:f>
              <c:numCache>
                <c:formatCode>General</c:formatCode>
                <c:ptCount val="9"/>
                <c:pt idx="0">
                  <c:v>24</c:v>
                </c:pt>
                <c:pt idx="1">
                  <c:v>27</c:v>
                </c:pt>
                <c:pt idx="2">
                  <c:v>33</c:v>
                </c:pt>
                <c:pt idx="3">
                  <c:v>35</c:v>
                </c:pt>
                <c:pt idx="4">
                  <c:v>27</c:v>
                </c:pt>
                <c:pt idx="5">
                  <c:v>28</c:v>
                </c:pt>
                <c:pt idx="6">
                  <c:v>29</c:v>
                </c:pt>
                <c:pt idx="7">
                  <c:v>23</c:v>
                </c:pt>
                <c:pt idx="8">
                  <c:v>33</c:v>
                </c:pt>
              </c:numCache>
            </c:numRef>
          </c:val>
          <c:smooth val="0"/>
          <c:extLst>
            <c:ext xmlns:c16="http://schemas.microsoft.com/office/drawing/2014/chart" uri="{C3380CC4-5D6E-409C-BE32-E72D297353CC}">
              <c16:uniqueId val="{00000002-8B58-4914-A341-968ABCE6CDF8}"/>
            </c:ext>
          </c:extLst>
        </c:ser>
        <c:ser>
          <c:idx val="1"/>
          <c:order val="1"/>
          <c:tx>
            <c:strRef>
              <c:f>'[26]Educational Perf'!$AM$32</c:f>
              <c:strCache>
                <c:ptCount val="1"/>
                <c:pt idx="0">
                  <c:v>Litercay Achievement 2007</c:v>
                </c:pt>
              </c:strCache>
            </c:strRef>
          </c:tx>
          <c:marker>
            <c:symbol val="none"/>
          </c:marker>
          <c:cat>
            <c:strRef>
              <c:f>'[26]Educational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'[26]Educational Perf'!$F$88:$F$96</c:f>
              <c:numCache>
                <c:formatCode>General</c:formatCode>
                <c:ptCount val="9"/>
                <c:pt idx="0">
                  <c:v>35</c:v>
                </c:pt>
                <c:pt idx="1">
                  <c:v>43</c:v>
                </c:pt>
                <c:pt idx="2">
                  <c:v>38</c:v>
                </c:pt>
                <c:pt idx="3">
                  <c:v>38</c:v>
                </c:pt>
                <c:pt idx="4">
                  <c:v>29</c:v>
                </c:pt>
                <c:pt idx="5">
                  <c:v>32</c:v>
                </c:pt>
                <c:pt idx="6">
                  <c:v>35</c:v>
                </c:pt>
                <c:pt idx="7">
                  <c:v>34</c:v>
                </c:pt>
                <c:pt idx="8">
                  <c:v>48</c:v>
                </c:pt>
              </c:numCache>
            </c:numRef>
          </c:val>
          <c:smooth val="0"/>
          <c:extLst>
            <c:ext xmlns:c16="http://schemas.microsoft.com/office/drawing/2014/chart" uri="{C3380CC4-5D6E-409C-BE32-E72D297353CC}">
              <c16:uniqueId val="{00000003-8B58-4914-A341-968ABCE6CDF8}"/>
            </c:ext>
          </c:extLst>
        </c:ser>
        <c:dLbls>
          <c:showLegendKey val="0"/>
          <c:showVal val="0"/>
          <c:showCatName val="0"/>
          <c:showSerName val="0"/>
          <c:showPercent val="0"/>
          <c:showBubbleSize val="0"/>
        </c:dLbls>
        <c:marker val="1"/>
        <c:smooth val="0"/>
        <c:axId val="414999632"/>
        <c:axId val="720917776"/>
      </c:lineChart>
      <c:catAx>
        <c:axId val="397417208"/>
        <c:scaling>
          <c:orientation val="minMax"/>
        </c:scaling>
        <c:delete val="0"/>
        <c:axPos val="b"/>
        <c:numFmt formatCode="General" sourceLinked="1"/>
        <c:majorTickMark val="out"/>
        <c:minorTickMark val="none"/>
        <c:tickLblPos val="nextTo"/>
        <c:txPr>
          <a:bodyPr/>
          <a:lstStyle/>
          <a:p>
            <a:pPr>
              <a:defRPr lang="en-ZA"/>
            </a:pPr>
            <a:endParaRPr lang="en-US"/>
          </a:p>
        </c:txPr>
        <c:crossAx val="714542704"/>
        <c:crosses val="autoZero"/>
        <c:auto val="1"/>
        <c:lblAlgn val="ctr"/>
        <c:lblOffset val="100"/>
        <c:noMultiLvlLbl val="0"/>
      </c:catAx>
      <c:valAx>
        <c:axId val="714542704"/>
        <c:scaling>
          <c:orientation val="minMax"/>
          <c:max val="50"/>
          <c:min val="15"/>
        </c:scaling>
        <c:delete val="0"/>
        <c:axPos val="l"/>
        <c:majorGridlines/>
        <c:title>
          <c:tx>
            <c:rich>
              <a:bodyPr rot="-5400000" vert="horz"/>
              <a:lstStyle/>
              <a:p>
                <a:pPr>
                  <a:defRPr lang="en-ZA" sz="1000">
                    <a:latin typeface="Arial" pitchFamily="34" charset="0"/>
                    <a:cs typeface="Arial" pitchFamily="34" charset="0"/>
                  </a:defRPr>
                </a:pPr>
                <a:r>
                  <a:rPr lang="en-US" sz="1000">
                    <a:latin typeface="Arial" pitchFamily="34" charset="0"/>
                    <a:cs typeface="Arial" pitchFamily="34" charset="0"/>
                  </a:rPr>
                  <a:t>Overall Achievement (%)</a:t>
                </a:r>
              </a:p>
            </c:rich>
          </c:tx>
          <c:overlay val="0"/>
        </c:title>
        <c:numFmt formatCode="#\ ##0" sourceLinked="0"/>
        <c:majorTickMark val="out"/>
        <c:minorTickMark val="none"/>
        <c:tickLblPos val="nextTo"/>
        <c:txPr>
          <a:bodyPr/>
          <a:lstStyle/>
          <a:p>
            <a:pPr>
              <a:defRPr lang="en-ZA"/>
            </a:pPr>
            <a:endParaRPr lang="en-US"/>
          </a:p>
        </c:txPr>
        <c:crossAx val="397417208"/>
        <c:crosses val="autoZero"/>
        <c:crossBetween val="between"/>
        <c:majorUnit val="5"/>
      </c:valAx>
      <c:catAx>
        <c:axId val="414999632"/>
        <c:scaling>
          <c:orientation val="minMax"/>
        </c:scaling>
        <c:delete val="1"/>
        <c:axPos val="b"/>
        <c:numFmt formatCode="General" sourceLinked="1"/>
        <c:majorTickMark val="out"/>
        <c:minorTickMark val="none"/>
        <c:tickLblPos val="none"/>
        <c:crossAx val="720917776"/>
        <c:crosses val="autoZero"/>
        <c:auto val="1"/>
        <c:lblAlgn val="ctr"/>
        <c:lblOffset val="100"/>
        <c:noMultiLvlLbl val="0"/>
      </c:catAx>
      <c:valAx>
        <c:axId val="720917776"/>
        <c:scaling>
          <c:orientation val="minMax"/>
        </c:scaling>
        <c:delete val="0"/>
        <c:axPos val="r"/>
        <c:numFmt formatCode="General" sourceLinked="1"/>
        <c:majorTickMark val="out"/>
        <c:minorTickMark val="none"/>
        <c:tickLblPos val="nextTo"/>
        <c:txPr>
          <a:bodyPr/>
          <a:lstStyle/>
          <a:p>
            <a:pPr>
              <a:defRPr lang="en-ZA"/>
            </a:pPr>
            <a:endParaRPr lang="en-US"/>
          </a:p>
        </c:txPr>
        <c:crossAx val="414999632"/>
        <c:crosses val="max"/>
        <c:crossBetween val="between"/>
      </c:valAx>
    </c:plotArea>
    <c:legend>
      <c:legendPos val="r"/>
      <c:layout>
        <c:manualLayout>
          <c:xMode val="edge"/>
          <c:yMode val="edge"/>
          <c:x val="0.22988860561279542"/>
          <c:y val="0.83011641698399874"/>
          <c:w val="0.60920480487390782"/>
          <c:h val="0.11196919112807405"/>
        </c:manualLayout>
      </c:layout>
      <c:overlay val="0"/>
      <c:txPr>
        <a:bodyPr/>
        <a:lstStyle/>
        <a:p>
          <a:pPr>
            <a:defRPr lang="en-ZA"/>
          </a:pPr>
          <a:endParaRPr lang="en-US"/>
        </a:p>
      </c:txPr>
    </c:legend>
    <c:plotVisOnly val="1"/>
    <c:dispBlanksAs val="gap"/>
    <c:showDLblsOverMax val="0"/>
  </c:chart>
  <c:printSettings>
    <c:headerFooter/>
    <c:pageMargins b="0.75000000000000622" l="0.70000000000000062" r="0.70000000000000062" t="0.75000000000000622" header="0.30000000000000032" footer="0.30000000000000032"/>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GROSS FIXED CAPITAL FORMATION AS PERCENTAGE OF GDP</a:t>
            </a:r>
          </a:p>
        </c:rich>
      </c:tx>
      <c:layout>
        <c:manualLayout>
          <c:xMode val="edge"/>
          <c:yMode val="edge"/>
          <c:x val="3.771668348064066E-2"/>
          <c:y val="3.5483799819140252E-2"/>
        </c:manualLayout>
      </c:layout>
      <c:overlay val="0"/>
      <c:spPr>
        <a:noFill/>
        <a:ln w="25400">
          <a:noFill/>
        </a:ln>
      </c:spPr>
    </c:title>
    <c:autoTitleDeleted val="0"/>
    <c:plotArea>
      <c:layout>
        <c:manualLayout>
          <c:layoutTarget val="inner"/>
          <c:xMode val="edge"/>
          <c:yMode val="edge"/>
          <c:x val="6.8297727892796645E-2"/>
          <c:y val="0.20475322937573981"/>
          <c:w val="0.91743210594268809"/>
          <c:h val="0.59677513352938938"/>
        </c:manualLayout>
      </c:layout>
      <c:lineChart>
        <c:grouping val="standard"/>
        <c:varyColors val="0"/>
        <c:ser>
          <c:idx val="0"/>
          <c:order val="0"/>
          <c:tx>
            <c:strRef>
              <c:f>'GFCF '!$E$8</c:f>
              <c:strCache>
                <c:ptCount val="1"/>
                <c:pt idx="0">
                  <c:v>%</c:v>
                </c:pt>
              </c:strCache>
            </c:strRef>
          </c:tx>
          <c:spPr>
            <a:ln w="25400">
              <a:solidFill>
                <a:srgbClr val="FF6600"/>
              </a:solidFill>
              <a:prstDash val="solid"/>
            </a:ln>
          </c:spPr>
          <c:marker>
            <c:symbol val="none"/>
          </c:marker>
          <c:cat>
            <c:numRef>
              <c:f>'GFCF '!$F$7:$AA$7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'GFCF '!$F$8:$AA$8</c:f>
              <c:numCache>
                <c:formatCode>0.0</c:formatCode>
                <c:ptCount val="22"/>
                <c:pt idx="0">
                  <c:v>16.100000000000001</c:v>
                </c:pt>
                <c:pt idx="1">
                  <c:v>17</c:v>
                </c:pt>
                <c:pt idx="2">
                  <c:v>17.2</c:v>
                </c:pt>
                <c:pt idx="3">
                  <c:v>17.600000000000001</c:v>
                </c:pt>
                <c:pt idx="4">
                  <c:v>18.100000000000001</c:v>
                </c:pt>
                <c:pt idx="5">
                  <c:v>16.100000000000001</c:v>
                </c:pt>
                <c:pt idx="6">
                  <c:v>15.6</c:v>
                </c:pt>
                <c:pt idx="7">
                  <c:v>15.5</c:v>
                </c:pt>
                <c:pt idx="8">
                  <c:v>15.2</c:v>
                </c:pt>
                <c:pt idx="9">
                  <c:v>16</c:v>
                </c:pt>
                <c:pt idx="10">
                  <c:v>16.5</c:v>
                </c:pt>
                <c:pt idx="11">
                  <c:v>17.2</c:v>
                </c:pt>
                <c:pt idx="12">
                  <c:v>18.899999999999999</c:v>
                </c:pt>
                <c:pt idx="13">
                  <c:v>20.6</c:v>
                </c:pt>
                <c:pt idx="14">
                  <c:v>23.5</c:v>
                </c:pt>
                <c:pt idx="15">
                  <c:v>21.5</c:v>
                </c:pt>
                <c:pt idx="16">
                  <c:v>19.3</c:v>
                </c:pt>
                <c:pt idx="17">
                  <c:v>19.100000000000001</c:v>
                </c:pt>
                <c:pt idx="18">
                  <c:v>19.2</c:v>
                </c:pt>
                <c:pt idx="19">
                  <c:v>20.3</c:v>
                </c:pt>
                <c:pt idx="20">
                  <c:v>20.5</c:v>
                </c:pt>
                <c:pt idx="21">
                  <c:v>20.6</c:v>
                </c:pt>
              </c:numCache>
            </c:numRef>
          </c:val>
          <c:smooth val="0"/>
          <c:extLst>
            <c:ext xmlns:c16="http://schemas.microsoft.com/office/drawing/2014/chart" uri="{C3380CC4-5D6E-409C-BE32-E72D297353CC}">
              <c16:uniqueId val="{00000000-8A55-45DB-9B99-9F3EB81EF23A}"/>
            </c:ext>
          </c:extLst>
        </c:ser>
        <c:dLbls>
          <c:showLegendKey val="0"/>
          <c:showVal val="0"/>
          <c:showCatName val="0"/>
          <c:showSerName val="0"/>
          <c:showPercent val="0"/>
          <c:showBubbleSize val="0"/>
        </c:dLbls>
        <c:smooth val="0"/>
        <c:axId val="399078888"/>
        <c:axId val="399072616"/>
      </c:lineChart>
      <c:catAx>
        <c:axId val="399078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2616"/>
        <c:crosses val="autoZero"/>
        <c:auto val="1"/>
        <c:lblAlgn val="ctr"/>
        <c:lblOffset val="100"/>
        <c:tickLblSkip val="1"/>
        <c:tickMarkSkip val="1"/>
        <c:noMultiLvlLbl val="0"/>
      </c:catAx>
      <c:valAx>
        <c:axId val="399072616"/>
        <c:scaling>
          <c:orientation val="minMax"/>
          <c:min val="12"/>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1.5290437607466673E-2"/>
              <c:y val="0.4064524287405250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8888"/>
        <c:crosses val="autoZero"/>
        <c:crossBetween val="between"/>
        <c:majorUnit val="1.5"/>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b="0"/>
            </a:pPr>
            <a:r>
              <a:rPr lang="en-US" sz="1200" b="0" baseline="0"/>
              <a:t>GRADE 6 LANGUAGE AND MATHS ACHIEVEMENT</a:t>
            </a:r>
          </a:p>
        </c:rich>
      </c:tx>
      <c:overlay val="0"/>
    </c:title>
    <c:autoTitleDeleted val="0"/>
    <c:plotArea>
      <c:layout/>
      <c:barChart>
        <c:barDir val="col"/>
        <c:grouping val="clustered"/>
        <c:varyColors val="0"/>
        <c:ser>
          <c:idx val="0"/>
          <c:order val="0"/>
          <c:tx>
            <c:strRef>
              <c:f>'[26]Educational Perf'!$E$8</c:f>
              <c:strCache>
                <c:ptCount val="1"/>
                <c:pt idx="0">
                  <c:v>Language Achievement</c:v>
                </c:pt>
              </c:strCache>
            </c:strRef>
          </c:tx>
          <c:spPr>
            <a:solidFill>
              <a:schemeClr val="accent6"/>
            </a:solidFill>
          </c:spPr>
          <c:invertIfNegative val="0"/>
          <c:val>
            <c:numRef>
              <c:f>('M:\Users\Thabo.Mabogoane\AppData\Local\Microsoft\Windows\Temporary Internet Files\Content.Outlook\W02ZPCFK\[Educational Performance Indicator reformated.xls]Educational Perf'!$E$8 'M:\Users\Thabo.Mabogoane\AppData\Local\Microsoft\Windows\Temporary Internet Files\Content.Outlook\W02ZPCFK\[Educational Performance Indicator reformated.xls]Educational Perf'!$E$10:$E$19)</c:f>
              <c:numCache>
                <c:formatCode>General</c:formatCode>
                <c:ptCount val="11"/>
                <c:pt idx="0">
                  <c:v>0</c:v>
                </c:pt>
                <c:pt idx="1">
                  <c:v>24</c:v>
                </c:pt>
                <c:pt idx="2">
                  <c:v>34</c:v>
                </c:pt>
                <c:pt idx="3">
                  <c:v>63</c:v>
                </c:pt>
                <c:pt idx="4">
                  <c:v>32</c:v>
                </c:pt>
                <c:pt idx="5">
                  <c:v>15</c:v>
                </c:pt>
                <c:pt idx="6">
                  <c:v>33</c:v>
                </c:pt>
                <c:pt idx="7">
                  <c:v>32</c:v>
                </c:pt>
                <c:pt idx="8">
                  <c:v>67</c:v>
                </c:pt>
                <c:pt idx="9">
                  <c:v>73</c:v>
                </c:pt>
                <c:pt idx="10">
                  <c:v>41.444444444444443</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('M:\Users\Thabo.Mabogoane\AppData\Local\Microsoft\Windows\Temporary Internet Files\Content.Outlook\W02ZPCFK\[Educational Performance Indicator reformated.xls]Educational Perf'!$D$8 'M:\Users\Thabo.Mabogoane\AppData\Local\Microsoft\Windows\Temporary Internet Files\Content.Outlook\W02ZPCFK\[Educational Performance Indicator reformated.xls]Educational Perf'!$D$10:$D$19)</c15:sqref>
                        </c15:formulaRef>
                      </c:ext>
                    </c:extLst>
                  </c:multiLvlStrRef>
                </c15:cat>
              </c15:filteredCategoryTitle>
            </c:ext>
            <c:ext xmlns:c16="http://schemas.microsoft.com/office/drawing/2014/chart" uri="{C3380CC4-5D6E-409C-BE32-E72D297353CC}">
              <c16:uniqueId val="{00000000-F548-419B-89BD-97A8A0B7FDB4}"/>
            </c:ext>
          </c:extLst>
        </c:ser>
        <c:ser>
          <c:idx val="1"/>
          <c:order val="1"/>
          <c:tx>
            <c:strRef>
              <c:f>'[26]Educational Perf'!$F$8</c:f>
              <c:strCache>
                <c:ptCount val="1"/>
                <c:pt idx="0">
                  <c:v>Mathematics Achievement</c:v>
                </c:pt>
              </c:strCache>
            </c:strRef>
          </c:tx>
          <c:spPr>
            <a:solidFill>
              <a:schemeClr val="accent6">
                <a:lumMod val="50000"/>
              </a:schemeClr>
            </a:solidFill>
          </c:spPr>
          <c:invertIfNegative val="0"/>
          <c:val>
            <c:numRef>
              <c:f>('M:\Users\Thabo.Mabogoane\AppData\Local\Microsoft\Windows\Temporary Internet Files\Content.Outlook\W02ZPCFK\[Educational Performance Indicator reformated.xls]Educational Perf'!$F$8 'M:\Users\Thabo.Mabogoane\AppData\Local\Microsoft\Windows\Temporary Internet Files\Content.Outlook\W02ZPCFK\[Educational Performance Indicator reformated.xls]Educational Perf'!$F$10:$F$19)</c:f>
              <c:numCache>
                <c:formatCode>General</c:formatCode>
                <c:ptCount val="11"/>
                <c:pt idx="0">
                  <c:v>0</c:v>
                </c:pt>
                <c:pt idx="1">
                  <c:v>12</c:v>
                </c:pt>
                <c:pt idx="2">
                  <c:v>25</c:v>
                </c:pt>
                <c:pt idx="3">
                  <c:v>32</c:v>
                </c:pt>
                <c:pt idx="4">
                  <c:v>19</c:v>
                </c:pt>
                <c:pt idx="5">
                  <c:v>5</c:v>
                </c:pt>
                <c:pt idx="6">
                  <c:v>15</c:v>
                </c:pt>
                <c:pt idx="7">
                  <c:v>12</c:v>
                </c:pt>
                <c:pt idx="8">
                  <c:v>29</c:v>
                </c:pt>
                <c:pt idx="9">
                  <c:v>45</c:v>
                </c:pt>
                <c:pt idx="10">
                  <c:v>21.555555555555557</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('M:\Users\Thabo.Mabogoane\AppData\Local\Microsoft\Windows\Temporary Internet Files\Content.Outlook\W02ZPCFK\[Educational Performance Indicator reformated.xls]Educational Perf'!$D$8 'M:\Users\Thabo.Mabogoane\AppData\Local\Microsoft\Windows\Temporary Internet Files\Content.Outlook\W02ZPCFK\[Educational Performance Indicator reformated.xls]Educational Perf'!$D$10:$D$19)</c15:sqref>
                        </c15:formulaRef>
                      </c:ext>
                    </c:extLst>
                  </c:multiLvlStrRef>
                </c15:cat>
              </c15:filteredCategoryTitle>
            </c:ext>
            <c:ext xmlns:c16="http://schemas.microsoft.com/office/drawing/2014/chart" uri="{C3380CC4-5D6E-409C-BE32-E72D297353CC}">
              <c16:uniqueId val="{00000001-F548-419B-89BD-97A8A0B7FDB4}"/>
            </c:ext>
          </c:extLst>
        </c:ser>
        <c:dLbls>
          <c:showLegendKey val="0"/>
          <c:showVal val="0"/>
          <c:showCatName val="0"/>
          <c:showSerName val="0"/>
          <c:showPercent val="0"/>
          <c:showBubbleSize val="0"/>
        </c:dLbls>
        <c:gapWidth val="150"/>
        <c:axId val="720918168"/>
        <c:axId val="720912288"/>
      </c:barChart>
      <c:catAx>
        <c:axId val="720918168"/>
        <c:scaling>
          <c:orientation val="minMax"/>
        </c:scaling>
        <c:delete val="0"/>
        <c:axPos val="b"/>
        <c:numFmt formatCode="General" sourceLinked="1"/>
        <c:majorTickMark val="out"/>
        <c:minorTickMark val="none"/>
        <c:tickLblPos val="nextTo"/>
        <c:txPr>
          <a:bodyPr rot="-5400000" vert="horz"/>
          <a:lstStyle/>
          <a:p>
            <a:pPr>
              <a:defRPr lang="en-ZA"/>
            </a:pPr>
            <a:endParaRPr lang="en-US"/>
          </a:p>
        </c:txPr>
        <c:crossAx val="720912288"/>
        <c:crosses val="autoZero"/>
        <c:auto val="1"/>
        <c:lblAlgn val="ctr"/>
        <c:lblOffset val="100"/>
        <c:noMultiLvlLbl val="0"/>
      </c:catAx>
      <c:valAx>
        <c:axId val="720912288"/>
        <c:scaling>
          <c:orientation val="minMax"/>
        </c:scaling>
        <c:delete val="0"/>
        <c:axPos val="l"/>
        <c:title>
          <c:tx>
            <c:rich>
              <a:bodyPr rot="-5400000" vert="horz"/>
              <a:lstStyle/>
              <a:p>
                <a:pPr>
                  <a:defRPr lang="en-ZA"/>
                </a:pPr>
                <a:r>
                  <a:rPr lang="en-US"/>
                  <a:t>%</a:t>
                </a:r>
              </a:p>
            </c:rich>
          </c:tx>
          <c:overlay val="0"/>
        </c:title>
        <c:numFmt formatCode="General" sourceLinked="1"/>
        <c:majorTickMark val="out"/>
        <c:minorTickMark val="none"/>
        <c:tickLblPos val="nextTo"/>
        <c:txPr>
          <a:bodyPr/>
          <a:lstStyle/>
          <a:p>
            <a:pPr>
              <a:defRPr lang="en-ZA"/>
            </a:pPr>
            <a:endParaRPr lang="en-US"/>
          </a:p>
        </c:txPr>
        <c:crossAx val="720918168"/>
        <c:crosses val="autoZero"/>
        <c:crossBetween val="between"/>
      </c:valAx>
    </c:plotArea>
    <c:legend>
      <c:legendPos val="r"/>
      <c:layout>
        <c:manualLayout>
          <c:xMode val="edge"/>
          <c:yMode val="edge"/>
          <c:x val="5.4369086683916761E-2"/>
          <c:y val="0.90430019632848091"/>
          <c:w val="0.8737888931343758"/>
          <c:h val="6.6574247582464247E-2"/>
        </c:manualLayout>
      </c:layout>
      <c:overlay val="0"/>
      <c:txPr>
        <a:bodyPr/>
        <a:lstStyle/>
        <a:p>
          <a:pPr>
            <a:defRPr lang="en-ZA" sz="800">
              <a:latin typeface="Arial" pitchFamily="34" charset="0"/>
              <a:cs typeface="Arial" pitchFamily="34" charset="0"/>
            </a:defRPr>
          </a:pPr>
          <a:endParaRPr lang="en-US"/>
        </a:p>
      </c:txPr>
    </c:legend>
    <c:plotVisOnly val="1"/>
    <c:dispBlanksAs val="gap"/>
    <c:showDLblsOverMax val="0"/>
  </c:chart>
  <c:printSettings>
    <c:headerFooter/>
    <c:pageMargins b="0.75000000000000577" l="0.70000000000000062" r="0.70000000000000062" t="0.75000000000000577"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200" b="0"/>
            </a:pPr>
            <a:r>
              <a:rPr lang="en-US" sz="1200" b="0"/>
              <a:t>GRADE</a:t>
            </a:r>
            <a:r>
              <a:rPr lang="en-US" sz="1200" b="0" baseline="0"/>
              <a:t> 3 LITERACY AND NUMERACY ACHIEVEMENT</a:t>
            </a:r>
            <a:endParaRPr lang="en-US" sz="1200" b="0"/>
          </a:p>
        </c:rich>
      </c:tx>
      <c:layout>
        <c:manualLayout>
          <c:xMode val="edge"/>
          <c:yMode val="edge"/>
          <c:x val="9.7285743473682568E-4"/>
          <c:y val="2.7681833394986699E-2"/>
        </c:manualLayout>
      </c:layout>
      <c:overlay val="0"/>
    </c:title>
    <c:autoTitleDeleted val="0"/>
    <c:plotArea>
      <c:layout/>
      <c:barChart>
        <c:barDir val="col"/>
        <c:grouping val="clustered"/>
        <c:varyColors val="0"/>
        <c:ser>
          <c:idx val="2"/>
          <c:order val="2"/>
          <c:tx>
            <c:strRef>
              <c:f>'[26]Educational Perf'!$J$8:$J$9</c:f>
              <c:strCache>
                <c:ptCount val="1"/>
                <c:pt idx="0">
                  <c:v>Numeracy Achievement 2001</c:v>
                </c:pt>
              </c:strCache>
            </c:strRef>
          </c:tx>
          <c:invertIfNegative val="0"/>
          <c:cat>
            <c:strRef>
              <c:f>'[26]Educational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'[26]Educational Perf'!$J$10:$J$19</c:f>
              <c:numCache>
                <c:formatCode>General</c:formatCode>
                <c:ptCount val="10"/>
                <c:pt idx="0">
                  <c:v>34</c:v>
                </c:pt>
                <c:pt idx="1">
                  <c:v>29</c:v>
                </c:pt>
                <c:pt idx="2">
                  <c:v>32</c:v>
                </c:pt>
                <c:pt idx="3">
                  <c:v>31</c:v>
                </c:pt>
                <c:pt idx="4">
                  <c:v>24</c:v>
                </c:pt>
                <c:pt idx="5">
                  <c:v>29</c:v>
                </c:pt>
                <c:pt idx="6">
                  <c:v>25</c:v>
                </c:pt>
                <c:pt idx="7">
                  <c:v>26</c:v>
                </c:pt>
                <c:pt idx="8">
                  <c:v>32</c:v>
                </c:pt>
                <c:pt idx="9">
                  <c:v>29.111111111111111</c:v>
                </c:pt>
              </c:numCache>
            </c:numRef>
          </c:val>
          <c:extLst>
            <c:ext xmlns:c16="http://schemas.microsoft.com/office/drawing/2014/chart" uri="{C3380CC4-5D6E-409C-BE32-E72D297353CC}">
              <c16:uniqueId val="{00000000-A342-4B45-8746-DA0C8EE5FBF0}"/>
            </c:ext>
          </c:extLst>
        </c:ser>
        <c:ser>
          <c:idx val="3"/>
          <c:order val="3"/>
          <c:tx>
            <c:strRef>
              <c:f>'[26]Educational Perf'!$K$8:$K$9</c:f>
              <c:strCache>
                <c:ptCount val="1"/>
                <c:pt idx="0">
                  <c:v>Numeracy Achievement 2007</c:v>
                </c:pt>
              </c:strCache>
            </c:strRef>
          </c:tx>
          <c:invertIfNegative val="0"/>
          <c:cat>
            <c:strRef>
              <c:f>'[26]Educational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'[26]Educational Perf'!$K$10:$K$19</c:f>
              <c:numCache>
                <c:formatCode>General</c:formatCode>
                <c:ptCount val="10"/>
                <c:pt idx="0">
                  <c:v>36</c:v>
                </c:pt>
                <c:pt idx="1">
                  <c:v>42</c:v>
                </c:pt>
                <c:pt idx="2">
                  <c:v>42</c:v>
                </c:pt>
                <c:pt idx="3">
                  <c:v>36</c:v>
                </c:pt>
                <c:pt idx="4">
                  <c:v>26</c:v>
                </c:pt>
                <c:pt idx="5">
                  <c:v>31</c:v>
                </c:pt>
                <c:pt idx="6">
                  <c:v>29</c:v>
                </c:pt>
                <c:pt idx="7">
                  <c:v>31</c:v>
                </c:pt>
                <c:pt idx="8">
                  <c:v>49</c:v>
                </c:pt>
                <c:pt idx="9">
                  <c:v>35.777777777777779</c:v>
                </c:pt>
              </c:numCache>
            </c:numRef>
          </c:val>
          <c:extLst>
            <c:ext xmlns:c16="http://schemas.microsoft.com/office/drawing/2014/chart" uri="{C3380CC4-5D6E-409C-BE32-E72D297353CC}">
              <c16:uniqueId val="{00000001-A342-4B45-8746-DA0C8EE5FBF0}"/>
            </c:ext>
          </c:extLst>
        </c:ser>
        <c:ser>
          <c:idx val="4"/>
          <c:order val="4"/>
          <c:tx>
            <c:strRef>
              <c:f>'[26]Educational Perf'!$D$10:$D$11</c:f>
              <c:strCache>
                <c:ptCount val="1"/>
                <c:pt idx="0">
                  <c:v>Eastern Cape Free State</c:v>
                </c:pt>
              </c:strCache>
            </c:strRef>
          </c:tx>
          <c:invertIfNegative val="0"/>
          <c:cat>
            <c:strRef>
              <c:f>'[26]Educational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'[26]Educational Perf'!$D$12:$D$19</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A342-4B45-8746-DA0C8EE5FBF0}"/>
            </c:ext>
          </c:extLst>
        </c:ser>
        <c:dLbls>
          <c:showLegendKey val="0"/>
          <c:showVal val="0"/>
          <c:showCatName val="0"/>
          <c:showSerName val="0"/>
          <c:showPercent val="0"/>
          <c:showBubbleSize val="0"/>
        </c:dLbls>
        <c:gapWidth val="150"/>
        <c:axId val="720895040"/>
        <c:axId val="720891120"/>
      </c:barChart>
      <c:lineChart>
        <c:grouping val="standard"/>
        <c:varyColors val="0"/>
        <c:ser>
          <c:idx val="0"/>
          <c:order val="0"/>
          <c:tx>
            <c:strRef>
              <c:f>'[26]Educational Perf'!$H$8:$H$9</c:f>
              <c:strCache>
                <c:ptCount val="1"/>
                <c:pt idx="0">
                  <c:v>Literacy Achievement 2001</c:v>
                </c:pt>
              </c:strCache>
            </c:strRef>
          </c:tx>
          <c:marker>
            <c:symbol val="none"/>
          </c:marker>
          <c:cat>
            <c:strRef>
              <c:f>'[26]Educational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'[26]Educational Perf'!$H$10:$H$19</c:f>
              <c:numCache>
                <c:formatCode>General</c:formatCode>
                <c:ptCount val="10"/>
                <c:pt idx="0">
                  <c:v>24</c:v>
                </c:pt>
                <c:pt idx="1">
                  <c:v>27</c:v>
                </c:pt>
                <c:pt idx="2">
                  <c:v>33</c:v>
                </c:pt>
                <c:pt idx="3">
                  <c:v>35</c:v>
                </c:pt>
                <c:pt idx="4">
                  <c:v>27</c:v>
                </c:pt>
                <c:pt idx="5">
                  <c:v>28</c:v>
                </c:pt>
                <c:pt idx="6">
                  <c:v>29</c:v>
                </c:pt>
                <c:pt idx="7">
                  <c:v>23</c:v>
                </c:pt>
                <c:pt idx="8">
                  <c:v>33</c:v>
                </c:pt>
                <c:pt idx="9">
                  <c:v>28.777777777777779</c:v>
                </c:pt>
              </c:numCache>
            </c:numRef>
          </c:val>
          <c:smooth val="0"/>
          <c:extLst>
            <c:ext xmlns:c16="http://schemas.microsoft.com/office/drawing/2014/chart" uri="{C3380CC4-5D6E-409C-BE32-E72D297353CC}">
              <c16:uniqueId val="{00000003-A342-4B45-8746-DA0C8EE5FBF0}"/>
            </c:ext>
          </c:extLst>
        </c:ser>
        <c:ser>
          <c:idx val="1"/>
          <c:order val="1"/>
          <c:tx>
            <c:strRef>
              <c:f>'[26]Educational Perf'!$I$8:$I$9</c:f>
              <c:strCache>
                <c:ptCount val="1"/>
                <c:pt idx="0">
                  <c:v>Literacy Achievement 2007</c:v>
                </c:pt>
              </c:strCache>
            </c:strRef>
          </c:tx>
          <c:marker>
            <c:symbol val="none"/>
          </c:marker>
          <c:cat>
            <c:strRef>
              <c:f>'[26]Educational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'[26]Educational Perf'!$I$10:$I$19</c:f>
              <c:numCache>
                <c:formatCode>General</c:formatCode>
                <c:ptCount val="10"/>
                <c:pt idx="0">
                  <c:v>35</c:v>
                </c:pt>
                <c:pt idx="1">
                  <c:v>43</c:v>
                </c:pt>
                <c:pt idx="2">
                  <c:v>38</c:v>
                </c:pt>
                <c:pt idx="3">
                  <c:v>38</c:v>
                </c:pt>
                <c:pt idx="4">
                  <c:v>29</c:v>
                </c:pt>
                <c:pt idx="5">
                  <c:v>32</c:v>
                </c:pt>
                <c:pt idx="6">
                  <c:v>35</c:v>
                </c:pt>
                <c:pt idx="7">
                  <c:v>34</c:v>
                </c:pt>
                <c:pt idx="8">
                  <c:v>48</c:v>
                </c:pt>
                <c:pt idx="9">
                  <c:v>36.888888888888886</c:v>
                </c:pt>
              </c:numCache>
            </c:numRef>
          </c:val>
          <c:smooth val="0"/>
          <c:extLst>
            <c:ext xmlns:c16="http://schemas.microsoft.com/office/drawing/2014/chart" uri="{C3380CC4-5D6E-409C-BE32-E72D297353CC}">
              <c16:uniqueId val="{00000004-A342-4B45-8746-DA0C8EE5FBF0}"/>
            </c:ext>
          </c:extLst>
        </c:ser>
        <c:dLbls>
          <c:showLegendKey val="0"/>
          <c:showVal val="0"/>
          <c:showCatName val="0"/>
          <c:showSerName val="0"/>
          <c:showPercent val="0"/>
          <c:showBubbleSize val="0"/>
        </c:dLbls>
        <c:marker val="1"/>
        <c:smooth val="0"/>
        <c:axId val="720895040"/>
        <c:axId val="720891120"/>
      </c:lineChart>
      <c:catAx>
        <c:axId val="720895040"/>
        <c:scaling>
          <c:orientation val="minMax"/>
        </c:scaling>
        <c:delete val="0"/>
        <c:axPos val="b"/>
        <c:numFmt formatCode="General" sourceLinked="1"/>
        <c:majorTickMark val="out"/>
        <c:minorTickMark val="none"/>
        <c:tickLblPos val="nextTo"/>
        <c:txPr>
          <a:bodyPr rot="-5400000" vert="horz"/>
          <a:lstStyle/>
          <a:p>
            <a:pPr>
              <a:defRPr lang="en-ZA" sz="800">
                <a:latin typeface="Arial" pitchFamily="34" charset="0"/>
                <a:cs typeface="Arial" pitchFamily="34" charset="0"/>
              </a:defRPr>
            </a:pPr>
            <a:endParaRPr lang="en-US"/>
          </a:p>
        </c:txPr>
        <c:crossAx val="720891120"/>
        <c:crosses val="autoZero"/>
        <c:auto val="1"/>
        <c:lblAlgn val="ctr"/>
        <c:lblOffset val="100"/>
        <c:noMultiLvlLbl val="0"/>
      </c:catAx>
      <c:valAx>
        <c:axId val="720891120"/>
        <c:scaling>
          <c:orientation val="minMax"/>
        </c:scaling>
        <c:delete val="0"/>
        <c:axPos val="l"/>
        <c:title>
          <c:tx>
            <c:rich>
              <a:bodyPr rot="-5400000" vert="horz"/>
              <a:lstStyle/>
              <a:p>
                <a:pPr>
                  <a:defRPr lang="en-ZA"/>
                </a:pPr>
                <a:r>
                  <a:rPr lang="en-US"/>
                  <a:t>%</a:t>
                </a:r>
              </a:p>
            </c:rich>
          </c:tx>
          <c:overlay val="0"/>
        </c:title>
        <c:numFmt formatCode="General" sourceLinked="1"/>
        <c:majorTickMark val="out"/>
        <c:minorTickMark val="none"/>
        <c:tickLblPos val="nextTo"/>
        <c:txPr>
          <a:bodyPr/>
          <a:lstStyle/>
          <a:p>
            <a:pPr>
              <a:defRPr lang="en-ZA"/>
            </a:pPr>
            <a:endParaRPr lang="en-US"/>
          </a:p>
        </c:txPr>
        <c:crossAx val="720895040"/>
        <c:crosses val="autoZero"/>
        <c:crossBetween val="between"/>
      </c:valAx>
    </c:plotArea>
    <c:legend>
      <c:legendPos val="r"/>
      <c:legendEntry>
        <c:idx val="0"/>
        <c:delete val="1"/>
      </c:legendEntry>
      <c:layout>
        <c:manualLayout>
          <c:xMode val="edge"/>
          <c:yMode val="edge"/>
          <c:x val="0.63023381053458682"/>
          <c:y val="0.38121611236422986"/>
          <c:w val="0.34418673047644732"/>
          <c:h val="0.32182374703212158"/>
        </c:manualLayout>
      </c:layout>
      <c:overlay val="0"/>
      <c:txPr>
        <a:bodyPr/>
        <a:lstStyle/>
        <a:p>
          <a:pPr>
            <a:defRPr lang="en-ZA" sz="800"/>
          </a:pPr>
          <a:endParaRPr lang="en-US"/>
        </a:p>
      </c:txPr>
    </c:legend>
    <c:plotVisOnly val="1"/>
    <c:dispBlanksAs val="gap"/>
    <c:showDLblsOverMax val="0"/>
  </c:chart>
  <c:printSettings>
    <c:headerFooter/>
    <c:pageMargins b="0.75000000000000577" l="0.70000000000000062" r="0.70000000000000062" t="0.75000000000000577"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'[25]SET Uni'!$D$52</c:f>
              <c:strCache>
                <c:ptCount val="1"/>
                <c:pt idx="0">
                  <c:v>Total enrolment</c:v>
                </c:pt>
              </c:strCache>
            </c:strRef>
          </c:tx>
          <c:spPr>
            <a:ln w="12700">
              <a:solidFill>
                <a:srgbClr val="000080"/>
              </a:solidFill>
              <a:prstDash val="solid"/>
            </a:ln>
          </c:spPr>
          <c:marker>
            <c:symbol val="none"/>
          </c:marker>
          <c:cat>
            <c:numRef>
              <c:f>'[25]SET Uni'!$E$51:$K$51</c:f>
              <c:numCache>
                <c:formatCode>General</c:formatCode>
                <c:ptCount val="7"/>
                <c:pt idx="0">
                  <c:v>2000</c:v>
                </c:pt>
                <c:pt idx="1">
                  <c:v>2001</c:v>
                </c:pt>
                <c:pt idx="2">
                  <c:v>2002</c:v>
                </c:pt>
                <c:pt idx="3">
                  <c:v>2003</c:v>
                </c:pt>
                <c:pt idx="4">
                  <c:v>2004</c:v>
                </c:pt>
                <c:pt idx="5">
                  <c:v>2005</c:v>
                </c:pt>
                <c:pt idx="6">
                  <c:v>2006</c:v>
                </c:pt>
              </c:numCache>
            </c:numRef>
          </c:cat>
          <c:val>
            <c:numRef>
              <c:f>'[25]SET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E7A9-4B32-A788-0B035ADA822A}"/>
            </c:ext>
          </c:extLst>
        </c:ser>
        <c:ser>
          <c:idx val="4"/>
          <c:order val="1"/>
          <c:tx>
            <c:strRef>
              <c:f>'[25]SET Uni'!$D$56</c:f>
              <c:strCache>
                <c:ptCount val="1"/>
                <c:pt idx="0">
                  <c:v>Total Graduates</c:v>
                </c:pt>
              </c:strCache>
            </c:strRef>
          </c:tx>
          <c:spPr>
            <a:ln w="12700">
              <a:solidFill>
                <a:srgbClr val="800080"/>
              </a:solidFill>
              <a:prstDash val="solid"/>
            </a:ln>
          </c:spPr>
          <c:marker>
            <c:symbol val="none"/>
          </c:marker>
          <c:cat>
            <c:numRef>
              <c:f>'[25]SET Uni'!$E$51:$K$51</c:f>
              <c:numCache>
                <c:formatCode>General</c:formatCode>
                <c:ptCount val="7"/>
                <c:pt idx="0">
                  <c:v>2000</c:v>
                </c:pt>
                <c:pt idx="1">
                  <c:v>2001</c:v>
                </c:pt>
                <c:pt idx="2">
                  <c:v>2002</c:v>
                </c:pt>
                <c:pt idx="3">
                  <c:v>2003</c:v>
                </c:pt>
                <c:pt idx="4">
                  <c:v>2004</c:v>
                </c:pt>
                <c:pt idx="5">
                  <c:v>2005</c:v>
                </c:pt>
                <c:pt idx="6">
                  <c:v>2006</c:v>
                </c:pt>
              </c:numCache>
            </c:numRef>
          </c:cat>
          <c:val>
            <c:numRef>
              <c:f>'[25]SET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E7A9-4B32-A788-0B035ADA822A}"/>
            </c:ext>
          </c:extLst>
        </c:ser>
        <c:ser>
          <c:idx val="5"/>
          <c:order val="2"/>
          <c:tx>
            <c:strRef>
              <c:f>'[25]SET Uni'!$D$57</c:f>
              <c:strCache>
                <c:ptCount val="1"/>
                <c:pt idx="0">
                  <c:v>SET Graduates</c:v>
                </c:pt>
              </c:strCache>
            </c:strRef>
          </c:tx>
          <c:spPr>
            <a:ln w="12700">
              <a:solidFill>
                <a:srgbClr val="800000"/>
              </a:solidFill>
              <a:prstDash val="solid"/>
            </a:ln>
          </c:spPr>
          <c:marker>
            <c:symbol val="none"/>
          </c:marker>
          <c:cat>
            <c:numRef>
              <c:f>'[25]SET Uni'!$E$51:$K$51</c:f>
              <c:numCache>
                <c:formatCode>General</c:formatCode>
                <c:ptCount val="7"/>
                <c:pt idx="0">
                  <c:v>2000</c:v>
                </c:pt>
                <c:pt idx="1">
                  <c:v>2001</c:v>
                </c:pt>
                <c:pt idx="2">
                  <c:v>2002</c:v>
                </c:pt>
                <c:pt idx="3">
                  <c:v>2003</c:v>
                </c:pt>
                <c:pt idx="4">
                  <c:v>2004</c:v>
                </c:pt>
                <c:pt idx="5">
                  <c:v>2005</c:v>
                </c:pt>
                <c:pt idx="6">
                  <c:v>2006</c:v>
                </c:pt>
              </c:numCache>
            </c:numRef>
          </c:cat>
          <c:val>
            <c:numRef>
              <c:f>'[25]SET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E7A9-4B32-A788-0B035ADA822A}"/>
            </c:ext>
          </c:extLst>
        </c:ser>
        <c:dLbls>
          <c:showLegendKey val="0"/>
          <c:showVal val="0"/>
          <c:showCatName val="0"/>
          <c:showSerName val="0"/>
          <c:showPercent val="0"/>
          <c:showBubbleSize val="0"/>
        </c:dLbls>
        <c:smooth val="0"/>
        <c:axId val="720914640"/>
        <c:axId val="720886808"/>
      </c:lineChart>
      <c:catAx>
        <c:axId val="720914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886808"/>
        <c:crosses val="autoZero"/>
        <c:auto val="1"/>
        <c:lblAlgn val="ctr"/>
        <c:lblOffset val="100"/>
        <c:tickLblSkip val="1"/>
        <c:tickMarkSkip val="1"/>
        <c:noMultiLvlLbl val="0"/>
      </c:catAx>
      <c:valAx>
        <c:axId val="720886808"/>
        <c:scaling>
          <c:orientation val="minMax"/>
        </c:scaling>
        <c:delete val="0"/>
        <c:axPos val="l"/>
        <c:majorGridlines>
          <c:spPr>
            <a:ln w="3175">
              <a:solidFill>
                <a:srgbClr val="000000"/>
              </a:solidFill>
              <a:prstDash val="solid"/>
            </a:ln>
          </c:spPr>
        </c:majorGridlines>
        <c:title>
          <c:tx>
            <c:rich>
              <a:bodyPr/>
              <a:lstStyle/>
              <a:p>
                <a:pPr>
                  <a:defRPr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91464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'[25]SET Uni'!$D$52</c:f>
              <c:strCache>
                <c:ptCount val="1"/>
                <c:pt idx="0">
                  <c:v>Total enrolment</c:v>
                </c:pt>
              </c:strCache>
            </c:strRef>
          </c:tx>
          <c:spPr>
            <a:ln w="12700">
              <a:solidFill>
                <a:srgbClr val="000080"/>
              </a:solidFill>
              <a:prstDash val="solid"/>
            </a:ln>
          </c:spPr>
          <c:marker>
            <c:symbol val="none"/>
          </c:marker>
          <c:cat>
            <c:numRef>
              <c:f>'[25]SET Uni'!$E$51:$K$51</c:f>
              <c:numCache>
                <c:formatCode>General</c:formatCode>
                <c:ptCount val="7"/>
                <c:pt idx="0">
                  <c:v>2000</c:v>
                </c:pt>
                <c:pt idx="1">
                  <c:v>2001</c:v>
                </c:pt>
                <c:pt idx="2">
                  <c:v>2002</c:v>
                </c:pt>
                <c:pt idx="3">
                  <c:v>2003</c:v>
                </c:pt>
                <c:pt idx="4">
                  <c:v>2004</c:v>
                </c:pt>
                <c:pt idx="5">
                  <c:v>2005</c:v>
                </c:pt>
                <c:pt idx="6">
                  <c:v>2006</c:v>
                </c:pt>
              </c:numCache>
            </c:numRef>
          </c:cat>
          <c:val>
            <c:numRef>
              <c:f>'[25]SET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F24E-4E65-82C9-784A45BBF5E9}"/>
            </c:ext>
          </c:extLst>
        </c:ser>
        <c:ser>
          <c:idx val="4"/>
          <c:order val="1"/>
          <c:tx>
            <c:strRef>
              <c:f>'[25]SET Uni'!$D$56</c:f>
              <c:strCache>
                <c:ptCount val="1"/>
                <c:pt idx="0">
                  <c:v>Total Graduates</c:v>
                </c:pt>
              </c:strCache>
            </c:strRef>
          </c:tx>
          <c:spPr>
            <a:ln w="12700">
              <a:solidFill>
                <a:srgbClr val="800080"/>
              </a:solidFill>
              <a:prstDash val="solid"/>
            </a:ln>
          </c:spPr>
          <c:marker>
            <c:symbol val="none"/>
          </c:marker>
          <c:cat>
            <c:numRef>
              <c:f>'[25]SET Uni'!$E$51:$K$51</c:f>
              <c:numCache>
                <c:formatCode>General</c:formatCode>
                <c:ptCount val="7"/>
                <c:pt idx="0">
                  <c:v>2000</c:v>
                </c:pt>
                <c:pt idx="1">
                  <c:v>2001</c:v>
                </c:pt>
                <c:pt idx="2">
                  <c:v>2002</c:v>
                </c:pt>
                <c:pt idx="3">
                  <c:v>2003</c:v>
                </c:pt>
                <c:pt idx="4">
                  <c:v>2004</c:v>
                </c:pt>
                <c:pt idx="5">
                  <c:v>2005</c:v>
                </c:pt>
                <c:pt idx="6">
                  <c:v>2006</c:v>
                </c:pt>
              </c:numCache>
            </c:numRef>
          </c:cat>
          <c:val>
            <c:numRef>
              <c:f>'[25]SET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F24E-4E65-82C9-784A45BBF5E9}"/>
            </c:ext>
          </c:extLst>
        </c:ser>
        <c:ser>
          <c:idx val="5"/>
          <c:order val="2"/>
          <c:tx>
            <c:strRef>
              <c:f>'[25]SET Uni'!$D$57</c:f>
              <c:strCache>
                <c:ptCount val="1"/>
                <c:pt idx="0">
                  <c:v>SET Graduates</c:v>
                </c:pt>
              </c:strCache>
            </c:strRef>
          </c:tx>
          <c:spPr>
            <a:ln w="12700">
              <a:solidFill>
                <a:srgbClr val="800000"/>
              </a:solidFill>
              <a:prstDash val="solid"/>
            </a:ln>
          </c:spPr>
          <c:marker>
            <c:symbol val="none"/>
          </c:marker>
          <c:cat>
            <c:numRef>
              <c:f>'[25]SET Uni'!$E$51:$K$51</c:f>
              <c:numCache>
                <c:formatCode>General</c:formatCode>
                <c:ptCount val="7"/>
                <c:pt idx="0">
                  <c:v>2000</c:v>
                </c:pt>
                <c:pt idx="1">
                  <c:v>2001</c:v>
                </c:pt>
                <c:pt idx="2">
                  <c:v>2002</c:v>
                </c:pt>
                <c:pt idx="3">
                  <c:v>2003</c:v>
                </c:pt>
                <c:pt idx="4">
                  <c:v>2004</c:v>
                </c:pt>
                <c:pt idx="5">
                  <c:v>2005</c:v>
                </c:pt>
                <c:pt idx="6">
                  <c:v>2006</c:v>
                </c:pt>
              </c:numCache>
            </c:numRef>
          </c:cat>
          <c:val>
            <c:numRef>
              <c:f>'[25]SET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F24E-4E65-82C9-784A45BBF5E9}"/>
            </c:ext>
          </c:extLst>
        </c:ser>
        <c:dLbls>
          <c:showLegendKey val="0"/>
          <c:showVal val="0"/>
          <c:showCatName val="0"/>
          <c:showSerName val="0"/>
          <c:showPercent val="0"/>
          <c:showBubbleSize val="0"/>
        </c:dLbls>
        <c:smooth val="0"/>
        <c:axId val="720896608"/>
        <c:axId val="720897000"/>
      </c:lineChart>
      <c:catAx>
        <c:axId val="720896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897000"/>
        <c:crosses val="autoZero"/>
        <c:auto val="1"/>
        <c:lblAlgn val="ctr"/>
        <c:lblOffset val="100"/>
        <c:tickLblSkip val="1"/>
        <c:tickMarkSkip val="1"/>
        <c:noMultiLvlLbl val="0"/>
      </c:catAx>
      <c:valAx>
        <c:axId val="720897000"/>
        <c:scaling>
          <c:orientation val="minMax"/>
        </c:scaling>
        <c:delete val="0"/>
        <c:axPos val="l"/>
        <c:majorGridlines>
          <c:spPr>
            <a:ln w="3175">
              <a:solidFill>
                <a:srgbClr val="000000"/>
              </a:solidFill>
              <a:prstDash val="solid"/>
            </a:ln>
          </c:spPr>
        </c:majorGridlines>
        <c:title>
          <c:tx>
            <c:rich>
              <a:bodyPr/>
              <a:lstStyle/>
              <a:p>
                <a:pPr>
                  <a:defRPr lang="en-ZA"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89660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ZA"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Membership of voluntary organizations</a:t>
            </a:r>
          </a:p>
        </c:rich>
      </c:tx>
      <c:layout>
        <c:manualLayout>
          <c:xMode val="edge"/>
          <c:yMode val="edge"/>
          <c:x val="0.39130458807066393"/>
          <c:y val="1.6778523489933066E-2"/>
        </c:manualLayout>
      </c:layout>
      <c:overlay val="0"/>
      <c:spPr>
        <a:noFill/>
        <a:ln w="25400">
          <a:noFill/>
        </a:ln>
      </c:spPr>
    </c:title>
    <c:autoTitleDeleted val="0"/>
    <c:plotArea>
      <c:layout/>
      <c:barChart>
        <c:barDir val="col"/>
        <c:grouping val="clustered"/>
        <c:varyColors val="0"/>
        <c:ser>
          <c:idx val="0"/>
          <c:order val="0"/>
          <c:tx>
            <c:strRef>
              <c:f>'[27]Civil society'!$C$10</c:f>
              <c:strCache>
                <c:ptCount val="1"/>
                <c:pt idx="0">
                  <c:v>Church or religious</c:v>
                </c:pt>
              </c:strCache>
            </c:strRef>
          </c:tx>
          <c:spPr>
            <a:solidFill>
              <a:srgbClr val="9999FF"/>
            </a:solidFill>
            <a:ln w="12700">
              <a:solidFill>
                <a:srgbClr val="000000"/>
              </a:solidFill>
              <a:prstDash val="solid"/>
            </a:ln>
          </c:spPr>
          <c:invertIfNegative val="0"/>
          <c:cat>
            <c:multiLvlStrRef>
              <c:f>'[27]Civil society'!$D$8:$O$9</c:f>
              <c:multiLvlStrCache>
                <c:ptCount val="12"/>
                <c:lvl>
                  <c:pt idx="0">
                    <c:v>1995</c:v>
                  </c:pt>
                  <c:pt idx="1">
                    <c:v>2001</c:v>
                  </c:pt>
                  <c:pt idx="2">
                    <c:v>2006</c:v>
                  </c:pt>
                  <c:pt idx="3">
                    <c:v>1995</c:v>
                  </c:pt>
                  <c:pt idx="4">
                    <c:v>2001</c:v>
                  </c:pt>
                  <c:pt idx="5">
                    <c:v>2006</c:v>
                  </c:pt>
                  <c:pt idx="6">
                    <c:v>1995</c:v>
                  </c:pt>
                  <c:pt idx="7">
                    <c:v>2001</c:v>
                  </c:pt>
                  <c:pt idx="8">
                    <c:v>2006</c:v>
                  </c:pt>
                  <c:pt idx="9">
                    <c:v>1995</c:v>
                  </c:pt>
                  <c:pt idx="10">
                    <c:v>2001</c:v>
                  </c:pt>
                  <c:pt idx="11">
                    <c:v>2006</c:v>
                  </c:pt>
                </c:lvl>
                <c:lvl>
                  <c:pt idx="0">
                    <c:v>South Africa</c:v>
                  </c:pt>
                  <c:pt idx="3">
                    <c:v>Chile</c:v>
                  </c:pt>
                  <c:pt idx="6">
                    <c:v>Korea</c:v>
                  </c:pt>
                  <c:pt idx="9">
                    <c:v>Poland</c:v>
                  </c:pt>
                </c:lvl>
              </c:multiLvlStrCache>
            </c:multiLvlStrRef>
          </c:cat>
          <c:val>
            <c:numRef>
              <c:f>'[27]Civil society'!$D$10:$O$10</c:f>
              <c:numCache>
                <c:formatCode>General</c:formatCode>
                <c:ptCount val="12"/>
                <c:pt idx="0">
                  <c:v>0.58399999999999996</c:v>
                </c:pt>
                <c:pt idx="1">
                  <c:v>0.52400000000000002</c:v>
                </c:pt>
                <c:pt idx="3">
                  <c:v>0.28100000000000003</c:v>
                </c:pt>
                <c:pt idx="6">
                  <c:v>0.155</c:v>
                </c:pt>
                <c:pt idx="7">
                  <c:v>0.43</c:v>
                </c:pt>
                <c:pt idx="10">
                  <c:v>5.7000000000000002E-2</c:v>
                </c:pt>
              </c:numCache>
            </c:numRef>
          </c:val>
          <c:extLst>
            <c:ext xmlns:c16="http://schemas.microsoft.com/office/drawing/2014/chart" uri="{C3380CC4-5D6E-409C-BE32-E72D297353CC}">
              <c16:uniqueId val="{00000000-1083-4C97-8FB1-D1086A792C9A}"/>
            </c:ext>
          </c:extLst>
        </c:ser>
        <c:ser>
          <c:idx val="1"/>
          <c:order val="1"/>
          <c:tx>
            <c:strRef>
              <c:f>'[27]Civil society'!$C$13</c:f>
              <c:strCache>
                <c:ptCount val="1"/>
                <c:pt idx="0">
                  <c:v>Labour union</c:v>
                </c:pt>
              </c:strCache>
            </c:strRef>
          </c:tx>
          <c:spPr>
            <a:solidFill>
              <a:srgbClr val="993366"/>
            </a:solidFill>
            <a:ln w="12700">
              <a:solidFill>
                <a:srgbClr val="000000"/>
              </a:solidFill>
              <a:prstDash val="solid"/>
            </a:ln>
          </c:spPr>
          <c:invertIfNegative val="0"/>
          <c:cat>
            <c:multiLvlStrRef>
              <c:f>'[27]Civil society'!$D$8:$O$9</c:f>
              <c:multiLvlStrCache>
                <c:ptCount val="12"/>
                <c:lvl>
                  <c:pt idx="0">
                    <c:v>1995</c:v>
                  </c:pt>
                  <c:pt idx="1">
                    <c:v>2001</c:v>
                  </c:pt>
                  <c:pt idx="2">
                    <c:v>2006</c:v>
                  </c:pt>
                  <c:pt idx="3">
                    <c:v>1995</c:v>
                  </c:pt>
                  <c:pt idx="4">
                    <c:v>2001</c:v>
                  </c:pt>
                  <c:pt idx="5">
                    <c:v>2006</c:v>
                  </c:pt>
                  <c:pt idx="6">
                    <c:v>1995</c:v>
                  </c:pt>
                  <c:pt idx="7">
                    <c:v>2001</c:v>
                  </c:pt>
                  <c:pt idx="8">
                    <c:v>2006</c:v>
                  </c:pt>
                  <c:pt idx="9">
                    <c:v>1995</c:v>
                  </c:pt>
                  <c:pt idx="10">
                    <c:v>2001</c:v>
                  </c:pt>
                  <c:pt idx="11">
                    <c:v>2006</c:v>
                  </c:pt>
                </c:lvl>
                <c:lvl>
                  <c:pt idx="0">
                    <c:v>South Africa</c:v>
                  </c:pt>
                  <c:pt idx="3">
                    <c:v>Chile</c:v>
                  </c:pt>
                  <c:pt idx="6">
                    <c:v>Korea</c:v>
                  </c:pt>
                  <c:pt idx="9">
                    <c:v>Poland</c:v>
                  </c:pt>
                </c:lvl>
              </c:multiLvlStrCache>
            </c:multiLvlStrRef>
          </c:cat>
          <c:val>
            <c:numRef>
              <c:f>'[27]Civil society'!$D$13:$O$13</c:f>
              <c:numCache>
                <c:formatCode>General</c:formatCode>
                <c:ptCount val="12"/>
                <c:pt idx="0">
                  <c:v>7.4999999999999997E-2</c:v>
                </c:pt>
                <c:pt idx="1">
                  <c:v>9.2999999999999999E-2</c:v>
                </c:pt>
                <c:pt idx="3">
                  <c:v>5.6000000000000001E-2</c:v>
                </c:pt>
                <c:pt idx="4">
                  <c:v>0.03</c:v>
                </c:pt>
                <c:pt idx="6">
                  <c:v>1.9E-2</c:v>
                </c:pt>
                <c:pt idx="7">
                  <c:v>4.7E-2</c:v>
                </c:pt>
                <c:pt idx="9">
                  <c:v>2.1000000000000001E-2</c:v>
                </c:pt>
                <c:pt idx="10">
                  <c:v>0.10299999999999999</c:v>
                </c:pt>
              </c:numCache>
            </c:numRef>
          </c:val>
          <c:extLst>
            <c:ext xmlns:c16="http://schemas.microsoft.com/office/drawing/2014/chart" uri="{C3380CC4-5D6E-409C-BE32-E72D297353CC}">
              <c16:uniqueId val="{00000001-1083-4C97-8FB1-D1086A792C9A}"/>
            </c:ext>
          </c:extLst>
        </c:ser>
        <c:ser>
          <c:idx val="2"/>
          <c:order val="2"/>
          <c:tx>
            <c:strRef>
              <c:f>'[27]Civil society'!$C$14</c:f>
              <c:strCache>
                <c:ptCount val="1"/>
                <c:pt idx="0">
                  <c:v>Political party </c:v>
                </c:pt>
              </c:strCache>
            </c:strRef>
          </c:tx>
          <c:spPr>
            <a:solidFill>
              <a:srgbClr val="FFFFCC"/>
            </a:solidFill>
            <a:ln w="12700">
              <a:solidFill>
                <a:srgbClr val="000000"/>
              </a:solidFill>
              <a:prstDash val="solid"/>
            </a:ln>
          </c:spPr>
          <c:invertIfNegative val="0"/>
          <c:cat>
            <c:multiLvlStrRef>
              <c:f>'[27]Civil society'!$D$8:$O$9</c:f>
              <c:multiLvlStrCache>
                <c:ptCount val="12"/>
                <c:lvl>
                  <c:pt idx="0">
                    <c:v>1995</c:v>
                  </c:pt>
                  <c:pt idx="1">
                    <c:v>2001</c:v>
                  </c:pt>
                  <c:pt idx="2">
                    <c:v>2006</c:v>
                  </c:pt>
                  <c:pt idx="3">
                    <c:v>1995</c:v>
                  </c:pt>
                  <c:pt idx="4">
                    <c:v>2001</c:v>
                  </c:pt>
                  <c:pt idx="5">
                    <c:v>2006</c:v>
                  </c:pt>
                  <c:pt idx="6">
                    <c:v>1995</c:v>
                  </c:pt>
                  <c:pt idx="7">
                    <c:v>2001</c:v>
                  </c:pt>
                  <c:pt idx="8">
                    <c:v>2006</c:v>
                  </c:pt>
                  <c:pt idx="9">
                    <c:v>1995</c:v>
                  </c:pt>
                  <c:pt idx="10">
                    <c:v>2001</c:v>
                  </c:pt>
                  <c:pt idx="11">
                    <c:v>2006</c:v>
                  </c:pt>
                </c:lvl>
                <c:lvl>
                  <c:pt idx="0">
                    <c:v>South Africa</c:v>
                  </c:pt>
                  <c:pt idx="3">
                    <c:v>Chile</c:v>
                  </c:pt>
                  <c:pt idx="6">
                    <c:v>Korea</c:v>
                  </c:pt>
                  <c:pt idx="9">
                    <c:v>Poland</c:v>
                  </c:pt>
                </c:lvl>
              </c:multiLvlStrCache>
            </c:multiLvlStrRef>
          </c:cat>
          <c:val>
            <c:numRef>
              <c:f>'[27]Civil society'!$D$14:$O$14</c:f>
              <c:numCache>
                <c:formatCode>General</c:formatCode>
                <c:ptCount val="12"/>
                <c:pt idx="0">
                  <c:v>0.114</c:v>
                </c:pt>
                <c:pt idx="1">
                  <c:v>0.115</c:v>
                </c:pt>
                <c:pt idx="3">
                  <c:v>2.8000000000000001E-2</c:v>
                </c:pt>
                <c:pt idx="4">
                  <c:v>2.4E-2</c:v>
                </c:pt>
                <c:pt idx="6">
                  <c:v>2.5000000000000001E-2</c:v>
                </c:pt>
                <c:pt idx="7">
                  <c:v>0.02</c:v>
                </c:pt>
                <c:pt idx="9">
                  <c:v>5.0000000000000001E-3</c:v>
                </c:pt>
                <c:pt idx="10">
                  <c:v>7.0000000000000001E-3</c:v>
                </c:pt>
              </c:numCache>
            </c:numRef>
          </c:val>
          <c:extLst>
            <c:ext xmlns:c16="http://schemas.microsoft.com/office/drawing/2014/chart" uri="{C3380CC4-5D6E-409C-BE32-E72D297353CC}">
              <c16:uniqueId val="{00000002-1083-4C97-8FB1-D1086A792C9A}"/>
            </c:ext>
          </c:extLst>
        </c:ser>
        <c:dLbls>
          <c:showLegendKey val="0"/>
          <c:showVal val="0"/>
          <c:showCatName val="0"/>
          <c:showSerName val="0"/>
          <c:showPercent val="0"/>
          <c:showBubbleSize val="0"/>
        </c:dLbls>
        <c:gapWidth val="150"/>
        <c:axId val="714545840"/>
        <c:axId val="714546232"/>
      </c:barChart>
      <c:catAx>
        <c:axId val="714545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46232"/>
        <c:crosses val="autoZero"/>
        <c:auto val="1"/>
        <c:lblAlgn val="ctr"/>
        <c:lblOffset val="100"/>
        <c:tickLblSkip val="1"/>
        <c:tickMarkSkip val="1"/>
        <c:noMultiLvlLbl val="0"/>
      </c:catAx>
      <c:valAx>
        <c:axId val="714546232"/>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2.2883295194508012E-2"/>
              <c:y val="0.40604097306628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45840"/>
        <c:crosses val="autoZero"/>
        <c:crossBetween val="between"/>
        <c:majorUnit val="0.2"/>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horizontalDpi="-4"/>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ZA"/>
              <a:t>SA MEMBERSHIP OF VOLUNTARY ORGANISATIONS</a:t>
            </a:r>
          </a:p>
        </c:rich>
      </c:tx>
      <c:layout>
        <c:manualLayout>
          <c:xMode val="edge"/>
          <c:yMode val="edge"/>
          <c:x val="3.9867109634551492E-2"/>
          <c:y val="1.6835016835016835E-2"/>
        </c:manualLayout>
      </c:layout>
      <c:overlay val="0"/>
      <c:spPr>
        <a:noFill/>
        <a:ln w="25400">
          <a:noFill/>
        </a:ln>
      </c:spPr>
    </c:title>
    <c:autoTitleDeleted val="0"/>
    <c:plotArea>
      <c:layout>
        <c:manualLayout>
          <c:layoutTarget val="inner"/>
          <c:xMode val="edge"/>
          <c:yMode val="edge"/>
          <c:x val="6.7552675492148134E-2"/>
          <c:y val="0.191919822968694"/>
          <c:w val="0.92358903869592535"/>
          <c:h val="0.55219036783975117"/>
        </c:manualLayout>
      </c:layout>
      <c:barChart>
        <c:barDir val="col"/>
        <c:grouping val="clustered"/>
        <c:varyColors val="0"/>
        <c:ser>
          <c:idx val="0"/>
          <c:order val="0"/>
          <c:tx>
            <c:strRef>
              <c:f>'Civil Society'!$E$9</c:f>
              <c:strCache>
                <c:ptCount val="1"/>
                <c:pt idx="0">
                  <c:v>1994-1998</c:v>
                </c:pt>
              </c:strCache>
            </c:strRef>
          </c:tx>
          <c:spPr>
            <a:solidFill>
              <a:srgbClr val="FCD5B5"/>
            </a:solidFill>
            <a:ln w="12700">
              <a:noFill/>
              <a:prstDash val="solid"/>
            </a:ln>
          </c:spPr>
          <c:invertIfNegative val="0"/>
          <c:cat>
            <c:strRef>
              <c:f>'Civil Society'!$D$10:$D$18</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Society'!$E$10:$E$18</c:f>
              <c:numCache>
                <c:formatCode>0.0%</c:formatCode>
                <c:ptCount val="9"/>
                <c:pt idx="0">
                  <c:v>0.57999999999999996</c:v>
                </c:pt>
                <c:pt idx="1">
                  <c:v>0.2</c:v>
                </c:pt>
                <c:pt idx="2">
                  <c:v>0.15</c:v>
                </c:pt>
                <c:pt idx="3">
                  <c:v>0.08</c:v>
                </c:pt>
                <c:pt idx="4">
                  <c:v>0.12</c:v>
                </c:pt>
                <c:pt idx="5">
                  <c:v>7.0000000000000007E-2</c:v>
                </c:pt>
                <c:pt idx="6">
                  <c:v>7.0000000000000007E-2</c:v>
                </c:pt>
                <c:pt idx="7">
                  <c:v>0.08</c:v>
                </c:pt>
                <c:pt idx="8">
                  <c:v>0.06</c:v>
                </c:pt>
              </c:numCache>
            </c:numRef>
          </c:val>
          <c:extLst>
            <c:ext xmlns:c16="http://schemas.microsoft.com/office/drawing/2014/chart" uri="{C3380CC4-5D6E-409C-BE32-E72D297353CC}">
              <c16:uniqueId val="{00000000-EC65-44E7-9DB9-01ACF6DA5788}"/>
            </c:ext>
          </c:extLst>
        </c:ser>
        <c:ser>
          <c:idx val="1"/>
          <c:order val="1"/>
          <c:tx>
            <c:strRef>
              <c:f>'Civil Society'!$F$9</c:f>
              <c:strCache>
                <c:ptCount val="1"/>
                <c:pt idx="0">
                  <c:v>2005-2009</c:v>
                </c:pt>
              </c:strCache>
            </c:strRef>
          </c:tx>
          <c:spPr>
            <a:solidFill>
              <a:srgbClr val="F8A662"/>
            </a:solidFill>
            <a:ln w="12700">
              <a:noFill/>
              <a:prstDash val="solid"/>
            </a:ln>
          </c:spPr>
          <c:invertIfNegative val="0"/>
          <c:cat>
            <c:strRef>
              <c:f>'Civil Society'!$D$10:$D$18</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Society'!$F$10:$F$18</c:f>
              <c:numCache>
                <c:formatCode>0.0%</c:formatCode>
                <c:ptCount val="9"/>
                <c:pt idx="0">
                  <c:v>0.51</c:v>
                </c:pt>
                <c:pt idx="1">
                  <c:v>0.14000000000000001</c:v>
                </c:pt>
                <c:pt idx="2">
                  <c:v>0.11</c:v>
                </c:pt>
                <c:pt idx="3">
                  <c:v>0.05</c:v>
                </c:pt>
                <c:pt idx="4">
                  <c:v>0.17</c:v>
                </c:pt>
                <c:pt idx="5">
                  <c:v>0.04</c:v>
                </c:pt>
                <c:pt idx="6">
                  <c:v>0.04</c:v>
                </c:pt>
                <c:pt idx="7">
                  <c:v>0.05</c:v>
                </c:pt>
                <c:pt idx="8">
                  <c:v>0</c:v>
                </c:pt>
              </c:numCache>
            </c:numRef>
          </c:val>
          <c:extLst>
            <c:ext xmlns:c16="http://schemas.microsoft.com/office/drawing/2014/chart" uri="{C3380CC4-5D6E-409C-BE32-E72D297353CC}">
              <c16:uniqueId val="{00000001-EC65-44E7-9DB9-01ACF6DA5788}"/>
            </c:ext>
          </c:extLst>
        </c:ser>
        <c:ser>
          <c:idx val="2"/>
          <c:order val="2"/>
          <c:tx>
            <c:strRef>
              <c:f>'Civil Society'!$G$9</c:f>
              <c:strCache>
                <c:ptCount val="1"/>
                <c:pt idx="0">
                  <c:v>2010-2014</c:v>
                </c:pt>
              </c:strCache>
            </c:strRef>
          </c:tx>
          <c:spPr>
            <a:solidFill>
              <a:srgbClr val="E46C0A"/>
            </a:solidFill>
          </c:spPr>
          <c:invertIfNegative val="0"/>
          <c:cat>
            <c:strRef>
              <c:f>'Civil Society'!$D$10:$D$18</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Society'!$G$10:$G$18</c:f>
              <c:numCache>
                <c:formatCode>0.0%</c:formatCode>
                <c:ptCount val="9"/>
                <c:pt idx="0">
                  <c:v>0.56000000000000005</c:v>
                </c:pt>
                <c:pt idx="1">
                  <c:v>0.16</c:v>
                </c:pt>
                <c:pt idx="2">
                  <c:v>0.1</c:v>
                </c:pt>
                <c:pt idx="3">
                  <c:v>0.09</c:v>
                </c:pt>
                <c:pt idx="4">
                  <c:v>0.12</c:v>
                </c:pt>
                <c:pt idx="5">
                  <c:v>7.0000000000000007E-2</c:v>
                </c:pt>
                <c:pt idx="6">
                  <c:v>7.0000000000000007E-2</c:v>
                </c:pt>
                <c:pt idx="7">
                  <c:v>0.06</c:v>
                </c:pt>
                <c:pt idx="8">
                  <c:v>7.0000000000000007E-2</c:v>
                </c:pt>
              </c:numCache>
            </c:numRef>
          </c:val>
          <c:extLst>
            <c:ext xmlns:c16="http://schemas.microsoft.com/office/drawing/2014/chart" uri="{C3380CC4-5D6E-409C-BE32-E72D297353CC}">
              <c16:uniqueId val="{00000002-EC65-44E7-9DB9-01ACF6DA5788}"/>
            </c:ext>
          </c:extLst>
        </c:ser>
        <c:ser>
          <c:idx val="3"/>
          <c:order val="3"/>
          <c:tx>
            <c:strRef>
              <c:f>'Civil Society'!$H$9</c:f>
              <c:strCache>
                <c:ptCount val="1"/>
                <c:pt idx="0">
                  <c:v>Total</c:v>
                </c:pt>
              </c:strCache>
            </c:strRef>
          </c:tx>
          <c:spPr>
            <a:solidFill>
              <a:srgbClr val="984807"/>
            </a:solidFill>
          </c:spPr>
          <c:invertIfNegative val="0"/>
          <c:cat>
            <c:strRef>
              <c:f>'Civil Society'!$D$10:$D$18</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Society'!$H$10:$H$18</c:f>
              <c:numCache>
                <c:formatCode>0.0%</c:formatCode>
                <c:ptCount val="9"/>
                <c:pt idx="0">
                  <c:v>0.5</c:v>
                </c:pt>
                <c:pt idx="1">
                  <c:v>0.16</c:v>
                </c:pt>
                <c:pt idx="2">
                  <c:v>0.11</c:v>
                </c:pt>
                <c:pt idx="3">
                  <c:v>0.06</c:v>
                </c:pt>
                <c:pt idx="4">
                  <c:v>0.09</c:v>
                </c:pt>
                <c:pt idx="5">
                  <c:v>0.05</c:v>
                </c:pt>
                <c:pt idx="6">
                  <c:v>0.06</c:v>
                </c:pt>
                <c:pt idx="7">
                  <c:v>7.0000000000000007E-2</c:v>
                </c:pt>
                <c:pt idx="8">
                  <c:v>0.05</c:v>
                </c:pt>
              </c:numCache>
            </c:numRef>
          </c:val>
          <c:extLst>
            <c:ext xmlns:c16="http://schemas.microsoft.com/office/drawing/2014/chart" uri="{C3380CC4-5D6E-409C-BE32-E72D297353CC}">
              <c16:uniqueId val="{00000003-EC65-44E7-9DB9-01ACF6DA5788}"/>
            </c:ext>
          </c:extLst>
        </c:ser>
        <c:dLbls>
          <c:showLegendKey val="0"/>
          <c:showVal val="0"/>
          <c:showCatName val="0"/>
          <c:showSerName val="0"/>
          <c:showPercent val="0"/>
          <c:showBubbleSize val="0"/>
        </c:dLbls>
        <c:gapWidth val="150"/>
        <c:axId val="714548192"/>
        <c:axId val="714553680"/>
      </c:barChart>
      <c:catAx>
        <c:axId val="714548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3680"/>
        <c:crosses val="autoZero"/>
        <c:auto val="1"/>
        <c:lblAlgn val="ctr"/>
        <c:lblOffset val="100"/>
        <c:tickLblSkip val="1"/>
        <c:tickMarkSkip val="1"/>
        <c:noMultiLvlLbl val="0"/>
      </c:catAx>
      <c:valAx>
        <c:axId val="714553680"/>
        <c:scaling>
          <c:orientation val="minMax"/>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1.6611295681063183E-2"/>
              <c:y val="0.4478128617761193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48192"/>
        <c:crosses val="autoZero"/>
        <c:crossBetween val="between"/>
      </c:valAx>
      <c:spPr>
        <a:solidFill>
          <a:srgbClr val="FFFFFF"/>
        </a:solidFill>
        <a:ln w="3175">
          <a:solidFill>
            <a:srgbClr val="000000"/>
          </a:solidFill>
          <a:prstDash val="solid"/>
        </a:ln>
      </c:spPr>
    </c:plotArea>
    <c:legend>
      <c:legendPos val="b"/>
      <c:layout>
        <c:manualLayout>
          <c:xMode val="edge"/>
          <c:yMode val="edge"/>
          <c:x val="0.38107257869362077"/>
          <c:y val="0.91538488711791244"/>
          <c:w val="0.29152543396135289"/>
          <c:h val="5.7697212478319077E-2"/>
        </c:manualLayout>
      </c:layout>
      <c:overlay val="1"/>
      <c:spPr>
        <a:solidFill>
          <a:srgbClr val="FFFFFF"/>
        </a:solidFill>
        <a:ln w="25400">
          <a:noFill/>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452768286047"/>
          <c:y val="4.8401137357830505E-2"/>
          <c:w val="0.87248845515772788"/>
          <c:h val="0.69570902595508965"/>
        </c:manualLayout>
      </c:layout>
      <c:barChart>
        <c:barDir val="col"/>
        <c:grouping val="clustered"/>
        <c:varyColors val="0"/>
        <c:ser>
          <c:idx val="0"/>
          <c:order val="0"/>
          <c:spPr>
            <a:solidFill>
              <a:srgbClr val="FF6600"/>
            </a:solidFill>
            <a:ln w="12700">
              <a:noFill/>
              <a:prstDash val="solid"/>
            </a:ln>
          </c:spPr>
          <c:invertIfNegative val="0"/>
          <c:val>
            <c:numRef>
              <c:f>'Civil Society'!#REF!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'Civil Society'!#REF!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'Civil Society'!#REF!</c15:sqref>
                        </c15:formulaRef>
                      </c:ext>
                    </c:extLst>
                  </c:multiLvlStrRef>
                </c15:cat>
              </c15:filteredCategoryTitle>
            </c:ext>
            <c:ext xmlns:c16="http://schemas.microsoft.com/office/drawing/2014/chart" uri="{C3380CC4-5D6E-409C-BE32-E72D297353CC}">
              <c16:uniqueId val="{00000000-0432-497E-8DFA-6C3CE34392A1}"/>
            </c:ext>
          </c:extLst>
        </c:ser>
        <c:ser>
          <c:idx val="1"/>
          <c:order val="1"/>
          <c:spPr>
            <a:solidFill>
              <a:srgbClr val="993300"/>
            </a:solidFill>
            <a:ln w="12700">
              <a:noFill/>
              <a:prstDash val="solid"/>
            </a:ln>
          </c:spPr>
          <c:invertIfNegative val="0"/>
          <c:val>
            <c:numRef>
              <c:f>'Civil Society'!#REF!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'Civil Society'!#REF!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'Civil Society'!#REF!</c15:sqref>
                        </c15:formulaRef>
                      </c:ext>
                    </c:extLst>
                  </c:multiLvlStrRef>
                </c15:cat>
              </c15:filteredCategoryTitle>
            </c:ext>
            <c:ext xmlns:c16="http://schemas.microsoft.com/office/drawing/2014/chart" uri="{C3380CC4-5D6E-409C-BE32-E72D297353CC}">
              <c16:uniqueId val="{00000001-0432-497E-8DFA-6C3CE34392A1}"/>
            </c:ext>
          </c:extLst>
        </c:ser>
        <c:ser>
          <c:idx val="2"/>
          <c:order val="2"/>
          <c:spPr>
            <a:solidFill>
              <a:srgbClr val="FFCC00"/>
            </a:solidFill>
            <a:ln w="12700">
              <a:noFill/>
              <a:prstDash val="solid"/>
            </a:ln>
          </c:spPr>
          <c:invertIfNegative val="0"/>
          <c:val>
            <c:numRef>
              <c:f>'Civil Society'!#REF!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'Civil Society'!#REF!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'Civil Society'!#REF!</c15:sqref>
                        </c15:formulaRef>
                      </c:ext>
                    </c:extLst>
                  </c:multiLvlStrRef>
                </c15:cat>
              </c15:filteredCategoryTitle>
            </c:ext>
            <c:ext xmlns:c16="http://schemas.microsoft.com/office/drawing/2014/chart" uri="{C3380CC4-5D6E-409C-BE32-E72D297353CC}">
              <c16:uniqueId val="{00000002-0432-497E-8DFA-6C3CE34392A1}"/>
            </c:ext>
          </c:extLst>
        </c:ser>
        <c:dLbls>
          <c:showLegendKey val="0"/>
          <c:showVal val="0"/>
          <c:showCatName val="0"/>
          <c:showSerName val="0"/>
          <c:showPercent val="0"/>
          <c:showBubbleSize val="0"/>
        </c:dLbls>
        <c:gapWidth val="150"/>
        <c:axId val="714552504"/>
        <c:axId val="714550936"/>
      </c:barChart>
      <c:catAx>
        <c:axId val="714552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14550936"/>
        <c:crosses val="autoZero"/>
        <c:auto val="1"/>
        <c:lblAlgn val="ctr"/>
        <c:lblOffset val="100"/>
        <c:tickLblSkip val="1"/>
        <c:tickMarkSkip val="1"/>
        <c:noMultiLvlLbl val="0"/>
      </c:catAx>
      <c:valAx>
        <c:axId val="714550936"/>
        <c:scaling>
          <c:orientation val="minMax"/>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1.6611295681063183E-2"/>
              <c:y val="0.4478128617761194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714552504"/>
        <c:crosses val="autoZero"/>
        <c:crossBetween val="between"/>
      </c:valAx>
      <c:spPr>
        <a:solidFill>
          <a:srgbClr val="FFFFFF"/>
        </a:solidFill>
        <a:ln w="3175">
          <a:solidFill>
            <a:srgbClr val="000000"/>
          </a:solidFill>
          <a:prstDash val="solid"/>
        </a:ln>
      </c:spPr>
    </c:plotArea>
    <c:legend>
      <c:legendPos val="r"/>
      <c:layout>
        <c:manualLayout>
          <c:xMode val="edge"/>
          <c:yMode val="edge"/>
          <c:x val="0.31174464977386712"/>
          <c:y val="0.86786490230388413"/>
          <c:w val="0.34211252042787132"/>
          <c:h val="0.13213509769612194"/>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566" r="0.75000000000000566" t="1" header="0.5" footer="0.5"/>
    <c:pageSetup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CONFIDENT IN A HAPPY FUTURE OF ALL RACES</a:t>
            </a:r>
          </a:p>
        </c:rich>
      </c:tx>
      <c:layout>
        <c:manualLayout>
          <c:xMode val="edge"/>
          <c:yMode val="edge"/>
          <c:x val="5.2740422504759965E-2"/>
          <c:y val="3.7931034482759036E-2"/>
        </c:manualLayout>
      </c:layout>
      <c:overlay val="0"/>
      <c:spPr>
        <a:noFill/>
        <a:ln w="25400">
          <a:noFill/>
        </a:ln>
      </c:spPr>
    </c:title>
    <c:autoTitleDeleted val="0"/>
    <c:plotArea>
      <c:layout>
        <c:manualLayout>
          <c:layoutTarget val="inner"/>
          <c:xMode val="edge"/>
          <c:yMode val="edge"/>
          <c:x val="7.1062283772300713E-2"/>
          <c:y val="0.22686666365437116"/>
          <c:w val="0.92380968903990823"/>
          <c:h val="0.54627104537828863"/>
        </c:manualLayout>
      </c:layout>
      <c:lineChart>
        <c:grouping val="standard"/>
        <c:varyColors val="0"/>
        <c:ser>
          <c:idx val="0"/>
          <c:order val="0"/>
          <c:tx>
            <c:strRef>
              <c:f>'Confident in happy future'!$D$10</c:f>
              <c:strCache>
                <c:ptCount val="1"/>
                <c:pt idx="0">
                  <c:v>Confident in a happy future for all races</c:v>
                </c:pt>
              </c:strCache>
            </c:strRef>
          </c:tx>
          <c:spPr>
            <a:ln w="25400">
              <a:solidFill>
                <a:srgbClr val="FF6600"/>
              </a:solidFill>
              <a:prstDash val="solid"/>
            </a:ln>
          </c:spPr>
          <c:marker>
            <c:symbol val="none"/>
          </c:marker>
          <c:cat>
            <c:multiLvlStrRef>
              <c:f>'Confident in happy future'!$E$8:$AJ$9</c:f>
              <c:multiLvlStrCache>
                <c:ptCount val="32"/>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c:v>
                  </c:pt>
                  <c:pt idx="20">
                    <c:v>May</c:v>
                  </c:pt>
                  <c:pt idx="21">
                    <c:v>Nov</c:v>
                  </c:pt>
                  <c:pt idx="22">
                    <c:v>May</c:v>
                  </c:pt>
                  <c:pt idx="23">
                    <c:v>Nov</c:v>
                  </c:pt>
                  <c:pt idx="24">
                    <c:v>May</c:v>
                  </c:pt>
                  <c:pt idx="25">
                    <c:v>Nov</c:v>
                  </c:pt>
                  <c:pt idx="26">
                    <c:v>May</c:v>
                  </c:pt>
                  <c:pt idx="27">
                    <c:v>Nov</c:v>
                  </c:pt>
                  <c:pt idx="28">
                    <c:v>May</c:v>
                  </c:pt>
                  <c:pt idx="29">
                    <c:v>Nov</c:v>
                  </c:pt>
                  <c:pt idx="30">
                    <c:v>May</c:v>
                  </c:pt>
                  <c:pt idx="31">
                    <c:v>Nov</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lvl>
              </c:multiLvlStrCache>
            </c:multiLvlStrRef>
          </c:cat>
          <c:val>
            <c:numRef>
              <c:f>'Confident in happy future'!$E$10:$AJ$10</c:f>
              <c:numCache>
                <c:formatCode>General</c:formatCode>
                <c:ptCount val="32"/>
                <c:pt idx="0">
                  <c:v>74</c:v>
                </c:pt>
                <c:pt idx="1">
                  <c:v>69</c:v>
                </c:pt>
                <c:pt idx="2">
                  <c:v>69</c:v>
                </c:pt>
                <c:pt idx="3">
                  <c:v>71</c:v>
                </c:pt>
                <c:pt idx="4">
                  <c:v>70</c:v>
                </c:pt>
                <c:pt idx="5">
                  <c:v>72</c:v>
                </c:pt>
                <c:pt idx="6" formatCode="0">
                  <c:v>75.099999999999994</c:v>
                </c:pt>
                <c:pt idx="7" formatCode="0">
                  <c:v>77.5</c:v>
                </c:pt>
                <c:pt idx="8" formatCode="0">
                  <c:v>85.6</c:v>
                </c:pt>
                <c:pt idx="9" formatCode="0">
                  <c:v>85</c:v>
                </c:pt>
                <c:pt idx="10" formatCode="0">
                  <c:v>85.7</c:v>
                </c:pt>
                <c:pt idx="11" formatCode="0">
                  <c:v>84.2</c:v>
                </c:pt>
                <c:pt idx="12" formatCode="0">
                  <c:v>83.8</c:v>
                </c:pt>
                <c:pt idx="13" formatCode="0">
                  <c:v>79.8</c:v>
                </c:pt>
                <c:pt idx="14" formatCode="0">
                  <c:v>77.8</c:v>
                </c:pt>
                <c:pt idx="15" formatCode="0">
                  <c:v>76.599999999999994</c:v>
                </c:pt>
                <c:pt idx="16" formatCode="0">
                  <c:v>62</c:v>
                </c:pt>
                <c:pt idx="17" formatCode="0">
                  <c:v>60.1</c:v>
                </c:pt>
                <c:pt idx="18" formatCode="0">
                  <c:v>61.7</c:v>
                </c:pt>
                <c:pt idx="19" formatCode="0">
                  <c:v>66</c:v>
                </c:pt>
                <c:pt idx="20" formatCode="0">
                  <c:v>67</c:v>
                </c:pt>
                <c:pt idx="21" formatCode="0">
                  <c:v>66</c:v>
                </c:pt>
                <c:pt idx="22" formatCode="0">
                  <c:v>65</c:v>
                </c:pt>
                <c:pt idx="23" formatCode="0">
                  <c:v>62</c:v>
                </c:pt>
                <c:pt idx="24" formatCode="0">
                  <c:v>63.1</c:v>
                </c:pt>
                <c:pt idx="25" formatCode="0">
                  <c:v>53.3</c:v>
                </c:pt>
                <c:pt idx="26" formatCode="0">
                  <c:v>57</c:v>
                </c:pt>
                <c:pt idx="27" formatCode="0">
                  <c:v>53</c:v>
                </c:pt>
                <c:pt idx="28" formatCode="0">
                  <c:v>66</c:v>
                </c:pt>
                <c:pt idx="29" formatCode="0">
                  <c:v>67</c:v>
                </c:pt>
                <c:pt idx="30" formatCode="0">
                  <c:v>66</c:v>
                </c:pt>
                <c:pt idx="31" formatCode="0">
                  <c:v>68</c:v>
                </c:pt>
              </c:numCache>
            </c:numRef>
          </c:val>
          <c:smooth val="0"/>
          <c:extLst>
            <c:ext xmlns:c16="http://schemas.microsoft.com/office/drawing/2014/chart" uri="{C3380CC4-5D6E-409C-BE32-E72D297353CC}">
              <c16:uniqueId val="{00000000-2F51-4ACA-B286-DB2606371318}"/>
            </c:ext>
          </c:extLst>
        </c:ser>
        <c:dLbls>
          <c:showLegendKey val="0"/>
          <c:showVal val="0"/>
          <c:showCatName val="0"/>
          <c:showSerName val="0"/>
          <c:showPercent val="0"/>
          <c:showBubbleSize val="0"/>
        </c:dLbls>
        <c:smooth val="0"/>
        <c:axId val="714548584"/>
        <c:axId val="714551328"/>
      </c:lineChart>
      <c:catAx>
        <c:axId val="714548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1328"/>
        <c:crosses val="autoZero"/>
        <c:auto val="1"/>
        <c:lblAlgn val="ctr"/>
        <c:lblOffset val="100"/>
        <c:tickLblSkip val="1"/>
        <c:tickMarkSkip val="1"/>
        <c:noMultiLvlLbl val="0"/>
      </c:catAx>
      <c:valAx>
        <c:axId val="714551328"/>
        <c:scaling>
          <c:orientation val="minMax"/>
          <c:max val="90"/>
          <c:min val="4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3.1023761533794152E-2"/>
              <c:y val="0.46206896551724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4858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11852132941216E-2"/>
          <c:y val="7.980803870104472E-2"/>
          <c:w val="0.89853729880150524"/>
          <c:h val="0.6933298166160603"/>
        </c:manualLayout>
      </c:layout>
      <c:lineChart>
        <c:grouping val="standard"/>
        <c:varyColors val="0"/>
        <c:ser>
          <c:idx val="0"/>
          <c:order val="0"/>
          <c:tx>
            <c:strRef>
              <c:f>'Confident in happy future'!$D$10</c:f>
              <c:strCache>
                <c:ptCount val="1"/>
                <c:pt idx="0">
                  <c:v>Confident in a happy future for all races</c:v>
                </c:pt>
              </c:strCache>
            </c:strRef>
          </c:tx>
          <c:spPr>
            <a:ln w="12700">
              <a:solidFill>
                <a:srgbClr val="FF6600"/>
              </a:solidFill>
              <a:prstDash val="solid"/>
            </a:ln>
          </c:spPr>
          <c:marker>
            <c:symbol val="none"/>
          </c:marker>
          <c:cat>
            <c:multiLvlStrRef>
              <c:f>'Confident in happy future'!$E$8:$AJ$9</c:f>
              <c:multiLvlStrCache>
                <c:ptCount val="32"/>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c:v>
                  </c:pt>
                  <c:pt idx="20">
                    <c:v>May</c:v>
                  </c:pt>
                  <c:pt idx="21">
                    <c:v>Nov</c:v>
                  </c:pt>
                  <c:pt idx="22">
                    <c:v>May</c:v>
                  </c:pt>
                  <c:pt idx="23">
                    <c:v>Nov</c:v>
                  </c:pt>
                  <c:pt idx="24">
                    <c:v>May</c:v>
                  </c:pt>
                  <c:pt idx="25">
                    <c:v>Nov</c:v>
                  </c:pt>
                  <c:pt idx="26">
                    <c:v>May</c:v>
                  </c:pt>
                  <c:pt idx="27">
                    <c:v>Nov</c:v>
                  </c:pt>
                  <c:pt idx="28">
                    <c:v>May</c:v>
                  </c:pt>
                  <c:pt idx="29">
                    <c:v>Nov</c:v>
                  </c:pt>
                  <c:pt idx="30">
                    <c:v>May</c:v>
                  </c:pt>
                  <c:pt idx="31">
                    <c:v>Nov</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lvl>
              </c:multiLvlStrCache>
            </c:multiLvlStrRef>
          </c:cat>
          <c:val>
            <c:numRef>
              <c:f>'Confident in happy future'!$E$10:$AJ$10</c:f>
              <c:numCache>
                <c:formatCode>General</c:formatCode>
                <c:ptCount val="32"/>
                <c:pt idx="0">
                  <c:v>74</c:v>
                </c:pt>
                <c:pt idx="1">
                  <c:v>69</c:v>
                </c:pt>
                <c:pt idx="2">
                  <c:v>69</c:v>
                </c:pt>
                <c:pt idx="3">
                  <c:v>71</c:v>
                </c:pt>
                <c:pt idx="4">
                  <c:v>70</c:v>
                </c:pt>
                <c:pt idx="5">
                  <c:v>72</c:v>
                </c:pt>
                <c:pt idx="6" formatCode="0">
                  <c:v>75.099999999999994</c:v>
                </c:pt>
                <c:pt idx="7" formatCode="0">
                  <c:v>77.5</c:v>
                </c:pt>
                <c:pt idx="8" formatCode="0">
                  <c:v>85.6</c:v>
                </c:pt>
                <c:pt idx="9" formatCode="0">
                  <c:v>85</c:v>
                </c:pt>
                <c:pt idx="10" formatCode="0">
                  <c:v>85.7</c:v>
                </c:pt>
                <c:pt idx="11" formatCode="0">
                  <c:v>84.2</c:v>
                </c:pt>
                <c:pt idx="12" formatCode="0">
                  <c:v>83.8</c:v>
                </c:pt>
                <c:pt idx="13" formatCode="0">
                  <c:v>79.8</c:v>
                </c:pt>
                <c:pt idx="14" formatCode="0">
                  <c:v>77.8</c:v>
                </c:pt>
                <c:pt idx="15" formatCode="0">
                  <c:v>76.599999999999994</c:v>
                </c:pt>
                <c:pt idx="16" formatCode="0">
                  <c:v>62</c:v>
                </c:pt>
                <c:pt idx="17" formatCode="0">
                  <c:v>60.1</c:v>
                </c:pt>
                <c:pt idx="18" formatCode="0">
                  <c:v>61.7</c:v>
                </c:pt>
                <c:pt idx="19" formatCode="0">
                  <c:v>66</c:v>
                </c:pt>
                <c:pt idx="20" formatCode="0">
                  <c:v>67</c:v>
                </c:pt>
                <c:pt idx="21" formatCode="0">
                  <c:v>66</c:v>
                </c:pt>
                <c:pt idx="22" formatCode="0">
                  <c:v>65</c:v>
                </c:pt>
                <c:pt idx="23" formatCode="0">
                  <c:v>62</c:v>
                </c:pt>
                <c:pt idx="24" formatCode="0">
                  <c:v>63.1</c:v>
                </c:pt>
                <c:pt idx="25" formatCode="0">
                  <c:v>53.3</c:v>
                </c:pt>
                <c:pt idx="26" formatCode="0">
                  <c:v>57</c:v>
                </c:pt>
                <c:pt idx="27" formatCode="0">
                  <c:v>53</c:v>
                </c:pt>
                <c:pt idx="28" formatCode="0">
                  <c:v>66</c:v>
                </c:pt>
                <c:pt idx="29" formatCode="0">
                  <c:v>67</c:v>
                </c:pt>
                <c:pt idx="30" formatCode="0">
                  <c:v>66</c:v>
                </c:pt>
                <c:pt idx="31" formatCode="0">
                  <c:v>68</c:v>
                </c:pt>
              </c:numCache>
            </c:numRef>
          </c:val>
          <c:smooth val="0"/>
          <c:extLst>
            <c:ext xmlns:c16="http://schemas.microsoft.com/office/drawing/2014/chart" uri="{C3380CC4-5D6E-409C-BE32-E72D297353CC}">
              <c16:uniqueId val="{00000000-AB9C-43B4-B179-5FED7B78EA58}"/>
            </c:ext>
          </c:extLst>
        </c:ser>
        <c:dLbls>
          <c:showLegendKey val="0"/>
          <c:showVal val="0"/>
          <c:showCatName val="0"/>
          <c:showSerName val="0"/>
          <c:showPercent val="0"/>
          <c:showBubbleSize val="0"/>
        </c:dLbls>
        <c:smooth val="0"/>
        <c:axId val="714550152"/>
        <c:axId val="714550544"/>
      </c:lineChart>
      <c:catAx>
        <c:axId val="714550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14550544"/>
        <c:crosses val="autoZero"/>
        <c:auto val="1"/>
        <c:lblAlgn val="ctr"/>
        <c:lblOffset val="100"/>
        <c:tickLblSkip val="1"/>
        <c:tickMarkSkip val="1"/>
        <c:noMultiLvlLbl val="0"/>
      </c:catAx>
      <c:valAx>
        <c:axId val="714550544"/>
        <c:scaling>
          <c:orientation val="minMax"/>
          <c:min val="5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3.1023761533794152E-2"/>
              <c:y val="0.46206896551724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14550152"/>
        <c:crosses val="autoZero"/>
        <c:crossBetween val="between"/>
      </c:valAx>
      <c:spPr>
        <a:noFill/>
        <a:ln w="3175">
          <a:noFill/>
          <a:prstDash val="solid"/>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PUBLIC OPINION ON RACE RELATIONS</a:t>
            </a:r>
          </a:p>
        </c:rich>
      </c:tx>
      <c:layout>
        <c:manualLayout>
          <c:xMode val="edge"/>
          <c:yMode val="edge"/>
          <c:x val="3.9486662493548146E-2"/>
          <c:y val="5.8252963477604496E-2"/>
        </c:manualLayout>
      </c:layout>
      <c:overlay val="0"/>
      <c:spPr>
        <a:noFill/>
        <a:ln w="25400">
          <a:noFill/>
        </a:ln>
      </c:spPr>
    </c:title>
    <c:autoTitleDeleted val="0"/>
    <c:plotArea>
      <c:layout>
        <c:manualLayout>
          <c:layoutTarget val="inner"/>
          <c:xMode val="edge"/>
          <c:yMode val="edge"/>
          <c:x val="1.8025037660381275E-2"/>
          <c:y val="0.31261372445024682"/>
          <c:w val="0.91725680318122049"/>
          <c:h val="0.56145500273978"/>
        </c:manualLayout>
      </c:layout>
      <c:lineChart>
        <c:grouping val="standard"/>
        <c:varyColors val="0"/>
        <c:ser>
          <c:idx val="0"/>
          <c:order val="0"/>
          <c:tx>
            <c:strRef>
              <c:f>'Race relations opinion'!$D$10</c:f>
              <c:strCache>
                <c:ptCount val="1"/>
                <c:pt idx="0">
                  <c:v>Race relations improving </c:v>
                </c:pt>
              </c:strCache>
            </c:strRef>
          </c:tx>
          <c:spPr>
            <a:ln w="25400">
              <a:solidFill>
                <a:srgbClr val="FF6600"/>
              </a:solidFill>
              <a:prstDash val="solid"/>
            </a:ln>
          </c:spPr>
          <c:marker>
            <c:symbol val="none"/>
          </c:marker>
          <c:cat>
            <c:multiLvlStrRef>
              <c:f>'Race relations opinion'!$E$8:$AJ$9</c:f>
              <c:multiLvlStrCache>
                <c:ptCount val="32"/>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 </c:v>
                  </c:pt>
                  <c:pt idx="20">
                    <c:v>May </c:v>
                  </c:pt>
                  <c:pt idx="21">
                    <c:v>Nov</c:v>
                  </c:pt>
                  <c:pt idx="22">
                    <c:v>May</c:v>
                  </c:pt>
                  <c:pt idx="23">
                    <c:v>Nov </c:v>
                  </c:pt>
                  <c:pt idx="24">
                    <c:v>May</c:v>
                  </c:pt>
                  <c:pt idx="25">
                    <c:v>Nov </c:v>
                  </c:pt>
                  <c:pt idx="26">
                    <c:v>May</c:v>
                  </c:pt>
                  <c:pt idx="27">
                    <c:v>Nov </c:v>
                  </c:pt>
                  <c:pt idx="28">
                    <c:v>May</c:v>
                  </c:pt>
                  <c:pt idx="29">
                    <c:v>Nov </c:v>
                  </c:pt>
                  <c:pt idx="30">
                    <c:v>May</c:v>
                  </c:pt>
                  <c:pt idx="31">
                    <c:v>Nov </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lvl>
              </c:multiLvlStrCache>
            </c:multiLvlStrRef>
          </c:cat>
          <c:val>
            <c:numRef>
              <c:f>'Race relations opinion'!$E$10:$AJ$10</c:f>
              <c:numCache>
                <c:formatCode>General</c:formatCode>
                <c:ptCount val="32"/>
                <c:pt idx="0">
                  <c:v>74</c:v>
                </c:pt>
                <c:pt idx="1">
                  <c:v>69</c:v>
                </c:pt>
                <c:pt idx="2">
                  <c:v>40</c:v>
                </c:pt>
                <c:pt idx="3">
                  <c:v>40</c:v>
                </c:pt>
                <c:pt idx="4">
                  <c:v>43</c:v>
                </c:pt>
                <c:pt idx="5">
                  <c:v>44</c:v>
                </c:pt>
                <c:pt idx="6" formatCode="0">
                  <c:v>47.9</c:v>
                </c:pt>
                <c:pt idx="7" formatCode="0">
                  <c:v>50.8</c:v>
                </c:pt>
                <c:pt idx="8" formatCode="0">
                  <c:v>60.4</c:v>
                </c:pt>
                <c:pt idx="9" formatCode="0">
                  <c:v>59.4</c:v>
                </c:pt>
                <c:pt idx="10" formatCode="0">
                  <c:v>59.7</c:v>
                </c:pt>
                <c:pt idx="11" formatCode="0">
                  <c:v>58.6</c:v>
                </c:pt>
                <c:pt idx="12" formatCode="0">
                  <c:v>60.3</c:v>
                </c:pt>
                <c:pt idx="13" formatCode="0">
                  <c:v>58.1</c:v>
                </c:pt>
                <c:pt idx="14" formatCode="0">
                  <c:v>57</c:v>
                </c:pt>
                <c:pt idx="15" formatCode="0">
                  <c:v>54.9</c:v>
                </c:pt>
                <c:pt idx="16" formatCode="0">
                  <c:v>48.5</c:v>
                </c:pt>
                <c:pt idx="17" formatCode="0">
                  <c:v>50</c:v>
                </c:pt>
                <c:pt idx="18" formatCode="0">
                  <c:v>48.5</c:v>
                </c:pt>
                <c:pt idx="19" formatCode="0">
                  <c:v>57</c:v>
                </c:pt>
                <c:pt idx="20" formatCode="0">
                  <c:v>46</c:v>
                </c:pt>
                <c:pt idx="21" formatCode="0">
                  <c:v>54</c:v>
                </c:pt>
                <c:pt idx="22" formatCode="0">
                  <c:v>48</c:v>
                </c:pt>
                <c:pt idx="23" formatCode="0">
                  <c:v>40.200000000000003</c:v>
                </c:pt>
                <c:pt idx="24" formatCode="0">
                  <c:v>42</c:v>
                </c:pt>
                <c:pt idx="25" formatCode="0">
                  <c:v>35.799999999999997</c:v>
                </c:pt>
                <c:pt idx="26" formatCode="0">
                  <c:v>37</c:v>
                </c:pt>
                <c:pt idx="27" formatCode="0">
                  <c:v>34</c:v>
                </c:pt>
                <c:pt idx="28" formatCode="0">
                  <c:v>43</c:v>
                </c:pt>
                <c:pt idx="29" formatCode="0">
                  <c:v>46</c:v>
                </c:pt>
                <c:pt idx="30" formatCode="0">
                  <c:v>40</c:v>
                </c:pt>
                <c:pt idx="31" formatCode="0">
                  <c:v>37</c:v>
                </c:pt>
              </c:numCache>
            </c:numRef>
          </c:val>
          <c:smooth val="0"/>
          <c:extLst>
            <c:ext xmlns:c16="http://schemas.microsoft.com/office/drawing/2014/chart" uri="{C3380CC4-5D6E-409C-BE32-E72D297353CC}">
              <c16:uniqueId val="{00000000-87C1-4354-BCBD-FC5D7FB5D497}"/>
            </c:ext>
          </c:extLst>
        </c:ser>
        <c:dLbls>
          <c:showLegendKey val="0"/>
          <c:showVal val="0"/>
          <c:showCatName val="0"/>
          <c:showSerName val="0"/>
          <c:showPercent val="0"/>
          <c:showBubbleSize val="0"/>
        </c:dLbls>
        <c:smooth val="0"/>
        <c:axId val="714560736"/>
        <c:axId val="714558776"/>
      </c:lineChart>
      <c:catAx>
        <c:axId val="714560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8776"/>
        <c:crosses val="autoZero"/>
        <c:auto val="1"/>
        <c:lblAlgn val="ctr"/>
        <c:lblOffset val="100"/>
        <c:tickLblSkip val="1"/>
        <c:tickMarkSkip val="1"/>
        <c:noMultiLvlLbl val="0"/>
      </c:catAx>
      <c:valAx>
        <c:axId val="714558776"/>
        <c:scaling>
          <c:orientation val="minMax"/>
          <c:min val="3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3.8242015944782441E-3"/>
              <c:y val="0.2166622468823521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6073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chart" Target="../charts/chart29.xml"/><Relationship Id="rId4" Type="http://schemas.openxmlformats.org/officeDocument/2006/relationships/chart" Target="../charts/chart28.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5" Type="http://schemas.openxmlformats.org/officeDocument/2006/relationships/chart" Target="../charts/chart91.xml"/><Relationship Id="rId4" Type="http://schemas.openxmlformats.org/officeDocument/2006/relationships/chart" Target="../charts/chart9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81.xml.rels><?xml version="1.0" encoding="UTF-8" standalone="yes"?>
<Relationships xmlns="http://schemas.openxmlformats.org/package/2006/relationships"><Relationship Id="rId3" Type="http://schemas.openxmlformats.org/officeDocument/2006/relationships/chart" Target="../charts/chart124.xml"/><Relationship Id="rId2" Type="http://schemas.openxmlformats.org/officeDocument/2006/relationships/chart" Target="../charts/chart123.xml"/><Relationship Id="rId1" Type="http://schemas.openxmlformats.org/officeDocument/2006/relationships/chart" Target="../charts/chart122.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128.xml"/><Relationship Id="rId1" Type="http://schemas.openxmlformats.org/officeDocument/2006/relationships/chart" Target="../charts/chart12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xdr:col>
      <xdr:colOff>238125</xdr:colOff>
      <xdr:row>50</xdr:row>
      <xdr:rowOff>0</xdr:rowOff>
    </xdr:from>
    <xdr:to>
      <xdr:col>12</xdr:col>
      <xdr:colOff>257175</xdr:colOff>
      <xdr:row>50</xdr:row>
      <xdr:rowOff>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228600</xdr:colOff>
      <xdr:row>19</xdr:row>
      <xdr:rowOff>66675</xdr:rowOff>
    </xdr:from>
    <xdr:to>
      <xdr:col>12</xdr:col>
      <xdr:colOff>140970</xdr:colOff>
      <xdr:row>43</xdr:row>
      <xdr:rowOff>93345</xdr:rowOff>
    </xdr:to>
    <xdr:pic>
      <xdr:nvPicPr>
        <xdr:cNvPr id="3"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8275" y="3638550"/>
          <a:ext cx="7551420" cy="4598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18</xdr:row>
      <xdr:rowOff>152400</xdr:rowOff>
    </xdr:from>
    <xdr:to>
      <xdr:col>17</xdr:col>
      <xdr:colOff>619125</xdr:colOff>
      <xdr:row>46</xdr:row>
      <xdr:rowOff>22860</xdr:rowOff>
    </xdr:to>
    <xdr:pic>
      <xdr:nvPicPr>
        <xdr:cNvPr id="4" name="Picture 3"/>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8275" y="3533775"/>
          <a:ext cx="10744200" cy="5204460"/>
        </a:xfrm>
        <a:prstGeom prst="rect">
          <a:avLst/>
        </a:prstGeom>
        <a:noFill/>
        <a:ln>
          <a:noFill/>
        </a:ln>
      </xdr:spPr>
    </xdr:pic>
    <xdr:clientData/>
  </xdr:twoCellAnchor>
</xdr:wsDr>
</file>

<file path=xl/drawings/drawing10.xml><?xml version="1.0" encoding="utf-8"?>
<c:userShapes xmlns:c="http://schemas.openxmlformats.org/drawingml/2006/chart">
  <cdr:relSizeAnchor xmlns:cdr="http://schemas.openxmlformats.org/drawingml/2006/chartDrawing">
    <cdr:from>
      <cdr:x>0.06002</cdr:x>
      <cdr:y>0.32228</cdr:y>
    </cdr:from>
    <cdr:to>
      <cdr:x>0.98205</cdr:x>
      <cdr:y>0.32228</cdr:y>
    </cdr:to>
    <cdr:sp macro="" textlink="">
      <cdr:nvSpPr>
        <cdr:cNvPr id="202753" name="Line 1025"/>
        <cdr:cNvSpPr>
          <a:spLocks xmlns:a="http://schemas.openxmlformats.org/drawingml/2006/main" noChangeShapeType="1"/>
        </cdr:cNvSpPr>
      </cdr:nvSpPr>
      <cdr:spPr bwMode="auto">
        <a:xfrm xmlns:a="http://schemas.openxmlformats.org/drawingml/2006/main">
          <a:off x="778330" y="1163419"/>
          <a:ext cx="11956272" cy="0"/>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11.xml><?xml version="1.0" encoding="utf-8"?>
<c:userShapes xmlns:c="http://schemas.openxmlformats.org/drawingml/2006/chart">
  <cdr:relSizeAnchor xmlns:cdr="http://schemas.openxmlformats.org/drawingml/2006/chartDrawing">
    <cdr:from>
      <cdr:x>0.09197</cdr:x>
      <cdr:y>0.24096</cdr:y>
    </cdr:from>
    <cdr:to>
      <cdr:x>0.98316</cdr:x>
      <cdr:y>0.24398</cdr:y>
    </cdr:to>
    <cdr:sp macro="" textlink="">
      <cdr:nvSpPr>
        <cdr:cNvPr id="202753" name="Line 1025"/>
        <cdr:cNvSpPr>
          <a:spLocks xmlns:a="http://schemas.openxmlformats.org/drawingml/2006/main" noChangeShapeType="1"/>
        </cdr:cNvSpPr>
      </cdr:nvSpPr>
      <cdr:spPr bwMode="auto">
        <a:xfrm xmlns:a="http://schemas.openxmlformats.org/drawingml/2006/main" flipV="1">
          <a:off x="541020" y="609600"/>
          <a:ext cx="5242560" cy="7620"/>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12.xml><?xml version="1.0" encoding="utf-8"?>
<xdr:wsDr xmlns:xdr="http://schemas.openxmlformats.org/drawingml/2006/spreadsheetDrawing" xmlns:a="http://schemas.openxmlformats.org/drawingml/2006/main">
  <xdr:twoCellAnchor>
    <xdr:from>
      <xdr:col>3</xdr:col>
      <xdr:colOff>9525</xdr:colOff>
      <xdr:row>8</xdr:row>
      <xdr:rowOff>133350</xdr:rowOff>
    </xdr:from>
    <xdr:to>
      <xdr:col>24</xdr:col>
      <xdr:colOff>419100</xdr:colOff>
      <xdr:row>26</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35</xdr:row>
      <xdr:rowOff>0</xdr:rowOff>
    </xdr:from>
    <xdr:to>
      <xdr:col>16</xdr:col>
      <xdr:colOff>228600</xdr:colOff>
      <xdr:row>49</xdr:row>
      <xdr:rowOff>157480</xdr:rowOff>
    </xdr:to>
    <xdr:sp macro="" textlink="">
      <xdr:nvSpPr>
        <xdr:cNvPr id="3" name="Rectangle 2"/>
        <xdr:cNvSpPr/>
      </xdr:nvSpPr>
      <xdr:spPr>
        <a:xfrm>
          <a:off x="2924175" y="7248525"/>
          <a:ext cx="5753100"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6</xdr:col>
      <xdr:colOff>0</xdr:colOff>
      <xdr:row>35</xdr:row>
      <xdr:rowOff>0</xdr:rowOff>
    </xdr:from>
    <xdr:to>
      <xdr:col>16</xdr:col>
      <xdr:colOff>220979</xdr:colOff>
      <xdr:row>49</xdr:row>
      <xdr:rowOff>160020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219075</xdr:colOff>
      <xdr:row>10</xdr:row>
      <xdr:rowOff>152400</xdr:rowOff>
    </xdr:from>
    <xdr:to>
      <xdr:col>22</xdr:col>
      <xdr:colOff>447675</xdr:colOff>
      <xdr:row>31</xdr:row>
      <xdr:rowOff>85725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55</xdr:row>
      <xdr:rowOff>0</xdr:rowOff>
    </xdr:from>
    <xdr:to>
      <xdr:col>15</xdr:col>
      <xdr:colOff>53340</xdr:colOff>
      <xdr:row>69</xdr:row>
      <xdr:rowOff>26670</xdr:rowOff>
    </xdr:to>
    <xdr:sp macro="" textlink="">
      <xdr:nvSpPr>
        <xdr:cNvPr id="3" name="Rectangle 2"/>
        <xdr:cNvSpPr/>
      </xdr:nvSpPr>
      <xdr:spPr>
        <a:xfrm>
          <a:off x="1343025" y="9191625"/>
          <a:ext cx="5815965"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55</xdr:row>
      <xdr:rowOff>1</xdr:rowOff>
    </xdr:from>
    <xdr:to>
      <xdr:col>15</xdr:col>
      <xdr:colOff>45720</xdr:colOff>
      <xdr:row>69</xdr:row>
      <xdr:rowOff>68580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777240</xdr:colOff>
      <xdr:row>24</xdr:row>
      <xdr:rowOff>7620</xdr:rowOff>
    </xdr:from>
    <xdr:to>
      <xdr:col>22</xdr:col>
      <xdr:colOff>449580</xdr:colOff>
      <xdr:row>24</xdr:row>
      <xdr:rowOff>7620</xdr:rowOff>
    </xdr:to>
    <xdr:cxnSp macro="">
      <xdr:nvCxnSpPr>
        <xdr:cNvPr id="5" name="Straight Connector 4"/>
        <xdr:cNvCxnSpPr/>
      </xdr:nvCxnSpPr>
      <xdr:spPr>
        <a:xfrm>
          <a:off x="2120265" y="5246370"/>
          <a:ext cx="8568690" cy="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11</xdr:row>
      <xdr:rowOff>66675</xdr:rowOff>
    </xdr:from>
    <xdr:to>
      <xdr:col>19</xdr:col>
      <xdr:colOff>0</xdr:colOff>
      <xdr:row>35</xdr:row>
      <xdr:rowOff>95250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11</xdr:row>
      <xdr:rowOff>66675</xdr:rowOff>
    </xdr:from>
    <xdr:to>
      <xdr:col>25</xdr:col>
      <xdr:colOff>314325</xdr:colOff>
      <xdr:row>35</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47</xdr:row>
      <xdr:rowOff>0</xdr:rowOff>
    </xdr:from>
    <xdr:to>
      <xdr:col>17</xdr:col>
      <xdr:colOff>213360</xdr:colOff>
      <xdr:row>63</xdr:row>
      <xdr:rowOff>57150</xdr:rowOff>
    </xdr:to>
    <xdr:sp macro="" textlink="">
      <xdr:nvSpPr>
        <xdr:cNvPr id="4" name="Rectangle 3"/>
        <xdr:cNvSpPr/>
      </xdr:nvSpPr>
      <xdr:spPr>
        <a:xfrm>
          <a:off x="1457325" y="9420225"/>
          <a:ext cx="6137910"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47</xdr:row>
      <xdr:rowOff>1</xdr:rowOff>
    </xdr:from>
    <xdr:to>
      <xdr:col>17</xdr:col>
      <xdr:colOff>236219</xdr:colOff>
      <xdr:row>63</xdr:row>
      <xdr:rowOff>121920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219075</xdr:colOff>
      <xdr:row>9</xdr:row>
      <xdr:rowOff>38100</xdr:rowOff>
    </xdr:from>
    <xdr:to>
      <xdr:col>19</xdr:col>
      <xdr:colOff>514350</xdr:colOff>
      <xdr:row>25</xdr:row>
      <xdr:rowOff>76200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714375</xdr:colOff>
      <xdr:row>19</xdr:row>
      <xdr:rowOff>95250</xdr:rowOff>
    </xdr:from>
    <xdr:to>
      <xdr:col>17</xdr:col>
      <xdr:colOff>0</xdr:colOff>
      <xdr:row>45</xdr:row>
      <xdr:rowOff>28574</xdr:rowOff>
    </xdr:to>
    <xdr:grpSp>
      <xdr:nvGrpSpPr>
        <xdr:cNvPr id="2" name="Group 1"/>
        <xdr:cNvGrpSpPr/>
      </xdr:nvGrpSpPr>
      <xdr:grpSpPr>
        <a:xfrm>
          <a:off x="957792" y="3534833"/>
          <a:ext cx="12726458" cy="4632324"/>
          <a:chOff x="965835" y="4762499"/>
          <a:chExt cx="10494645" cy="4196715"/>
        </a:xfrm>
      </xdr:grpSpPr>
      <xdr:graphicFrame macro="">
        <xdr:nvGraphicFramePr>
          <xdr:cNvPr id="3" name="Chart 3"/>
          <xdr:cNvGraphicFramePr>
            <a:graphicFrameLocks/>
          </xdr:cNvGraphicFramePr>
        </xdr:nvGraphicFramePr>
        <xdr:xfrm>
          <a:off x="965835" y="4762499"/>
          <a:ext cx="10494645" cy="4196715"/>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xdr:cNvCxnSpPr/>
        </xdr:nvCxnSpPr>
        <xdr:spPr bwMode="auto">
          <a:xfrm>
            <a:off x="2589424" y="6597986"/>
            <a:ext cx="1701835" cy="405837"/>
          </a:xfrm>
          <a:prstGeom prst="line">
            <a:avLst/>
          </a:prstGeom>
          <a:ln>
            <a:solidFill>
              <a:schemeClr val="accent6">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373380</xdr:colOff>
      <xdr:row>71</xdr:row>
      <xdr:rowOff>129540</xdr:rowOff>
    </xdr:from>
    <xdr:to>
      <xdr:col>10</xdr:col>
      <xdr:colOff>251460</xdr:colOff>
      <xdr:row>89</xdr:row>
      <xdr:rowOff>107950</xdr:rowOff>
    </xdr:to>
    <xdr:sp macro="" textlink="">
      <xdr:nvSpPr>
        <xdr:cNvPr id="5" name="Rectangle 4"/>
        <xdr:cNvSpPr/>
      </xdr:nvSpPr>
      <xdr:spPr>
        <a:xfrm>
          <a:off x="621030" y="15026640"/>
          <a:ext cx="7421880" cy="34074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xdr:col>
      <xdr:colOff>373380</xdr:colOff>
      <xdr:row>71</xdr:row>
      <xdr:rowOff>129540</xdr:rowOff>
    </xdr:from>
    <xdr:to>
      <xdr:col>10</xdr:col>
      <xdr:colOff>251460</xdr:colOff>
      <xdr:row>89</xdr:row>
      <xdr:rowOff>121920</xdr:rowOff>
    </xdr:to>
    <xdr:grpSp>
      <xdr:nvGrpSpPr>
        <xdr:cNvPr id="6" name="Group 5"/>
        <xdr:cNvGrpSpPr/>
      </xdr:nvGrpSpPr>
      <xdr:grpSpPr>
        <a:xfrm>
          <a:off x="616797" y="14036040"/>
          <a:ext cx="7423996" cy="3421380"/>
          <a:chOff x="965835" y="4762500"/>
          <a:chExt cx="10494645" cy="4196715"/>
        </a:xfrm>
      </xdr:grpSpPr>
      <xdr:graphicFrame macro="">
        <xdr:nvGraphicFramePr>
          <xdr:cNvPr id="7" name="Chart 3"/>
          <xdr:cNvGraphicFramePr>
            <a:graphicFrameLocks/>
          </xdr:cNvGraphicFramePr>
        </xdr:nvGraphicFramePr>
        <xdr:xfrm>
          <a:off x="965835" y="4762500"/>
          <a:ext cx="10494645" cy="4196715"/>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8" name="Straight Connector 7"/>
          <xdr:cNvCxnSpPr/>
        </xdr:nvCxnSpPr>
        <xdr:spPr bwMode="auto">
          <a:xfrm>
            <a:off x="2277084" y="6471403"/>
            <a:ext cx="1701835" cy="405838"/>
          </a:xfrm>
          <a:prstGeom prst="line">
            <a:avLst/>
          </a:prstGeom>
          <a:ln>
            <a:solidFill>
              <a:schemeClr val="accent6">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7.xml><?xml version="1.0" encoding="utf-8"?>
<c:userShapes xmlns:c="http://schemas.openxmlformats.org/drawingml/2006/chart">
  <cdr:relSizeAnchor xmlns:cdr="http://schemas.openxmlformats.org/drawingml/2006/chartDrawing">
    <cdr:from>
      <cdr:x>0.31027</cdr:x>
      <cdr:y>0.42079</cdr:y>
    </cdr:from>
    <cdr:to>
      <cdr:x>0.47809</cdr:x>
      <cdr:y>0.53881</cdr:y>
    </cdr:to>
    <cdr:sp macro="" textlink="">
      <cdr:nvSpPr>
        <cdr:cNvPr id="3" name="Straight Connector 2"/>
        <cdr:cNvSpPr/>
      </cdr:nvSpPr>
      <cdr:spPr>
        <a:xfrm xmlns:a="http://schemas.openxmlformats.org/drawingml/2006/main" flipV="1">
          <a:off x="3250264" y="1765935"/>
          <a:ext cx="1757981" cy="495303"/>
        </a:xfrm>
        <a:prstGeom xmlns:a="http://schemas.openxmlformats.org/drawingml/2006/main" prst="line">
          <a:avLst/>
        </a:prstGeom>
        <a:ln xmlns:a="http://schemas.openxmlformats.org/drawingml/2006/main">
          <a:solidFill>
            <a:schemeClr val="accent6">
              <a:lumMod val="7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ZA"/>
        </a:p>
      </cdr:txBody>
    </cdr:sp>
  </cdr:relSizeAnchor>
  <cdr:relSizeAnchor xmlns:cdr="http://schemas.openxmlformats.org/drawingml/2006/chartDrawing">
    <cdr:from>
      <cdr:x>0.47821</cdr:x>
      <cdr:y>0.33182</cdr:y>
    </cdr:from>
    <cdr:to>
      <cdr:x>0.56101</cdr:x>
      <cdr:y>0.40989</cdr:y>
    </cdr:to>
    <cdr:sp macro="" textlink="">
      <cdr:nvSpPr>
        <cdr:cNvPr id="5" name="Straight Connector 4"/>
        <cdr:cNvSpPr/>
      </cdr:nvSpPr>
      <cdr:spPr>
        <a:xfrm xmlns:a="http://schemas.openxmlformats.org/drawingml/2006/main" flipV="1">
          <a:off x="5009516" y="1392555"/>
          <a:ext cx="867409" cy="327642"/>
        </a:xfrm>
        <a:prstGeom xmlns:a="http://schemas.openxmlformats.org/drawingml/2006/main" prst="line">
          <a:avLst/>
        </a:prstGeom>
        <a:ln xmlns:a="http://schemas.openxmlformats.org/drawingml/2006/main">
          <a:solidFill>
            <a:schemeClr val="accent6">
              <a:lumMod val="7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18.xml><?xml version="1.0" encoding="utf-8"?>
<c:userShapes xmlns:c="http://schemas.openxmlformats.org/drawingml/2006/chart">
  <cdr:relSizeAnchor xmlns:cdr="http://schemas.openxmlformats.org/drawingml/2006/chartDrawing">
    <cdr:from>
      <cdr:x>0.29717</cdr:x>
      <cdr:y>0.39527</cdr:y>
    </cdr:from>
    <cdr:to>
      <cdr:x>0.46499</cdr:x>
      <cdr:y>0.51329</cdr:y>
    </cdr:to>
    <cdr:sp macro="" textlink="">
      <cdr:nvSpPr>
        <cdr:cNvPr id="3" name="Straight Connector 2"/>
        <cdr:cNvSpPr/>
      </cdr:nvSpPr>
      <cdr:spPr>
        <a:xfrm xmlns:a="http://schemas.openxmlformats.org/drawingml/2006/main" flipV="1">
          <a:off x="1902156" y="1298147"/>
          <a:ext cx="1074182" cy="387604"/>
        </a:xfrm>
        <a:prstGeom xmlns:a="http://schemas.openxmlformats.org/drawingml/2006/main" prst="line">
          <a:avLst/>
        </a:prstGeom>
        <a:ln xmlns:a="http://schemas.openxmlformats.org/drawingml/2006/main">
          <a:solidFill>
            <a:schemeClr val="accent6">
              <a:lumMod val="7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ZA"/>
        </a:p>
      </cdr:txBody>
    </cdr:sp>
  </cdr:relSizeAnchor>
  <cdr:relSizeAnchor xmlns:cdr="http://schemas.openxmlformats.org/drawingml/2006/chartDrawing">
    <cdr:from>
      <cdr:x>0.46631</cdr:x>
      <cdr:y>0.3063</cdr:y>
    </cdr:from>
    <cdr:to>
      <cdr:x>0.54911</cdr:x>
      <cdr:y>0.38437</cdr:y>
    </cdr:to>
    <cdr:sp macro="" textlink="">
      <cdr:nvSpPr>
        <cdr:cNvPr id="5" name="Straight Connector 4"/>
        <cdr:cNvSpPr/>
      </cdr:nvSpPr>
      <cdr:spPr>
        <a:xfrm xmlns:a="http://schemas.openxmlformats.org/drawingml/2006/main" flipV="1">
          <a:off x="2984727" y="1005950"/>
          <a:ext cx="529986" cy="256399"/>
        </a:xfrm>
        <a:prstGeom xmlns:a="http://schemas.openxmlformats.org/drawingml/2006/main" prst="line">
          <a:avLst/>
        </a:prstGeom>
        <a:ln xmlns:a="http://schemas.openxmlformats.org/drawingml/2006/main">
          <a:solidFill>
            <a:schemeClr val="accent6">
              <a:lumMod val="7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19.xml><?xml version="1.0" encoding="utf-8"?>
<xdr:wsDr xmlns:xdr="http://schemas.openxmlformats.org/drawingml/2006/spreadsheetDrawing" xmlns:a="http://schemas.openxmlformats.org/drawingml/2006/main">
  <xdr:twoCellAnchor>
    <xdr:from>
      <xdr:col>17</xdr:col>
      <xdr:colOff>200025</xdr:colOff>
      <xdr:row>9</xdr:row>
      <xdr:rowOff>19050</xdr:rowOff>
    </xdr:from>
    <xdr:to>
      <xdr:col>24</xdr:col>
      <xdr:colOff>542925</xdr:colOff>
      <xdr:row>31</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85725</xdr:colOff>
      <xdr:row>30</xdr:row>
      <xdr:rowOff>133350</xdr:rowOff>
    </xdr:from>
    <xdr:to>
      <xdr:col>18</xdr:col>
      <xdr:colOff>400050</xdr:colOff>
      <xdr:row>44</xdr:row>
      <xdr:rowOff>133350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34</xdr:row>
      <xdr:rowOff>133350</xdr:rowOff>
    </xdr:from>
    <xdr:to>
      <xdr:col>22</xdr:col>
      <xdr:colOff>428625</xdr:colOff>
      <xdr:row>53</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590550</xdr:colOff>
      <xdr:row>43</xdr:row>
      <xdr:rowOff>95250</xdr:rowOff>
    </xdr:from>
    <xdr:to>
      <xdr:col>22</xdr:col>
      <xdr:colOff>419100</xdr:colOff>
      <xdr:row>43</xdr:row>
      <xdr:rowOff>104775</xdr:rowOff>
    </xdr:to>
    <xdr:sp macro="" textlink="">
      <xdr:nvSpPr>
        <xdr:cNvPr id="3" name="Line 4"/>
        <xdr:cNvSpPr>
          <a:spLocks noChangeShapeType="1"/>
        </xdr:cNvSpPr>
      </xdr:nvSpPr>
      <xdr:spPr bwMode="auto">
        <a:xfrm flipV="1">
          <a:off x="1933575" y="8248650"/>
          <a:ext cx="8315325" cy="9525"/>
        </a:xfrm>
        <a:prstGeom prst="line">
          <a:avLst/>
        </a:prstGeom>
        <a:noFill/>
        <a:ln w="127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69</xdr:row>
      <xdr:rowOff>0</xdr:rowOff>
    </xdr:from>
    <xdr:to>
      <xdr:col>18</xdr:col>
      <xdr:colOff>297180</xdr:colOff>
      <xdr:row>83</xdr:row>
      <xdr:rowOff>159433</xdr:rowOff>
    </xdr:to>
    <xdr:sp macro="" textlink="">
      <xdr:nvSpPr>
        <xdr:cNvPr id="4" name="Rectangle 3"/>
        <xdr:cNvSpPr/>
      </xdr:nvSpPr>
      <xdr:spPr>
        <a:xfrm>
          <a:off x="2705100" y="13592175"/>
          <a:ext cx="5745480" cy="28264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5</xdr:col>
      <xdr:colOff>0</xdr:colOff>
      <xdr:row>69</xdr:row>
      <xdr:rowOff>22860</xdr:rowOff>
    </xdr:from>
    <xdr:to>
      <xdr:col>18</xdr:col>
      <xdr:colOff>320039</xdr:colOff>
      <xdr:row>84</xdr:row>
      <xdr:rowOff>7619</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733425</xdr:colOff>
      <xdr:row>93</xdr:row>
      <xdr:rowOff>85725</xdr:rowOff>
    </xdr:from>
    <xdr:to>
      <xdr:col>9</xdr:col>
      <xdr:colOff>47625</xdr:colOff>
      <xdr:row>116</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66675</xdr:colOff>
      <xdr:row>86</xdr:row>
      <xdr:rowOff>57150</xdr:rowOff>
    </xdr:from>
    <xdr:to>
      <xdr:col>14</xdr:col>
      <xdr:colOff>333375</xdr:colOff>
      <xdr:row>109</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228600</xdr:colOff>
      <xdr:row>130</xdr:row>
      <xdr:rowOff>34290</xdr:rowOff>
    </xdr:from>
    <xdr:to>
      <xdr:col>19</xdr:col>
      <xdr:colOff>373380</xdr:colOff>
      <xdr:row>145</xdr:row>
      <xdr:rowOff>34290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1905</xdr:colOff>
      <xdr:row>12</xdr:row>
      <xdr:rowOff>160020</xdr:rowOff>
    </xdr:from>
    <xdr:to>
      <xdr:col>22</xdr:col>
      <xdr:colOff>548640</xdr:colOff>
      <xdr:row>31</xdr:row>
      <xdr:rowOff>160020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147</xdr:row>
      <xdr:rowOff>0</xdr:rowOff>
    </xdr:from>
    <xdr:to>
      <xdr:col>11</xdr:col>
      <xdr:colOff>445770</xdr:colOff>
      <xdr:row>161</xdr:row>
      <xdr:rowOff>141605</xdr:rowOff>
    </xdr:to>
    <xdr:sp macro="" textlink="">
      <xdr:nvSpPr>
        <xdr:cNvPr id="6" name="Rectangle 5"/>
        <xdr:cNvSpPr/>
      </xdr:nvSpPr>
      <xdr:spPr>
        <a:xfrm>
          <a:off x="1457325" y="14554200"/>
          <a:ext cx="6370320" cy="280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0</xdr:colOff>
      <xdr:row>147</xdr:row>
      <xdr:rowOff>0</xdr:rowOff>
    </xdr:from>
    <xdr:to>
      <xdr:col>11</xdr:col>
      <xdr:colOff>464820</xdr:colOff>
      <xdr:row>161</xdr:row>
      <xdr:rowOff>144780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542925</xdr:colOff>
      <xdr:row>78</xdr:row>
      <xdr:rowOff>28575</xdr:rowOff>
    </xdr:from>
    <xdr:to>
      <xdr:col>3</xdr:col>
      <xdr:colOff>619125</xdr:colOff>
      <xdr:row>131</xdr:row>
      <xdr:rowOff>171450</xdr:rowOff>
    </xdr:to>
    <xdr:sp macro="" textlink="">
      <xdr:nvSpPr>
        <xdr:cNvPr id="2" name="Text Box 1"/>
        <xdr:cNvSpPr txBox="1">
          <a:spLocks noChangeArrowheads="1"/>
        </xdr:cNvSpPr>
      </xdr:nvSpPr>
      <xdr:spPr bwMode="auto">
        <a:xfrm>
          <a:off x="2114550" y="1342072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276225</xdr:colOff>
      <xdr:row>66</xdr:row>
      <xdr:rowOff>47625</xdr:rowOff>
    </xdr:from>
    <xdr:to>
      <xdr:col>16</xdr:col>
      <xdr:colOff>485775</xdr:colOff>
      <xdr:row>79</xdr:row>
      <xdr:rowOff>361950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542925</xdr:colOff>
      <xdr:row>78</xdr:row>
      <xdr:rowOff>28575</xdr:rowOff>
    </xdr:from>
    <xdr:to>
      <xdr:col>3</xdr:col>
      <xdr:colOff>619125</xdr:colOff>
      <xdr:row>131</xdr:row>
      <xdr:rowOff>171450</xdr:rowOff>
    </xdr:to>
    <xdr:sp macro="" textlink="">
      <xdr:nvSpPr>
        <xdr:cNvPr id="4" name="Text Box 3"/>
        <xdr:cNvSpPr txBox="1">
          <a:spLocks noChangeArrowheads="1"/>
        </xdr:cNvSpPr>
      </xdr:nvSpPr>
      <xdr:spPr bwMode="auto">
        <a:xfrm>
          <a:off x="2114550" y="1342072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104775</xdr:colOff>
      <xdr:row>43</xdr:row>
      <xdr:rowOff>104775</xdr:rowOff>
    </xdr:from>
    <xdr:to>
      <xdr:col>6</xdr:col>
      <xdr:colOff>733425</xdr:colOff>
      <xdr:row>60</xdr:row>
      <xdr:rowOff>57150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285750</xdr:colOff>
      <xdr:row>43</xdr:row>
      <xdr:rowOff>133350</xdr:rowOff>
    </xdr:from>
    <xdr:to>
      <xdr:col>13</xdr:col>
      <xdr:colOff>257175</xdr:colOff>
      <xdr:row>60</xdr:row>
      <xdr:rowOff>47625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104775</xdr:colOff>
      <xdr:row>43</xdr:row>
      <xdr:rowOff>104775</xdr:rowOff>
    </xdr:from>
    <xdr:to>
      <xdr:col>6</xdr:col>
      <xdr:colOff>733425</xdr:colOff>
      <xdr:row>60</xdr:row>
      <xdr:rowOff>57150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285750</xdr:colOff>
      <xdr:row>43</xdr:row>
      <xdr:rowOff>142875</xdr:rowOff>
    </xdr:from>
    <xdr:to>
      <xdr:col>14</xdr:col>
      <xdr:colOff>0</xdr:colOff>
      <xdr:row>60</xdr:row>
      <xdr:rowOff>57150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xdr:col>
      <xdr:colOff>0</xdr:colOff>
      <xdr:row>16</xdr:row>
      <xdr:rowOff>95249</xdr:rowOff>
    </xdr:from>
    <xdr:to>
      <xdr:col>18</xdr:col>
      <xdr:colOff>276225</xdr:colOff>
      <xdr:row>30</xdr:row>
      <xdr:rowOff>180974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9524</xdr:colOff>
      <xdr:row>29</xdr:row>
      <xdr:rowOff>133350</xdr:rowOff>
    </xdr:from>
    <xdr:to>
      <xdr:col>19</xdr:col>
      <xdr:colOff>28575</xdr:colOff>
      <xdr:row>50</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101</xdr:row>
      <xdr:rowOff>0</xdr:rowOff>
    </xdr:from>
    <xdr:to>
      <xdr:col>9</xdr:col>
      <xdr:colOff>0</xdr:colOff>
      <xdr:row>114</xdr:row>
      <xdr:rowOff>160655</xdr:rowOff>
    </xdr:to>
    <xdr:sp macro="" textlink="">
      <xdr:nvSpPr>
        <xdr:cNvPr id="3" name="Rectangle 2"/>
        <xdr:cNvSpPr/>
      </xdr:nvSpPr>
      <xdr:spPr>
        <a:xfrm>
          <a:off x="1457325" y="11058525"/>
          <a:ext cx="5019675"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0</xdr:colOff>
      <xdr:row>101</xdr:row>
      <xdr:rowOff>0</xdr:rowOff>
    </xdr:from>
    <xdr:to>
      <xdr:col>9</xdr:col>
      <xdr:colOff>0</xdr:colOff>
      <xdr:row>115</xdr:row>
      <xdr:rowOff>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xdr:col>
      <xdr:colOff>247649</xdr:colOff>
      <xdr:row>42</xdr:row>
      <xdr:rowOff>0</xdr:rowOff>
    </xdr:from>
    <xdr:to>
      <xdr:col>18</xdr:col>
      <xdr:colOff>609599</xdr:colOff>
      <xdr:row>64</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133350</xdr:colOff>
      <xdr:row>98</xdr:row>
      <xdr:rowOff>57150</xdr:rowOff>
    </xdr:from>
    <xdr:to>
      <xdr:col>18</xdr:col>
      <xdr:colOff>60960</xdr:colOff>
      <xdr:row>116</xdr:row>
      <xdr:rowOff>121920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119</xdr:row>
      <xdr:rowOff>0</xdr:rowOff>
    </xdr:from>
    <xdr:to>
      <xdr:col>14</xdr:col>
      <xdr:colOff>44450</xdr:colOff>
      <xdr:row>131</xdr:row>
      <xdr:rowOff>154940</xdr:rowOff>
    </xdr:to>
    <xdr:sp macro="" textlink="">
      <xdr:nvSpPr>
        <xdr:cNvPr id="3" name="Rectangle 2"/>
        <xdr:cNvSpPr/>
      </xdr:nvSpPr>
      <xdr:spPr>
        <a:xfrm>
          <a:off x="2438400" y="22860000"/>
          <a:ext cx="6140450" cy="2440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4</xdr:col>
      <xdr:colOff>0</xdr:colOff>
      <xdr:row>119</xdr:row>
      <xdr:rowOff>0</xdr:rowOff>
    </xdr:from>
    <xdr:to>
      <xdr:col>14</xdr:col>
      <xdr:colOff>76200</xdr:colOff>
      <xdr:row>132</xdr:row>
      <xdr:rowOff>15240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95250</xdr:colOff>
      <xdr:row>98</xdr:row>
      <xdr:rowOff>0</xdr:rowOff>
    </xdr:from>
    <xdr:to>
      <xdr:col>18</xdr:col>
      <xdr:colOff>0</xdr:colOff>
      <xdr:row>98</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171450</xdr:colOff>
      <xdr:row>75</xdr:row>
      <xdr:rowOff>47625</xdr:rowOff>
    </xdr:from>
    <xdr:to>
      <xdr:col>19</xdr:col>
      <xdr:colOff>28575</xdr:colOff>
      <xdr:row>90</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198780</xdr:colOff>
      <xdr:row>49</xdr:row>
      <xdr:rowOff>90279</xdr:rowOff>
    </xdr:from>
    <xdr:to>
      <xdr:col>29</xdr:col>
      <xdr:colOff>306456</xdr:colOff>
      <xdr:row>65</xdr:row>
      <xdr:rowOff>57977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657225</xdr:colOff>
      <xdr:row>21</xdr:row>
      <xdr:rowOff>61912</xdr:rowOff>
    </xdr:from>
    <xdr:to>
      <xdr:col>9</xdr:col>
      <xdr:colOff>628650</xdr:colOff>
      <xdr:row>34</xdr:row>
      <xdr:rowOff>195262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209550</xdr:colOff>
      <xdr:row>34</xdr:row>
      <xdr:rowOff>100012</xdr:rowOff>
    </xdr:from>
    <xdr:to>
      <xdr:col>7</xdr:col>
      <xdr:colOff>438150</xdr:colOff>
      <xdr:row>48</xdr:row>
      <xdr:rowOff>176212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561975</xdr:colOff>
      <xdr:row>34</xdr:row>
      <xdr:rowOff>90487</xdr:rowOff>
    </xdr:from>
    <xdr:to>
      <xdr:col>15</xdr:col>
      <xdr:colOff>161925</xdr:colOff>
      <xdr:row>48</xdr:row>
      <xdr:rowOff>166687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38100</xdr:colOff>
      <xdr:row>87</xdr:row>
      <xdr:rowOff>38100</xdr:rowOff>
    </xdr:from>
    <xdr:to>
      <xdr:col>10</xdr:col>
      <xdr:colOff>304800</xdr:colOff>
      <xdr:row>103</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161925</xdr:colOff>
      <xdr:row>33</xdr:row>
      <xdr:rowOff>114300</xdr:rowOff>
    </xdr:from>
    <xdr:to>
      <xdr:col>19</xdr:col>
      <xdr:colOff>19050</xdr:colOff>
      <xdr:row>59</xdr:row>
      <xdr:rowOff>47625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xdr:colOff>
      <xdr:row>8</xdr:row>
      <xdr:rowOff>142875</xdr:rowOff>
    </xdr:from>
    <xdr:to>
      <xdr:col>24</xdr:col>
      <xdr:colOff>409575</xdr:colOff>
      <xdr:row>27</xdr:row>
      <xdr:rowOff>104775</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67</xdr:row>
      <xdr:rowOff>0</xdr:rowOff>
    </xdr:from>
    <xdr:to>
      <xdr:col>18</xdr:col>
      <xdr:colOff>228600</xdr:colOff>
      <xdr:row>84</xdr:row>
      <xdr:rowOff>138405</xdr:rowOff>
    </xdr:to>
    <xdr:sp macro="" textlink="">
      <xdr:nvSpPr>
        <xdr:cNvPr id="4" name="Rectangle 3"/>
        <xdr:cNvSpPr/>
      </xdr:nvSpPr>
      <xdr:spPr>
        <a:xfrm>
          <a:off x="3838575" y="7724775"/>
          <a:ext cx="5753100" cy="33769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0</xdr:colOff>
      <xdr:row>67</xdr:row>
      <xdr:rowOff>0</xdr:rowOff>
    </xdr:from>
    <xdr:to>
      <xdr:col>18</xdr:col>
      <xdr:colOff>259080</xdr:colOff>
      <xdr:row>84</xdr:row>
      <xdr:rowOff>137160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236220</xdr:colOff>
      <xdr:row>33</xdr:row>
      <xdr:rowOff>129540</xdr:rowOff>
    </xdr:from>
    <xdr:to>
      <xdr:col>22</xdr:col>
      <xdr:colOff>327660</xdr:colOff>
      <xdr:row>51</xdr:row>
      <xdr:rowOff>22860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75</xdr:row>
      <xdr:rowOff>0</xdr:rowOff>
    </xdr:from>
    <xdr:to>
      <xdr:col>10</xdr:col>
      <xdr:colOff>636270</xdr:colOff>
      <xdr:row>85</xdr:row>
      <xdr:rowOff>9525</xdr:rowOff>
    </xdr:to>
    <xdr:sp macro="" textlink="">
      <xdr:nvSpPr>
        <xdr:cNvPr id="3" name="Rectangle 2"/>
        <xdr:cNvSpPr/>
      </xdr:nvSpPr>
      <xdr:spPr>
        <a:xfrm>
          <a:off x="1828800" y="14478000"/>
          <a:ext cx="4874895" cy="1914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75</xdr:row>
      <xdr:rowOff>0</xdr:rowOff>
    </xdr:from>
    <xdr:to>
      <xdr:col>10</xdr:col>
      <xdr:colOff>632460</xdr:colOff>
      <xdr:row>85</xdr:row>
      <xdr:rowOff>7620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3</xdr:col>
      <xdr:colOff>643890</xdr:colOff>
      <xdr:row>31</xdr:row>
      <xdr:rowOff>26670</xdr:rowOff>
    </xdr:from>
    <xdr:to>
      <xdr:col>20</xdr:col>
      <xdr:colOff>53340</xdr:colOff>
      <xdr:row>46</xdr:row>
      <xdr:rowOff>106680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504825</xdr:colOff>
      <xdr:row>53</xdr:row>
      <xdr:rowOff>0</xdr:rowOff>
    </xdr:from>
    <xdr:to>
      <xdr:col>38</xdr:col>
      <xdr:colOff>504825</xdr:colOff>
      <xdr:row>53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133350</xdr:colOff>
      <xdr:row>53</xdr:row>
      <xdr:rowOff>0</xdr:rowOff>
    </xdr:from>
    <xdr:to>
      <xdr:col>10</xdr:col>
      <xdr:colOff>285750</xdr:colOff>
      <xdr:row>53</xdr:row>
      <xdr:rowOff>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381000</xdr:colOff>
      <xdr:row>53</xdr:row>
      <xdr:rowOff>0</xdr:rowOff>
    </xdr:from>
    <xdr:to>
      <xdr:col>15</xdr:col>
      <xdr:colOff>561975</xdr:colOff>
      <xdr:row>53</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33</xdr:row>
      <xdr:rowOff>0</xdr:rowOff>
    </xdr:from>
    <xdr:to>
      <xdr:col>20</xdr:col>
      <xdr:colOff>38100</xdr:colOff>
      <xdr:row>47</xdr:row>
      <xdr:rowOff>142875</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73</xdr:row>
      <xdr:rowOff>0</xdr:rowOff>
    </xdr:from>
    <xdr:to>
      <xdr:col>9</xdr:col>
      <xdr:colOff>69661</xdr:colOff>
      <xdr:row>81</xdr:row>
      <xdr:rowOff>106584</xdr:rowOff>
    </xdr:to>
    <xdr:sp macro="" textlink="">
      <xdr:nvSpPr>
        <xdr:cNvPr id="6" name="Rectangle 5"/>
        <xdr:cNvSpPr/>
      </xdr:nvSpPr>
      <xdr:spPr>
        <a:xfrm>
          <a:off x="1828800" y="14097000"/>
          <a:ext cx="3727261" cy="163058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73</xdr:row>
      <xdr:rowOff>0</xdr:rowOff>
    </xdr:from>
    <xdr:to>
      <xdr:col>9</xdr:col>
      <xdr:colOff>83820</xdr:colOff>
      <xdr:row>81</xdr:row>
      <xdr:rowOff>129539</xdr:rowOff>
    </xdr:to>
    <xdr:graphicFrame macro="">
      <xdr:nvGraphicFramePr>
        <xdr:cNvPr id="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56</xdr:row>
      <xdr:rowOff>0</xdr:rowOff>
    </xdr:from>
    <xdr:to>
      <xdr:col>16</xdr:col>
      <xdr:colOff>142875</xdr:colOff>
      <xdr:row>56</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114300</xdr:colOff>
      <xdr:row>24</xdr:row>
      <xdr:rowOff>114300</xdr:rowOff>
    </xdr:from>
    <xdr:to>
      <xdr:col>14</xdr:col>
      <xdr:colOff>847725</xdr:colOff>
      <xdr:row>49</xdr:row>
      <xdr:rowOff>95250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oneCellAnchor>
    <xdr:from>
      <xdr:col>3</xdr:col>
      <xdr:colOff>114300</xdr:colOff>
      <xdr:row>16</xdr:row>
      <xdr:rowOff>76200</xdr:rowOff>
    </xdr:from>
    <xdr:ext cx="485775" cy="358140"/>
    <xdr:sp macro="" textlink="">
      <xdr:nvSpPr>
        <xdr:cNvPr id="2" name="Text Box 3"/>
        <xdr:cNvSpPr txBox="1">
          <a:spLocks noChangeArrowheads="1"/>
        </xdr:cNvSpPr>
      </xdr:nvSpPr>
      <xdr:spPr bwMode="auto">
        <a:xfrm>
          <a:off x="1885950" y="3314700"/>
          <a:ext cx="485775" cy="358140"/>
        </a:xfrm>
        <a:prstGeom prst="rect">
          <a:avLst/>
        </a:prstGeom>
        <a:noFill/>
        <a:ln w="9525">
          <a:noFill/>
          <a:miter lim="800000"/>
          <a:headEnd/>
          <a:tailEnd/>
        </a:ln>
      </xdr:spPr>
    </xdr:sp>
    <xdr:clientData/>
  </xdr:oneCellAnchor>
  <xdr:twoCellAnchor>
    <xdr:from>
      <xdr:col>3</xdr:col>
      <xdr:colOff>28575</xdr:colOff>
      <xdr:row>24</xdr:row>
      <xdr:rowOff>47625</xdr:rowOff>
    </xdr:from>
    <xdr:to>
      <xdr:col>25</xdr:col>
      <xdr:colOff>552450</xdr:colOff>
      <xdr:row>42</xdr:row>
      <xdr:rowOff>38100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20</xdr:col>
      <xdr:colOff>95250</xdr:colOff>
      <xdr:row>27</xdr:row>
      <xdr:rowOff>70485</xdr:rowOff>
    </xdr:from>
    <xdr:ext cx="25400" cy="302865"/>
    <xdr:sp macro="" textlink="">
      <xdr:nvSpPr>
        <xdr:cNvPr id="4" name="Text Box 6"/>
        <xdr:cNvSpPr txBox="1">
          <a:spLocks noChangeArrowheads="1"/>
        </xdr:cNvSpPr>
      </xdr:nvSpPr>
      <xdr:spPr bwMode="auto">
        <a:xfrm>
          <a:off x="11906250" y="5404485"/>
          <a:ext cx="25400" cy="302865"/>
        </a:xfrm>
        <a:prstGeom prst="rect">
          <a:avLst/>
        </a:prstGeom>
        <a:noFill/>
        <a:ln w="9525">
          <a:noFill/>
          <a:miter lim="800000"/>
          <a:headEnd/>
          <a:tailEnd/>
        </a:ln>
      </xdr:spPr>
      <xdr:txBody>
        <a:bodyPr wrap="none" lIns="18288" tIns="22860" rIns="0" bIns="0" anchor="t" upright="1">
          <a:spAutoFit/>
        </a:bodyPr>
        <a:lstStyle/>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xdr:txBody>
    </xdr:sp>
    <xdr:clientData/>
  </xdr:oneCellAnchor>
  <xdr:twoCellAnchor>
    <xdr:from>
      <xdr:col>3</xdr:col>
      <xdr:colOff>7620</xdr:colOff>
      <xdr:row>82</xdr:row>
      <xdr:rowOff>22860</xdr:rowOff>
    </xdr:from>
    <xdr:to>
      <xdr:col>13</xdr:col>
      <xdr:colOff>22859</xdr:colOff>
      <xdr:row>96</xdr:row>
      <xdr:rowOff>167639</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114300</xdr:colOff>
      <xdr:row>17</xdr:row>
      <xdr:rowOff>76200</xdr:rowOff>
    </xdr:from>
    <xdr:ext cx="485775" cy="361950"/>
    <xdr:sp macro="" textlink="">
      <xdr:nvSpPr>
        <xdr:cNvPr id="6" name="Text Box 3"/>
        <xdr:cNvSpPr txBox="1">
          <a:spLocks noChangeArrowheads="1"/>
        </xdr:cNvSpPr>
      </xdr:nvSpPr>
      <xdr:spPr bwMode="auto">
        <a:xfrm>
          <a:off x="1885950" y="3505200"/>
          <a:ext cx="485775" cy="361950"/>
        </a:xfrm>
        <a:prstGeom prst="rect">
          <a:avLst/>
        </a:prstGeom>
        <a:noFill/>
        <a:ln w="9525">
          <a:noFill/>
          <a:miter lim="800000"/>
          <a:headEnd/>
          <a:tailEnd/>
        </a:ln>
      </xdr:spPr>
    </xdr:sp>
    <xdr:clientData/>
  </xdr:oneCellAnchor>
</xdr:wsDr>
</file>

<file path=xl/drawings/drawing35.xml><?xml version="1.0" encoding="utf-8"?>
<xdr:wsDr xmlns:xdr="http://schemas.openxmlformats.org/drawingml/2006/spreadsheetDrawing" xmlns:a="http://schemas.openxmlformats.org/drawingml/2006/main">
  <xdr:twoCellAnchor>
    <xdr:from>
      <xdr:col>3</xdr:col>
      <xdr:colOff>7620</xdr:colOff>
      <xdr:row>29</xdr:row>
      <xdr:rowOff>121920</xdr:rowOff>
    </xdr:from>
    <xdr:to>
      <xdr:col>21</xdr:col>
      <xdr:colOff>350520</xdr:colOff>
      <xdr:row>47</xdr:row>
      <xdr:rowOff>68580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56</xdr:row>
      <xdr:rowOff>0</xdr:rowOff>
    </xdr:from>
    <xdr:to>
      <xdr:col>13</xdr:col>
      <xdr:colOff>533400</xdr:colOff>
      <xdr:row>67</xdr:row>
      <xdr:rowOff>104140</xdr:rowOff>
    </xdr:to>
    <xdr:sp macro="" textlink="">
      <xdr:nvSpPr>
        <xdr:cNvPr id="3" name="Rectangle 2"/>
        <xdr:cNvSpPr/>
      </xdr:nvSpPr>
      <xdr:spPr>
        <a:xfrm>
          <a:off x="1457325" y="10744200"/>
          <a:ext cx="7477125" cy="21996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56</xdr:row>
      <xdr:rowOff>0</xdr:rowOff>
    </xdr:from>
    <xdr:to>
      <xdr:col>13</xdr:col>
      <xdr:colOff>556260</xdr:colOff>
      <xdr:row>67</xdr:row>
      <xdr:rowOff>121920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0.52921</cdr:x>
      <cdr:y>0.35561</cdr:y>
    </cdr:from>
    <cdr:to>
      <cdr:x>0.72707</cdr:x>
      <cdr:y>0.44748</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ZA"/>
        </a:p>
      </cdr:txBody>
    </cdr:sp>
  </cdr:relSizeAnchor>
</c:userShapes>
</file>

<file path=xl/drawings/drawing37.xml><?xml version="1.0" encoding="utf-8"?>
<c:userShapes xmlns:c="http://schemas.openxmlformats.org/drawingml/2006/chart">
  <cdr:relSizeAnchor xmlns:cdr="http://schemas.openxmlformats.org/drawingml/2006/chartDrawing">
    <cdr:from>
      <cdr:x>0.52921</cdr:x>
      <cdr:y>0.35561</cdr:y>
    </cdr:from>
    <cdr:to>
      <cdr:x>0.72707</cdr:x>
      <cdr:y>0.44748</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ZA"/>
        </a:p>
      </cdr:txBody>
    </cdr:sp>
  </cdr:relSizeAnchor>
</c:userShapes>
</file>

<file path=xl/drawings/drawing38.xml><?xml version="1.0" encoding="utf-8"?>
<xdr:wsDr xmlns:xdr="http://schemas.openxmlformats.org/drawingml/2006/spreadsheetDrawing" xmlns:a="http://schemas.openxmlformats.org/drawingml/2006/main">
  <xdr:twoCellAnchor>
    <xdr:from>
      <xdr:col>2</xdr:col>
      <xdr:colOff>247650</xdr:colOff>
      <xdr:row>62</xdr:row>
      <xdr:rowOff>87630</xdr:rowOff>
    </xdr:from>
    <xdr:to>
      <xdr:col>12</xdr:col>
      <xdr:colOff>464820</xdr:colOff>
      <xdr:row>74</xdr:row>
      <xdr:rowOff>91440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xdr:col>
      <xdr:colOff>0</xdr:colOff>
      <xdr:row>68</xdr:row>
      <xdr:rowOff>114300</xdr:rowOff>
    </xdr:from>
    <xdr:to>
      <xdr:col>16</xdr:col>
      <xdr:colOff>180975</xdr:colOff>
      <xdr:row>84</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7620</xdr:colOff>
      <xdr:row>135</xdr:row>
      <xdr:rowOff>15240</xdr:rowOff>
    </xdr:from>
    <xdr:to>
      <xdr:col>11</xdr:col>
      <xdr:colOff>190500</xdr:colOff>
      <xdr:row>149</xdr:row>
      <xdr:rowOff>7620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0.07389</cdr:x>
      <cdr:y>0.56682</cdr:y>
    </cdr:from>
    <cdr:to>
      <cdr:x>0.96835</cdr:x>
      <cdr:y>0.56682</cdr:y>
    </cdr:to>
    <cdr:sp macro="" textlink="">
      <cdr:nvSpPr>
        <cdr:cNvPr id="7170" name="Line 1026"/>
        <cdr:cNvSpPr>
          <a:spLocks xmlns:a="http://schemas.openxmlformats.org/drawingml/2006/main" noChangeShapeType="1"/>
        </cdr:cNvSpPr>
      </cdr:nvSpPr>
      <cdr:spPr bwMode="auto">
        <a:xfrm xmlns:a="http://schemas.openxmlformats.org/drawingml/2006/main">
          <a:off x="853907" y="1939305"/>
          <a:ext cx="10336139" cy="0"/>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40.xml><?xml version="1.0" encoding="utf-8"?>
<xdr:wsDr xmlns:xdr="http://schemas.openxmlformats.org/drawingml/2006/spreadsheetDrawing" xmlns:a="http://schemas.openxmlformats.org/drawingml/2006/main">
  <xdr:twoCellAnchor>
    <xdr:from>
      <xdr:col>2</xdr:col>
      <xdr:colOff>472440</xdr:colOff>
      <xdr:row>24</xdr:row>
      <xdr:rowOff>114300</xdr:rowOff>
    </xdr:from>
    <xdr:to>
      <xdr:col>19</xdr:col>
      <xdr:colOff>449580</xdr:colOff>
      <xdr:row>35</xdr:row>
      <xdr:rowOff>53340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2</xdr:col>
      <xdr:colOff>200025</xdr:colOff>
      <xdr:row>15</xdr:row>
      <xdr:rowOff>152400</xdr:rowOff>
    </xdr:from>
    <xdr:to>
      <xdr:col>15</xdr:col>
      <xdr:colOff>295275</xdr:colOff>
      <xdr:row>30</xdr:row>
      <xdr:rowOff>38100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2</xdr:col>
      <xdr:colOff>213360</xdr:colOff>
      <xdr:row>39</xdr:row>
      <xdr:rowOff>60959</xdr:rowOff>
    </xdr:from>
    <xdr:to>
      <xdr:col>22</xdr:col>
      <xdr:colOff>209550</xdr:colOff>
      <xdr:row>52</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3</xdr:col>
      <xdr:colOff>9526</xdr:colOff>
      <xdr:row>13</xdr:row>
      <xdr:rowOff>161925</xdr:rowOff>
    </xdr:from>
    <xdr:to>
      <xdr:col>17</xdr:col>
      <xdr:colOff>0</xdr:colOff>
      <xdr:row>27</xdr:row>
      <xdr:rowOff>819150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37</xdr:row>
      <xdr:rowOff>0</xdr:rowOff>
    </xdr:from>
    <xdr:to>
      <xdr:col>6</xdr:col>
      <xdr:colOff>669290</xdr:colOff>
      <xdr:row>50</xdr:row>
      <xdr:rowOff>113030</xdr:rowOff>
    </xdr:to>
    <xdr:sp macro="" textlink="">
      <xdr:nvSpPr>
        <xdr:cNvPr id="4" name="Rectangle 3"/>
        <xdr:cNvSpPr/>
      </xdr:nvSpPr>
      <xdr:spPr>
        <a:xfrm>
          <a:off x="1457325" y="8077200"/>
          <a:ext cx="3060065" cy="24752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7621</xdr:colOff>
      <xdr:row>37</xdr:row>
      <xdr:rowOff>0</xdr:rowOff>
    </xdr:from>
    <xdr:to>
      <xdr:col>6</xdr:col>
      <xdr:colOff>678180</xdr:colOff>
      <xdr:row>50</xdr:row>
      <xdr:rowOff>106679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205740</xdr:colOff>
      <xdr:row>26</xdr:row>
      <xdr:rowOff>7620</xdr:rowOff>
    </xdr:from>
    <xdr:to>
      <xdr:col>9</xdr:col>
      <xdr:colOff>365760</xdr:colOff>
      <xdr:row>43</xdr:row>
      <xdr:rowOff>7620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205739</xdr:colOff>
      <xdr:row>25</xdr:row>
      <xdr:rowOff>114300</xdr:rowOff>
    </xdr:from>
    <xdr:to>
      <xdr:col>12</xdr:col>
      <xdr:colOff>28575</xdr:colOff>
      <xdr:row>42</xdr:row>
      <xdr:rowOff>104776</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455295</xdr:colOff>
      <xdr:row>25</xdr:row>
      <xdr:rowOff>112395</xdr:rowOff>
    </xdr:from>
    <xdr:to>
      <xdr:col>24</xdr:col>
      <xdr:colOff>594360</xdr:colOff>
      <xdr:row>42</xdr:row>
      <xdr:rowOff>142875</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3</xdr:col>
      <xdr:colOff>1905</xdr:colOff>
      <xdr:row>12</xdr:row>
      <xdr:rowOff>30481</xdr:rowOff>
    </xdr:from>
    <xdr:to>
      <xdr:col>23</xdr:col>
      <xdr:colOff>600075</xdr:colOff>
      <xdr:row>28</xdr:row>
      <xdr:rowOff>9526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441960</xdr:colOff>
      <xdr:row>98</xdr:row>
      <xdr:rowOff>137160</xdr:rowOff>
    </xdr:from>
    <xdr:to>
      <xdr:col>13</xdr:col>
      <xdr:colOff>396240</xdr:colOff>
      <xdr:row>114</xdr:row>
      <xdr:rowOff>167640</xdr:rowOff>
    </xdr:to>
    <xdr:sp macro="" textlink="">
      <xdr:nvSpPr>
        <xdr:cNvPr id="3" name="Rectangle 1"/>
        <xdr:cNvSpPr>
          <a:spLocks noChangeArrowheads="1"/>
        </xdr:cNvSpPr>
      </xdr:nvSpPr>
      <xdr:spPr bwMode="auto">
        <a:xfrm>
          <a:off x="689610" y="18329910"/>
          <a:ext cx="6221730" cy="3078480"/>
        </a:xfrm>
        <a:prstGeom prst="rect">
          <a:avLst/>
        </a:prstGeom>
        <a:solidFill>
          <a:srgbClr val="4F81BD"/>
        </a:solidFill>
        <a:ln w="38100">
          <a:solidFill>
            <a:srgbClr val="F2F2F2"/>
          </a:solidFill>
          <a:miter lim="800000"/>
          <a:headEnd/>
          <a:tailEnd/>
        </a:ln>
        <a:effectLst>
          <a:outerShdw dist="28398" dir="3806097" algn="ctr" rotWithShape="0">
            <a:srgbClr val="243F60">
              <a:alpha val="50000"/>
            </a:srgbClr>
          </a:outerShdw>
        </a:effectLst>
      </xdr:spPr>
    </xdr:sp>
    <xdr:clientData/>
  </xdr:twoCellAnchor>
</xdr:wsDr>
</file>

<file path=xl/drawings/drawing46.xml><?xml version="1.0" encoding="utf-8"?>
<xdr:wsDr xmlns:xdr="http://schemas.openxmlformats.org/drawingml/2006/spreadsheetDrawing" xmlns:a="http://schemas.openxmlformats.org/drawingml/2006/main">
  <xdr:twoCellAnchor>
    <xdr:from>
      <xdr:col>3</xdr:col>
      <xdr:colOff>7620</xdr:colOff>
      <xdr:row>31</xdr:row>
      <xdr:rowOff>0</xdr:rowOff>
    </xdr:from>
    <xdr:to>
      <xdr:col>15</xdr:col>
      <xdr:colOff>0</xdr:colOff>
      <xdr:row>47</xdr:row>
      <xdr:rowOff>68580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59</xdr:row>
      <xdr:rowOff>0</xdr:rowOff>
    </xdr:from>
    <xdr:to>
      <xdr:col>11</xdr:col>
      <xdr:colOff>464820</xdr:colOff>
      <xdr:row>69</xdr:row>
      <xdr:rowOff>106045</xdr:rowOff>
    </xdr:to>
    <xdr:sp macro="" textlink="">
      <xdr:nvSpPr>
        <xdr:cNvPr id="3" name="Rectangle 2"/>
        <xdr:cNvSpPr/>
      </xdr:nvSpPr>
      <xdr:spPr>
        <a:xfrm>
          <a:off x="1828800" y="11239500"/>
          <a:ext cx="5341620" cy="20110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59</xdr:row>
      <xdr:rowOff>0</xdr:rowOff>
    </xdr:from>
    <xdr:to>
      <xdr:col>11</xdr:col>
      <xdr:colOff>487680</xdr:colOff>
      <xdr:row>69</xdr:row>
      <xdr:rowOff>137160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0.52798</cdr:x>
      <cdr:y>0.35536</cdr:y>
    </cdr:from>
    <cdr:to>
      <cdr:x>0.72608</cdr:x>
      <cdr:y>0.44675</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8.xml><?xml version="1.0" encoding="utf-8"?>
<c:userShapes xmlns:c="http://schemas.openxmlformats.org/drawingml/2006/chart">
  <cdr:relSizeAnchor xmlns:cdr="http://schemas.openxmlformats.org/drawingml/2006/chartDrawing">
    <cdr:from>
      <cdr:x>0.52798</cdr:x>
      <cdr:y>0.35536</cdr:y>
    </cdr:from>
    <cdr:to>
      <cdr:x>0.72608</cdr:x>
      <cdr:y>0.44675</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9.xml><?xml version="1.0" encoding="utf-8"?>
<xdr:wsDr xmlns:xdr="http://schemas.openxmlformats.org/drawingml/2006/spreadsheetDrawing" xmlns:a="http://schemas.openxmlformats.org/drawingml/2006/main">
  <xdr:twoCellAnchor>
    <xdr:from>
      <xdr:col>3</xdr:col>
      <xdr:colOff>0</xdr:colOff>
      <xdr:row>25</xdr:row>
      <xdr:rowOff>0</xdr:rowOff>
    </xdr:from>
    <xdr:to>
      <xdr:col>13</xdr:col>
      <xdr:colOff>464820</xdr:colOff>
      <xdr:row>41</xdr:row>
      <xdr:rowOff>60960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xdr:colOff>
      <xdr:row>8</xdr:row>
      <xdr:rowOff>133350</xdr:rowOff>
    </xdr:from>
    <xdr:to>
      <xdr:col>24</xdr:col>
      <xdr:colOff>476250</xdr:colOff>
      <xdr:row>28</xdr:row>
      <xdr:rowOff>95250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39</xdr:row>
      <xdr:rowOff>0</xdr:rowOff>
    </xdr:from>
    <xdr:to>
      <xdr:col>17</xdr:col>
      <xdr:colOff>120650</xdr:colOff>
      <xdr:row>56</xdr:row>
      <xdr:rowOff>179070</xdr:rowOff>
    </xdr:to>
    <xdr:sp macro="" textlink="">
      <xdr:nvSpPr>
        <xdr:cNvPr id="3" name="Rectangle 2"/>
        <xdr:cNvSpPr/>
      </xdr:nvSpPr>
      <xdr:spPr>
        <a:xfrm>
          <a:off x="3086100" y="7781925"/>
          <a:ext cx="6092825" cy="34175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6</xdr:col>
      <xdr:colOff>0</xdr:colOff>
      <xdr:row>39</xdr:row>
      <xdr:rowOff>0</xdr:rowOff>
    </xdr:from>
    <xdr:to>
      <xdr:col>17</xdr:col>
      <xdr:colOff>129540</xdr:colOff>
      <xdr:row>56</xdr:row>
      <xdr:rowOff>167640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3</xdr:col>
      <xdr:colOff>0</xdr:colOff>
      <xdr:row>32</xdr:row>
      <xdr:rowOff>76200</xdr:rowOff>
    </xdr:from>
    <xdr:to>
      <xdr:col>20</xdr:col>
      <xdr:colOff>266700</xdr:colOff>
      <xdr:row>54</xdr:row>
      <xdr:rowOff>91440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81</xdr:row>
      <xdr:rowOff>0</xdr:rowOff>
    </xdr:from>
    <xdr:to>
      <xdr:col>11</xdr:col>
      <xdr:colOff>389792</xdr:colOff>
      <xdr:row>93</xdr:row>
      <xdr:rowOff>22860</xdr:rowOff>
    </xdr:to>
    <xdr:sp macro="" textlink="">
      <xdr:nvSpPr>
        <xdr:cNvPr id="3" name="Rectangle 2"/>
        <xdr:cNvSpPr/>
      </xdr:nvSpPr>
      <xdr:spPr>
        <a:xfrm>
          <a:off x="1828800" y="15430500"/>
          <a:ext cx="5266592" cy="23088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3</xdr:col>
      <xdr:colOff>13335</xdr:colOff>
      <xdr:row>26</xdr:row>
      <xdr:rowOff>74295</xdr:rowOff>
    </xdr:from>
    <xdr:to>
      <xdr:col>21</xdr:col>
      <xdr:colOff>476250</xdr:colOff>
      <xdr:row>41</xdr:row>
      <xdr:rowOff>173355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59</xdr:row>
      <xdr:rowOff>0</xdr:rowOff>
    </xdr:from>
    <xdr:to>
      <xdr:col>13</xdr:col>
      <xdr:colOff>434340</xdr:colOff>
      <xdr:row>72</xdr:row>
      <xdr:rowOff>60960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0.00025</cdr:x>
      <cdr:y>0.25276</cdr:y>
    </cdr:from>
    <cdr:to>
      <cdr:x>0.00505</cdr:x>
      <cdr:y>0.58633</cdr:y>
    </cdr:to>
    <cdr:sp macro="" textlink="">
      <cdr:nvSpPr>
        <cdr:cNvPr id="2" name="TextBox 1"/>
        <cdr:cNvSpPr txBox="1"/>
      </cdr:nvSpPr>
      <cdr:spPr>
        <a:xfrm xmlns:a="http://schemas.openxmlformats.org/drawingml/2006/main">
          <a:off x="0" y="695325"/>
          <a:ext cx="47624" cy="914400"/>
        </a:xfrm>
        <a:prstGeom xmlns:a="http://schemas.openxmlformats.org/drawingml/2006/main" prst="rect">
          <a:avLst/>
        </a:prstGeom>
      </cdr:spPr>
      <cdr:txBody>
        <a:bodyPr xmlns:a="http://schemas.openxmlformats.org/drawingml/2006/main" vertOverflow="clip" vert="eaVert" wrap="none" rtlCol="0"/>
        <a:lstStyle xmlns:a="http://schemas.openxmlformats.org/drawingml/2006/main"/>
        <a:p xmlns:a="http://schemas.openxmlformats.org/drawingml/2006/main">
          <a:endParaRPr lang="en-ZA"/>
        </a:p>
      </cdr:txBody>
    </cdr:sp>
  </cdr:relSizeAnchor>
  <cdr:relSizeAnchor xmlns:cdr="http://schemas.openxmlformats.org/drawingml/2006/chartDrawing">
    <cdr:from>
      <cdr:x>0.00505</cdr:x>
      <cdr:y>0.24929</cdr:y>
    </cdr:from>
    <cdr:to>
      <cdr:x>0.01186</cdr:x>
      <cdr:y>0.62428</cdr:y>
    </cdr:to>
    <cdr:sp macro="" textlink="">
      <cdr:nvSpPr>
        <cdr:cNvPr id="3" name="TextBox 2"/>
        <cdr:cNvSpPr txBox="1"/>
      </cdr:nvSpPr>
      <cdr:spPr>
        <a:xfrm xmlns:a="http://schemas.openxmlformats.org/drawingml/2006/main">
          <a:off x="47624" y="685800"/>
          <a:ext cx="66675" cy="102870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US" sz="900">
              <a:latin typeface="Arial Narrow" pitchFamily="34" charset="0"/>
              <a:cs typeface="Arial" pitchFamily="34" charset="0"/>
            </a:rPr>
            <a:t>Number</a:t>
          </a:r>
          <a:endParaRPr lang="en-US" sz="900" b="1">
            <a:latin typeface="Arial Narrow" pitchFamily="34" charset="0"/>
            <a:cs typeface="Arial" pitchFamily="34" charset="0"/>
          </a:endParaRPr>
        </a:p>
      </cdr:txBody>
    </cdr:sp>
  </cdr:relSizeAnchor>
  <cdr:relSizeAnchor xmlns:cdr="http://schemas.openxmlformats.org/drawingml/2006/chartDrawing">
    <cdr:from>
      <cdr:x>0</cdr:x>
      <cdr:y>0</cdr:y>
    </cdr:from>
    <cdr:to>
      <cdr:x>0</cdr:x>
      <cdr:y>0</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0.98587</cdr:x>
      <cdr:y>0.26318</cdr:y>
    </cdr:from>
    <cdr:to>
      <cdr:x>0.99596</cdr:x>
      <cdr:y>0.5898</cdr:y>
    </cdr:to>
    <cdr:sp macro="" textlink="">
      <cdr:nvSpPr>
        <cdr:cNvPr id="5" name="TextBox 4"/>
        <cdr:cNvSpPr txBox="1"/>
      </cdr:nvSpPr>
      <cdr:spPr>
        <a:xfrm xmlns:a="http://schemas.openxmlformats.org/drawingml/2006/main">
          <a:off x="9305924" y="723900"/>
          <a:ext cx="95250" cy="89535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r"/>
          <a:r>
            <a:rPr lang="en-US" sz="1000">
              <a:latin typeface="Arial Narrow" panose="020B0606020202030204" pitchFamily="34" charset="0"/>
              <a:cs typeface="Arial" pitchFamily="34" charset="0"/>
            </a:rPr>
            <a:t>Pass</a:t>
          </a:r>
          <a:r>
            <a:rPr lang="en-US" sz="1100"/>
            <a:t> rate</a:t>
          </a:r>
        </a:p>
      </cdr:txBody>
    </cdr:sp>
  </cdr:relSizeAnchor>
</c:userShapes>
</file>

<file path=xl/drawings/drawing53.xml><?xml version="1.0" encoding="utf-8"?>
<c:userShapes xmlns:c="http://schemas.openxmlformats.org/drawingml/2006/chart">
  <cdr:relSizeAnchor xmlns:cdr="http://schemas.openxmlformats.org/drawingml/2006/chartDrawing">
    <cdr:from>
      <cdr:x>0.00025</cdr:x>
      <cdr:y>0.25276</cdr:y>
    </cdr:from>
    <cdr:to>
      <cdr:x>0.00505</cdr:x>
      <cdr:y>0.58633</cdr:y>
    </cdr:to>
    <cdr:sp macro="" textlink="">
      <cdr:nvSpPr>
        <cdr:cNvPr id="2" name="TextBox 1"/>
        <cdr:cNvSpPr txBox="1"/>
      </cdr:nvSpPr>
      <cdr:spPr>
        <a:xfrm xmlns:a="http://schemas.openxmlformats.org/drawingml/2006/main">
          <a:off x="0" y="695325"/>
          <a:ext cx="47624" cy="914400"/>
        </a:xfrm>
        <a:prstGeom xmlns:a="http://schemas.openxmlformats.org/drawingml/2006/main" prst="rect">
          <a:avLst/>
        </a:prstGeom>
      </cdr:spPr>
      <cdr:txBody>
        <a:bodyPr xmlns:a="http://schemas.openxmlformats.org/drawingml/2006/main" vertOverflow="clip" vert="eaVert" wrap="none" rtlCol="0"/>
        <a:lstStyle xmlns:a="http://schemas.openxmlformats.org/drawingml/2006/main"/>
        <a:p xmlns:a="http://schemas.openxmlformats.org/drawingml/2006/main">
          <a:endParaRPr lang="en-ZA"/>
        </a:p>
      </cdr:txBody>
    </cdr:sp>
  </cdr:relSizeAnchor>
  <cdr:relSizeAnchor xmlns:cdr="http://schemas.openxmlformats.org/drawingml/2006/chartDrawing">
    <cdr:from>
      <cdr:x>0.00505</cdr:x>
      <cdr:y>0.24929</cdr:y>
    </cdr:from>
    <cdr:to>
      <cdr:x>0.03275</cdr:x>
      <cdr:y>0.62428</cdr:y>
    </cdr:to>
    <cdr:sp macro="" textlink="">
      <cdr:nvSpPr>
        <cdr:cNvPr id="3" name="TextBox 2"/>
        <cdr:cNvSpPr txBox="1"/>
      </cdr:nvSpPr>
      <cdr:spPr>
        <a:xfrm xmlns:a="http://schemas.openxmlformats.org/drawingml/2006/main">
          <a:off x="32900" y="583174"/>
          <a:ext cx="180459" cy="877229"/>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US" sz="800">
              <a:latin typeface="Arial Narrow" pitchFamily="34" charset="0"/>
              <a:cs typeface="Arial" pitchFamily="34" charset="0"/>
            </a:rPr>
            <a:t>Number</a:t>
          </a:r>
          <a:endParaRPr lang="en-US" sz="900" b="1">
            <a:latin typeface="Arial Narrow" pitchFamily="34" charset="0"/>
            <a:cs typeface="Arial" pitchFamily="34" charset="0"/>
          </a:endParaRPr>
        </a:p>
      </cdr:txBody>
    </cdr:sp>
  </cdr:relSizeAnchor>
  <cdr:relSizeAnchor xmlns:cdr="http://schemas.openxmlformats.org/drawingml/2006/chartDrawing">
    <cdr:from>
      <cdr:x>0</cdr:x>
      <cdr:y>0</cdr:y>
    </cdr:from>
    <cdr:to>
      <cdr:x>0</cdr:x>
      <cdr:y>0</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0.9695</cdr:x>
      <cdr:y>0.26318</cdr:y>
    </cdr:from>
    <cdr:to>
      <cdr:x>0.98947</cdr:x>
      <cdr:y>0.5898</cdr:y>
    </cdr:to>
    <cdr:sp macro="" textlink="">
      <cdr:nvSpPr>
        <cdr:cNvPr id="5" name="TextBox 4"/>
        <cdr:cNvSpPr txBox="1"/>
      </cdr:nvSpPr>
      <cdr:spPr>
        <a:xfrm xmlns:a="http://schemas.openxmlformats.org/drawingml/2006/main">
          <a:off x="6316362" y="615668"/>
          <a:ext cx="130158" cy="764075"/>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r"/>
          <a:r>
            <a:rPr lang="en-US" sz="800">
              <a:latin typeface="Arial Narrow" pitchFamily="34" charset="0"/>
              <a:cs typeface="Arial" pitchFamily="34" charset="0"/>
            </a:rPr>
            <a:t>Pass</a:t>
          </a:r>
          <a:r>
            <a:rPr lang="en-US" sz="1100"/>
            <a:t> </a:t>
          </a:r>
          <a:r>
            <a:rPr lang="en-US" sz="900"/>
            <a:t>rate</a:t>
          </a:r>
          <a:endParaRPr lang="en-US" sz="1100"/>
        </a:p>
      </cdr:txBody>
    </cdr:sp>
  </cdr:relSizeAnchor>
</c:userShapes>
</file>

<file path=xl/drawings/drawing54.xml><?xml version="1.0" encoding="utf-8"?>
<xdr:wsDr xmlns:xdr="http://schemas.openxmlformats.org/drawingml/2006/spreadsheetDrawing" xmlns:a="http://schemas.openxmlformats.org/drawingml/2006/main">
  <xdr:twoCellAnchor>
    <xdr:from>
      <xdr:col>3</xdr:col>
      <xdr:colOff>25037</xdr:colOff>
      <xdr:row>14</xdr:row>
      <xdr:rowOff>165462</xdr:rowOff>
    </xdr:from>
    <xdr:to>
      <xdr:col>5</xdr:col>
      <xdr:colOff>537210</xdr:colOff>
      <xdr:row>28</xdr:row>
      <xdr:rowOff>137159</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308610</xdr:colOff>
      <xdr:row>14</xdr:row>
      <xdr:rowOff>104775</xdr:rowOff>
    </xdr:from>
    <xdr:to>
      <xdr:col>19</xdr:col>
      <xdr:colOff>447403</xdr:colOff>
      <xdr:row>28</xdr:row>
      <xdr:rowOff>118382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2</xdr:col>
      <xdr:colOff>129540</xdr:colOff>
      <xdr:row>29</xdr:row>
      <xdr:rowOff>60960</xdr:rowOff>
    </xdr:from>
    <xdr:to>
      <xdr:col>20</xdr:col>
      <xdr:colOff>579120</xdr:colOff>
      <xdr:row>44</xdr:row>
      <xdr:rowOff>83820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66</xdr:row>
      <xdr:rowOff>0</xdr:rowOff>
    </xdr:from>
    <xdr:to>
      <xdr:col>15</xdr:col>
      <xdr:colOff>0</xdr:colOff>
      <xdr:row>82</xdr:row>
      <xdr:rowOff>11723</xdr:rowOff>
    </xdr:to>
    <xdr:sp macro="" textlink="">
      <xdr:nvSpPr>
        <xdr:cNvPr id="3" name="Rectangle 2"/>
        <xdr:cNvSpPr/>
      </xdr:nvSpPr>
      <xdr:spPr>
        <a:xfrm>
          <a:off x="3048000" y="12573000"/>
          <a:ext cx="6096000" cy="30597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5</xdr:col>
      <xdr:colOff>0</xdr:colOff>
      <xdr:row>66</xdr:row>
      <xdr:rowOff>0</xdr:rowOff>
    </xdr:from>
    <xdr:to>
      <xdr:col>15</xdr:col>
      <xdr:colOff>22860</xdr:colOff>
      <xdr:row>82</xdr:row>
      <xdr:rowOff>22860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3</xdr:col>
      <xdr:colOff>28574</xdr:colOff>
      <xdr:row>23</xdr:row>
      <xdr:rowOff>9525</xdr:rowOff>
    </xdr:from>
    <xdr:to>
      <xdr:col>25</xdr:col>
      <xdr:colOff>487679</xdr:colOff>
      <xdr:row>39</xdr:row>
      <xdr:rowOff>106680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95250</xdr:colOff>
      <xdr:row>44</xdr:row>
      <xdr:rowOff>0</xdr:rowOff>
    </xdr:from>
    <xdr:to>
      <xdr:col>17</xdr:col>
      <xdr:colOff>152400</xdr:colOff>
      <xdr:row>44</xdr:row>
      <xdr:rowOff>0</xdr:rowOff>
    </xdr:to>
    <xdr:graphicFrame macro="">
      <xdr:nvGraphicFramePr>
        <xdr:cNvPr id="3"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57150</xdr:colOff>
      <xdr:row>19</xdr:row>
      <xdr:rowOff>71437</xdr:rowOff>
    </xdr:from>
    <xdr:to>
      <xdr:col>50</xdr:col>
      <xdr:colOff>438150</xdr:colOff>
      <xdr:row>33</xdr:row>
      <xdr:rowOff>176212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9</xdr:col>
      <xdr:colOff>99060</xdr:colOff>
      <xdr:row>30</xdr:row>
      <xdr:rowOff>0</xdr:rowOff>
    </xdr:from>
    <xdr:to>
      <xdr:col>19</xdr:col>
      <xdr:colOff>0</xdr:colOff>
      <xdr:row>30</xdr:row>
      <xdr:rowOff>0</xdr:rowOff>
    </xdr:to>
    <xdr:graphicFrame macro="">
      <xdr:nvGraphicFramePr>
        <xdr:cNvPr id="2"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213360</xdr:colOff>
      <xdr:row>34</xdr:row>
      <xdr:rowOff>137160</xdr:rowOff>
    </xdr:from>
    <xdr:to>
      <xdr:col>19</xdr:col>
      <xdr:colOff>0</xdr:colOff>
      <xdr:row>56</xdr:row>
      <xdr:rowOff>76200</xdr:rowOff>
    </xdr:to>
    <xdr:graphicFrame macro="">
      <xdr:nvGraphicFramePr>
        <xdr:cNvPr id="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60</xdr:row>
      <xdr:rowOff>0</xdr:rowOff>
    </xdr:from>
    <xdr:to>
      <xdr:col>19</xdr:col>
      <xdr:colOff>0</xdr:colOff>
      <xdr:row>83</xdr:row>
      <xdr:rowOff>91440</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868680</xdr:colOff>
      <xdr:row>32</xdr:row>
      <xdr:rowOff>137160</xdr:rowOff>
    </xdr:from>
    <xdr:to>
      <xdr:col>9</xdr:col>
      <xdr:colOff>259080</xdr:colOff>
      <xdr:row>64</xdr:row>
      <xdr:rowOff>68580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396240</xdr:colOff>
      <xdr:row>32</xdr:row>
      <xdr:rowOff>121920</xdr:rowOff>
    </xdr:from>
    <xdr:to>
      <xdr:col>18</xdr:col>
      <xdr:colOff>0</xdr:colOff>
      <xdr:row>64</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9</xdr:col>
      <xdr:colOff>99060</xdr:colOff>
      <xdr:row>41</xdr:row>
      <xdr:rowOff>0</xdr:rowOff>
    </xdr:from>
    <xdr:to>
      <xdr:col>20</xdr:col>
      <xdr:colOff>152400</xdr:colOff>
      <xdr:row>41</xdr:row>
      <xdr:rowOff>0</xdr:rowOff>
    </xdr:to>
    <xdr:graphicFrame macro="">
      <xdr:nvGraphicFramePr>
        <xdr:cNvPr id="2"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9</xdr:col>
      <xdr:colOff>99060</xdr:colOff>
      <xdr:row>34</xdr:row>
      <xdr:rowOff>0</xdr:rowOff>
    </xdr:from>
    <xdr:to>
      <xdr:col>19</xdr:col>
      <xdr:colOff>0</xdr:colOff>
      <xdr:row>34</xdr:row>
      <xdr:rowOff>0</xdr:rowOff>
    </xdr:to>
    <xdr:graphicFrame macro="">
      <xdr:nvGraphicFramePr>
        <xdr:cNvPr id="2"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0.07514</cdr:x>
      <cdr:y>0.68183</cdr:y>
    </cdr:from>
    <cdr:to>
      <cdr:x>0.99756</cdr:x>
      <cdr:y>0.68393</cdr:y>
    </cdr:to>
    <cdr:sp macro="" textlink="">
      <cdr:nvSpPr>
        <cdr:cNvPr id="10241" name="Line 1"/>
        <cdr:cNvSpPr>
          <a:spLocks xmlns:a="http://schemas.openxmlformats.org/drawingml/2006/main" noChangeShapeType="1"/>
        </cdr:cNvSpPr>
      </cdr:nvSpPr>
      <cdr:spPr bwMode="auto">
        <a:xfrm xmlns:a="http://schemas.openxmlformats.org/drawingml/2006/main" flipV="1">
          <a:off x="891019" y="2571800"/>
          <a:ext cx="10938633" cy="7921"/>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60.xml><?xml version="1.0" encoding="utf-8"?>
<xdr:wsDr xmlns:xdr="http://schemas.openxmlformats.org/drawingml/2006/spreadsheetDrawing" xmlns:a="http://schemas.openxmlformats.org/drawingml/2006/main">
  <xdr:twoCellAnchor>
    <xdr:from>
      <xdr:col>2</xdr:col>
      <xdr:colOff>167640</xdr:colOff>
      <xdr:row>43</xdr:row>
      <xdr:rowOff>0</xdr:rowOff>
    </xdr:from>
    <xdr:to>
      <xdr:col>17</xdr:col>
      <xdr:colOff>312420</xdr:colOff>
      <xdr:row>43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7620</xdr:colOff>
      <xdr:row>19</xdr:row>
      <xdr:rowOff>66676</xdr:rowOff>
    </xdr:from>
    <xdr:to>
      <xdr:col>18</xdr:col>
      <xdr:colOff>276225</xdr:colOff>
      <xdr:row>37</xdr:row>
      <xdr:rowOff>47626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373380</xdr:colOff>
      <xdr:row>59</xdr:row>
      <xdr:rowOff>144780</xdr:rowOff>
    </xdr:from>
    <xdr:to>
      <xdr:col>13</xdr:col>
      <xdr:colOff>83820</xdr:colOff>
      <xdr:row>77</xdr:row>
      <xdr:rowOff>121920</xdr:rowOff>
    </xdr:to>
    <xdr:sp macro="" textlink="">
      <xdr:nvSpPr>
        <xdr:cNvPr id="4" name="Rectangle 1"/>
        <xdr:cNvSpPr>
          <a:spLocks noChangeArrowheads="1"/>
        </xdr:cNvSpPr>
      </xdr:nvSpPr>
      <xdr:spPr bwMode="auto">
        <a:xfrm>
          <a:off x="2202180" y="11384280"/>
          <a:ext cx="5806440" cy="3406140"/>
        </a:xfrm>
        <a:prstGeom prst="rect">
          <a:avLst/>
        </a:prstGeom>
        <a:solidFill>
          <a:srgbClr val="4F81BD"/>
        </a:solidFill>
        <a:ln w="38100">
          <a:solidFill>
            <a:srgbClr val="F2F2F2"/>
          </a:solidFill>
          <a:miter lim="800000"/>
          <a:headEnd/>
          <a:tailEnd/>
        </a:ln>
        <a:effectLst>
          <a:outerShdw dist="28398" dir="3806097" algn="ctr" rotWithShape="0">
            <a:srgbClr val="243F60">
              <a:alpha val="50000"/>
            </a:srgbClr>
          </a:outerShdw>
        </a:effectLst>
      </xdr:spPr>
    </xdr:sp>
    <xdr:clientData/>
  </xdr:twoCellAnchor>
  <xdr:twoCellAnchor>
    <xdr:from>
      <xdr:col>3</xdr:col>
      <xdr:colOff>373380</xdr:colOff>
      <xdr:row>59</xdr:row>
      <xdr:rowOff>144780</xdr:rowOff>
    </xdr:from>
    <xdr:to>
      <xdr:col>13</xdr:col>
      <xdr:colOff>171450</xdr:colOff>
      <xdr:row>77</xdr:row>
      <xdr:rowOff>144780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3</xdr:col>
      <xdr:colOff>0</xdr:colOff>
      <xdr:row>11</xdr:row>
      <xdr:rowOff>99060</xdr:rowOff>
    </xdr:from>
    <xdr:to>
      <xdr:col>32</xdr:col>
      <xdr:colOff>297180</xdr:colOff>
      <xdr:row>26</xdr:row>
      <xdr:rowOff>22860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426720</xdr:colOff>
      <xdr:row>51</xdr:row>
      <xdr:rowOff>160020</xdr:rowOff>
    </xdr:from>
    <xdr:to>
      <xdr:col>20</xdr:col>
      <xdr:colOff>129540</xdr:colOff>
      <xdr:row>63</xdr:row>
      <xdr:rowOff>137160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2</xdr:col>
      <xdr:colOff>243840</xdr:colOff>
      <xdr:row>10</xdr:row>
      <xdr:rowOff>167640</xdr:rowOff>
    </xdr:from>
    <xdr:to>
      <xdr:col>32</xdr:col>
      <xdr:colOff>342900</xdr:colOff>
      <xdr:row>26</xdr:row>
      <xdr:rowOff>60960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2</xdr:col>
      <xdr:colOff>205740</xdr:colOff>
      <xdr:row>13</xdr:row>
      <xdr:rowOff>114300</xdr:rowOff>
    </xdr:from>
    <xdr:to>
      <xdr:col>14</xdr:col>
      <xdr:colOff>342900</xdr:colOff>
      <xdr:row>28</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42</xdr:row>
      <xdr:rowOff>0</xdr:rowOff>
    </xdr:from>
    <xdr:to>
      <xdr:col>15</xdr:col>
      <xdr:colOff>86360</xdr:colOff>
      <xdr:row>54</xdr:row>
      <xdr:rowOff>142240</xdr:rowOff>
    </xdr:to>
    <xdr:sp macro="" textlink="">
      <xdr:nvSpPr>
        <xdr:cNvPr id="3" name="Rectangle 2"/>
        <xdr:cNvSpPr/>
      </xdr:nvSpPr>
      <xdr:spPr>
        <a:xfrm>
          <a:off x="1828800" y="8191500"/>
          <a:ext cx="7401560" cy="24282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42</xdr:row>
      <xdr:rowOff>0</xdr:rowOff>
    </xdr:from>
    <xdr:to>
      <xdr:col>15</xdr:col>
      <xdr:colOff>91440</xdr:colOff>
      <xdr:row>54</xdr:row>
      <xdr:rowOff>114300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0.59004</cdr:x>
      <cdr:y>0.46289</cdr:y>
    </cdr:from>
    <cdr:to>
      <cdr:x>0.85057</cdr:x>
      <cdr:y>0.60126</cdr:y>
    </cdr:to>
    <cdr:cxnSp macro="">
      <cdr:nvCxnSpPr>
        <cdr:cNvPr id="3" name="Straight Connector 2"/>
        <cdr:cNvCxnSpPr/>
      </cdr:nvCxnSpPr>
      <cdr:spPr>
        <a:xfrm xmlns:a="http://schemas.openxmlformats.org/drawingml/2006/main">
          <a:off x="3520440" y="1402080"/>
          <a:ext cx="1554480" cy="419100"/>
        </a:xfrm>
        <a:prstGeom xmlns:a="http://schemas.openxmlformats.org/drawingml/2006/main" prst="line">
          <a:avLst/>
        </a:prstGeom>
        <a:ln xmlns:a="http://schemas.openxmlformats.org/drawingml/2006/main" w="15875">
          <a:solidFill>
            <a:srgbClr val="FF66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c:userShapes xmlns:c="http://schemas.openxmlformats.org/drawingml/2006/chart">
  <cdr:relSizeAnchor xmlns:cdr="http://schemas.openxmlformats.org/drawingml/2006/chartDrawing">
    <cdr:from>
      <cdr:x>0.5888</cdr:x>
      <cdr:y>0.40348</cdr:y>
    </cdr:from>
    <cdr:to>
      <cdr:x>0.85448</cdr:x>
      <cdr:y>0.56436</cdr:y>
    </cdr:to>
    <cdr:cxnSp macro="">
      <cdr:nvCxnSpPr>
        <cdr:cNvPr id="3" name="Straight Connector 2"/>
        <cdr:cNvCxnSpPr/>
      </cdr:nvCxnSpPr>
      <cdr:spPr>
        <a:xfrm xmlns:a="http://schemas.openxmlformats.org/drawingml/2006/main">
          <a:off x="3607248" y="931588"/>
          <a:ext cx="1627692" cy="371432"/>
        </a:xfrm>
        <a:prstGeom xmlns:a="http://schemas.openxmlformats.org/drawingml/2006/main" prst="line">
          <a:avLst/>
        </a:prstGeom>
        <a:ln xmlns:a="http://schemas.openxmlformats.org/drawingml/2006/main" w="15875">
          <a:solidFill>
            <a:schemeClr val="accent6">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twoCellAnchor>
    <xdr:from>
      <xdr:col>2</xdr:col>
      <xdr:colOff>243840</xdr:colOff>
      <xdr:row>12</xdr:row>
      <xdr:rowOff>121920</xdr:rowOff>
    </xdr:from>
    <xdr:to>
      <xdr:col>11</xdr:col>
      <xdr:colOff>335280</xdr:colOff>
      <xdr:row>27</xdr:row>
      <xdr:rowOff>106680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2</xdr:col>
      <xdr:colOff>228600</xdr:colOff>
      <xdr:row>11</xdr:row>
      <xdr:rowOff>114300</xdr:rowOff>
    </xdr:from>
    <xdr:to>
      <xdr:col>27</xdr:col>
      <xdr:colOff>0</xdr:colOff>
      <xdr:row>27</xdr:row>
      <xdr:rowOff>38100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44</xdr:row>
      <xdr:rowOff>0</xdr:rowOff>
    </xdr:from>
    <xdr:to>
      <xdr:col>15</xdr:col>
      <xdr:colOff>124851</xdr:colOff>
      <xdr:row>60</xdr:row>
      <xdr:rowOff>6350</xdr:rowOff>
    </xdr:to>
    <xdr:sp macro="" textlink="">
      <xdr:nvSpPr>
        <xdr:cNvPr id="3" name="Rectangle 2"/>
        <xdr:cNvSpPr/>
      </xdr:nvSpPr>
      <xdr:spPr>
        <a:xfrm>
          <a:off x="2438400" y="8382000"/>
          <a:ext cx="6830451" cy="3054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4</xdr:col>
      <xdr:colOff>0</xdr:colOff>
      <xdr:row>44</xdr:row>
      <xdr:rowOff>0</xdr:rowOff>
    </xdr:from>
    <xdr:to>
      <xdr:col>15</xdr:col>
      <xdr:colOff>114300</xdr:colOff>
      <xdr:row>60</xdr:row>
      <xdr:rowOff>38100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9</xdr:col>
      <xdr:colOff>605790</xdr:colOff>
      <xdr:row>27</xdr:row>
      <xdr:rowOff>114300</xdr:rowOff>
    </xdr:from>
    <xdr:to>
      <xdr:col>17</xdr:col>
      <xdr:colOff>584835</xdr:colOff>
      <xdr:row>37</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2</xdr:col>
      <xdr:colOff>7620</xdr:colOff>
      <xdr:row>43</xdr:row>
      <xdr:rowOff>0</xdr:rowOff>
    </xdr:from>
    <xdr:to>
      <xdr:col>24</xdr:col>
      <xdr:colOff>320040</xdr:colOff>
      <xdr:row>43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195943</xdr:colOff>
      <xdr:row>16</xdr:row>
      <xdr:rowOff>72390</xdr:rowOff>
    </xdr:from>
    <xdr:to>
      <xdr:col>23</xdr:col>
      <xdr:colOff>54428</xdr:colOff>
      <xdr:row>37</xdr:row>
      <xdr:rowOff>108857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0.10854</cdr:x>
      <cdr:y>0.57219</cdr:y>
    </cdr:from>
    <cdr:to>
      <cdr:x>1</cdr:x>
      <cdr:y>0.57442</cdr:y>
    </cdr:to>
    <cdr:sp macro="" textlink="">
      <cdr:nvSpPr>
        <cdr:cNvPr id="10241" name="Line 1"/>
        <cdr:cNvSpPr>
          <a:spLocks xmlns:a="http://schemas.openxmlformats.org/drawingml/2006/main" noChangeShapeType="1"/>
        </cdr:cNvSpPr>
      </cdr:nvSpPr>
      <cdr:spPr bwMode="auto">
        <a:xfrm xmlns:a="http://schemas.openxmlformats.org/drawingml/2006/main" flipV="1">
          <a:off x="678180" y="1874831"/>
          <a:ext cx="5570220" cy="7308"/>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70.xml><?xml version="1.0" encoding="utf-8"?>
<xdr:wsDr xmlns:xdr="http://schemas.openxmlformats.org/drawingml/2006/spreadsheetDrawing" xmlns:a="http://schemas.openxmlformats.org/drawingml/2006/main">
  <xdr:twoCellAnchor>
    <xdr:from>
      <xdr:col>2</xdr:col>
      <xdr:colOff>234315</xdr:colOff>
      <xdr:row>15</xdr:row>
      <xdr:rowOff>80010</xdr:rowOff>
    </xdr:from>
    <xdr:to>
      <xdr:col>17</xdr:col>
      <xdr:colOff>15240</xdr:colOff>
      <xdr:row>35</xdr:row>
      <xdr:rowOff>140970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247649</xdr:colOff>
      <xdr:row>69</xdr:row>
      <xdr:rowOff>0</xdr:rowOff>
    </xdr:from>
    <xdr:to>
      <xdr:col>13</xdr:col>
      <xdr:colOff>247649</xdr:colOff>
      <xdr:row>83</xdr:row>
      <xdr:rowOff>19050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53</xdr:row>
      <xdr:rowOff>0</xdr:rowOff>
    </xdr:from>
    <xdr:to>
      <xdr:col>16</xdr:col>
      <xdr:colOff>320040</xdr:colOff>
      <xdr:row>53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2</xdr:col>
      <xdr:colOff>7620</xdr:colOff>
      <xdr:row>53</xdr:row>
      <xdr:rowOff>0</xdr:rowOff>
    </xdr:from>
    <xdr:to>
      <xdr:col>16</xdr:col>
      <xdr:colOff>320040</xdr:colOff>
      <xdr:row>53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3</xdr:col>
      <xdr:colOff>19050</xdr:colOff>
      <xdr:row>31</xdr:row>
      <xdr:rowOff>19050</xdr:rowOff>
    </xdr:from>
    <xdr:to>
      <xdr:col>22</xdr:col>
      <xdr:colOff>47625</xdr:colOff>
      <xdr:row>51</xdr:row>
      <xdr:rowOff>38100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61</xdr:row>
      <xdr:rowOff>0</xdr:rowOff>
    </xdr:from>
    <xdr:to>
      <xdr:col>16</xdr:col>
      <xdr:colOff>49530</xdr:colOff>
      <xdr:row>70</xdr:row>
      <xdr:rowOff>177019</xdr:rowOff>
    </xdr:to>
    <xdr:sp macro="" textlink="">
      <xdr:nvSpPr>
        <xdr:cNvPr id="3" name="Rectangle 2"/>
        <xdr:cNvSpPr/>
      </xdr:nvSpPr>
      <xdr:spPr>
        <a:xfrm>
          <a:off x="3152775" y="12639675"/>
          <a:ext cx="5497830" cy="189151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5</xdr:col>
      <xdr:colOff>0</xdr:colOff>
      <xdr:row>61</xdr:row>
      <xdr:rowOff>0</xdr:rowOff>
    </xdr:from>
    <xdr:to>
      <xdr:col>16</xdr:col>
      <xdr:colOff>45720</xdr:colOff>
      <xdr:row>70</xdr:row>
      <xdr:rowOff>137160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3</xdr:col>
      <xdr:colOff>28574</xdr:colOff>
      <xdr:row>25</xdr:row>
      <xdr:rowOff>80963</xdr:rowOff>
    </xdr:from>
    <xdr:to>
      <xdr:col>22</xdr:col>
      <xdr:colOff>19050</xdr:colOff>
      <xdr:row>41</xdr:row>
      <xdr:rowOff>133351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3</xdr:col>
      <xdr:colOff>3809</xdr:colOff>
      <xdr:row>19</xdr:row>
      <xdr:rowOff>0</xdr:rowOff>
    </xdr:from>
    <xdr:to>
      <xdr:col>23</xdr:col>
      <xdr:colOff>447674</xdr:colOff>
      <xdr:row>36</xdr:row>
      <xdr:rowOff>121920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3</xdr:col>
      <xdr:colOff>7620</xdr:colOff>
      <xdr:row>15</xdr:row>
      <xdr:rowOff>38100</xdr:rowOff>
    </xdr:from>
    <xdr:to>
      <xdr:col>24</xdr:col>
      <xdr:colOff>518160</xdr:colOff>
      <xdr:row>31</xdr:row>
      <xdr:rowOff>15240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3</xdr:col>
      <xdr:colOff>0</xdr:colOff>
      <xdr:row>12</xdr:row>
      <xdr:rowOff>106680</xdr:rowOff>
    </xdr:from>
    <xdr:to>
      <xdr:col>18</xdr:col>
      <xdr:colOff>350520</xdr:colOff>
      <xdr:row>32</xdr:row>
      <xdr:rowOff>83820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3</xdr:col>
      <xdr:colOff>0</xdr:colOff>
      <xdr:row>24</xdr:row>
      <xdr:rowOff>127635</xdr:rowOff>
    </xdr:from>
    <xdr:to>
      <xdr:col>20</xdr:col>
      <xdr:colOff>478155</xdr:colOff>
      <xdr:row>47</xdr:row>
      <xdr:rowOff>66675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3</xdr:col>
      <xdr:colOff>85724</xdr:colOff>
      <xdr:row>31</xdr:row>
      <xdr:rowOff>19050</xdr:rowOff>
    </xdr:from>
    <xdr:to>
      <xdr:col>14</xdr:col>
      <xdr:colOff>561974</xdr:colOff>
      <xdr:row>45</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133349</xdr:colOff>
      <xdr:row>31</xdr:row>
      <xdr:rowOff>19050</xdr:rowOff>
    </xdr:from>
    <xdr:to>
      <xdr:col>17</xdr:col>
      <xdr:colOff>363855</xdr:colOff>
      <xdr:row>45</xdr:row>
      <xdr:rowOff>133350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10</xdr:row>
      <xdr:rowOff>38100</xdr:rowOff>
    </xdr:from>
    <xdr:to>
      <xdr:col>24</xdr:col>
      <xdr:colOff>390525</xdr:colOff>
      <xdr:row>27</xdr:row>
      <xdr:rowOff>66675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42</xdr:row>
      <xdr:rowOff>0</xdr:rowOff>
    </xdr:from>
    <xdr:to>
      <xdr:col>17</xdr:col>
      <xdr:colOff>536575</xdr:colOff>
      <xdr:row>58</xdr:row>
      <xdr:rowOff>170180</xdr:rowOff>
    </xdr:to>
    <xdr:sp macro="" textlink="">
      <xdr:nvSpPr>
        <xdr:cNvPr id="3" name="Rectangle 2"/>
        <xdr:cNvSpPr/>
      </xdr:nvSpPr>
      <xdr:spPr>
        <a:xfrm>
          <a:off x="3381375" y="8905875"/>
          <a:ext cx="6061075" cy="32181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0</xdr:colOff>
      <xdr:row>42</xdr:row>
      <xdr:rowOff>15240</xdr:rowOff>
    </xdr:from>
    <xdr:to>
      <xdr:col>17</xdr:col>
      <xdr:colOff>533400</xdr:colOff>
      <xdr:row>59</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3</xdr:col>
      <xdr:colOff>0</xdr:colOff>
      <xdr:row>11</xdr:row>
      <xdr:rowOff>106680</xdr:rowOff>
    </xdr:from>
    <xdr:to>
      <xdr:col>19</xdr:col>
      <xdr:colOff>581025</xdr:colOff>
      <xdr:row>31</xdr:row>
      <xdr:rowOff>83820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xdr:col>
      <xdr:colOff>99060</xdr:colOff>
      <xdr:row>49</xdr:row>
      <xdr:rowOff>0</xdr:rowOff>
    </xdr:from>
    <xdr:to>
      <xdr:col>11</xdr:col>
      <xdr:colOff>175260</xdr:colOff>
      <xdr:row>49</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106680</xdr:colOff>
      <xdr:row>49</xdr:row>
      <xdr:rowOff>0</xdr:rowOff>
    </xdr:from>
    <xdr:to>
      <xdr:col>16</xdr:col>
      <xdr:colOff>449580</xdr:colOff>
      <xdr:row>49</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23</xdr:row>
      <xdr:rowOff>38100</xdr:rowOff>
    </xdr:from>
    <xdr:to>
      <xdr:col>20</xdr:col>
      <xdr:colOff>495300</xdr:colOff>
      <xdr:row>44</xdr:row>
      <xdr:rowOff>45720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2</xdr:col>
      <xdr:colOff>220981</xdr:colOff>
      <xdr:row>23</xdr:row>
      <xdr:rowOff>53340</xdr:rowOff>
    </xdr:from>
    <xdr:to>
      <xdr:col>17</xdr:col>
      <xdr:colOff>504826</xdr:colOff>
      <xdr:row>37</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2</xdr:col>
      <xdr:colOff>213360</xdr:colOff>
      <xdr:row>11</xdr:row>
      <xdr:rowOff>0</xdr:rowOff>
    </xdr:from>
    <xdr:to>
      <xdr:col>19</xdr:col>
      <xdr:colOff>434340</xdr:colOff>
      <xdr:row>31</xdr:row>
      <xdr:rowOff>22860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oneCellAnchor>
    <xdr:from>
      <xdr:col>3</xdr:col>
      <xdr:colOff>548640</xdr:colOff>
      <xdr:row>44</xdr:row>
      <xdr:rowOff>0</xdr:rowOff>
    </xdr:from>
    <xdr:ext cx="83820" cy="198120"/>
    <xdr:sp macro="" textlink="">
      <xdr:nvSpPr>
        <xdr:cNvPr id="2" name="Text Box 1"/>
        <xdr:cNvSpPr txBox="1">
          <a:spLocks noChangeArrowheads="1"/>
        </xdr:cNvSpPr>
      </xdr:nvSpPr>
      <xdr:spPr bwMode="auto">
        <a:xfrm>
          <a:off x="2377440" y="8572500"/>
          <a:ext cx="83820" cy="198120"/>
        </a:xfrm>
        <a:prstGeom prst="rect">
          <a:avLst/>
        </a:prstGeom>
        <a:noFill/>
        <a:ln w="9525">
          <a:noFill/>
          <a:miter lim="800000"/>
          <a:headEnd/>
          <a:tailEnd/>
        </a:ln>
      </xdr:spPr>
    </xdr:sp>
    <xdr:clientData/>
  </xdr:oneCellAnchor>
  <xdr:twoCellAnchor>
    <xdr:from>
      <xdr:col>2</xdr:col>
      <xdr:colOff>220980</xdr:colOff>
      <xdr:row>16</xdr:row>
      <xdr:rowOff>60960</xdr:rowOff>
    </xdr:from>
    <xdr:to>
      <xdr:col>32</xdr:col>
      <xdr:colOff>594360</xdr:colOff>
      <xdr:row>39</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160020</xdr:colOff>
      <xdr:row>56</xdr:row>
      <xdr:rowOff>57150</xdr:rowOff>
    </xdr:from>
    <xdr:to>
      <xdr:col>19</xdr:col>
      <xdr:colOff>68580</xdr:colOff>
      <xdr:row>74</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3</xdr:col>
      <xdr:colOff>640080</xdr:colOff>
      <xdr:row>19</xdr:row>
      <xdr:rowOff>142875</xdr:rowOff>
    </xdr:from>
    <xdr:to>
      <xdr:col>9</xdr:col>
      <xdr:colOff>348594</xdr:colOff>
      <xdr:row>21</xdr:row>
      <xdr:rowOff>9525</xdr:rowOff>
    </xdr:to>
    <xdr:sp macro="" textlink="">
      <xdr:nvSpPr>
        <xdr:cNvPr id="2" name="Rectangle 1"/>
        <xdr:cNvSpPr>
          <a:spLocks noChangeArrowheads="1"/>
        </xdr:cNvSpPr>
      </xdr:nvSpPr>
      <xdr:spPr bwMode="auto">
        <a:xfrm>
          <a:off x="2440305" y="3952875"/>
          <a:ext cx="3394689" cy="247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12</xdr:row>
      <xdr:rowOff>81914</xdr:rowOff>
    </xdr:from>
    <xdr:to>
      <xdr:col>16</xdr:col>
      <xdr:colOff>638174</xdr:colOff>
      <xdr:row>41</xdr:row>
      <xdr:rowOff>57149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3</xdr:col>
      <xdr:colOff>640080</xdr:colOff>
      <xdr:row>19</xdr:row>
      <xdr:rowOff>142875</xdr:rowOff>
    </xdr:from>
    <xdr:to>
      <xdr:col>6</xdr:col>
      <xdr:colOff>348594</xdr:colOff>
      <xdr:row>21</xdr:row>
      <xdr:rowOff>9525</xdr:rowOff>
    </xdr:to>
    <xdr:sp macro="" textlink="">
      <xdr:nvSpPr>
        <xdr:cNvPr id="2" name="Rectangle 1"/>
        <xdr:cNvSpPr>
          <a:spLocks noChangeArrowheads="1"/>
        </xdr:cNvSpPr>
      </xdr:nvSpPr>
      <xdr:spPr bwMode="auto">
        <a:xfrm>
          <a:off x="2440305" y="3952875"/>
          <a:ext cx="1565889" cy="247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12</xdr:row>
      <xdr:rowOff>81914</xdr:rowOff>
    </xdr:from>
    <xdr:to>
      <xdr:col>13</xdr:col>
      <xdr:colOff>638174</xdr:colOff>
      <xdr:row>41</xdr:row>
      <xdr:rowOff>57149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3</xdr:col>
      <xdr:colOff>640080</xdr:colOff>
      <xdr:row>19</xdr:row>
      <xdr:rowOff>142875</xdr:rowOff>
    </xdr:from>
    <xdr:to>
      <xdr:col>6</xdr:col>
      <xdr:colOff>348594</xdr:colOff>
      <xdr:row>21</xdr:row>
      <xdr:rowOff>9525</xdr:rowOff>
    </xdr:to>
    <xdr:sp macro="" textlink="">
      <xdr:nvSpPr>
        <xdr:cNvPr id="2" name="Rectangle 1"/>
        <xdr:cNvSpPr>
          <a:spLocks noChangeArrowheads="1"/>
        </xdr:cNvSpPr>
      </xdr:nvSpPr>
      <xdr:spPr bwMode="auto">
        <a:xfrm>
          <a:off x="2440305" y="3952875"/>
          <a:ext cx="1565889" cy="247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12</xdr:row>
      <xdr:rowOff>81914</xdr:rowOff>
    </xdr:from>
    <xdr:to>
      <xdr:col>13</xdr:col>
      <xdr:colOff>638174</xdr:colOff>
      <xdr:row>41</xdr:row>
      <xdr:rowOff>57149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3</xdr:col>
      <xdr:colOff>640080</xdr:colOff>
      <xdr:row>19</xdr:row>
      <xdr:rowOff>142875</xdr:rowOff>
    </xdr:from>
    <xdr:to>
      <xdr:col>6</xdr:col>
      <xdr:colOff>348594</xdr:colOff>
      <xdr:row>21</xdr:row>
      <xdr:rowOff>9525</xdr:rowOff>
    </xdr:to>
    <xdr:sp macro="" textlink="">
      <xdr:nvSpPr>
        <xdr:cNvPr id="2" name="Rectangle 1"/>
        <xdr:cNvSpPr>
          <a:spLocks noChangeArrowheads="1"/>
        </xdr:cNvSpPr>
      </xdr:nvSpPr>
      <xdr:spPr bwMode="auto">
        <a:xfrm>
          <a:off x="2440305" y="3952875"/>
          <a:ext cx="1565889" cy="247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12</xdr:row>
      <xdr:rowOff>81914</xdr:rowOff>
    </xdr:from>
    <xdr:to>
      <xdr:col>13</xdr:col>
      <xdr:colOff>638174</xdr:colOff>
      <xdr:row>41</xdr:row>
      <xdr:rowOff>57149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9525</xdr:colOff>
      <xdr:row>11</xdr:row>
      <xdr:rowOff>85725</xdr:rowOff>
    </xdr:from>
    <xdr:to>
      <xdr:col>25</xdr:col>
      <xdr:colOff>533400</xdr:colOff>
      <xdr:row>30</xdr:row>
      <xdr:rowOff>76200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40</xdr:row>
      <xdr:rowOff>0</xdr:rowOff>
    </xdr:from>
    <xdr:to>
      <xdr:col>17</xdr:col>
      <xdr:colOff>164123</xdr:colOff>
      <xdr:row>53</xdr:row>
      <xdr:rowOff>154744</xdr:rowOff>
    </xdr:to>
    <xdr:sp macro="" textlink="">
      <xdr:nvSpPr>
        <xdr:cNvPr id="3" name="Rectangle 2"/>
        <xdr:cNvSpPr/>
      </xdr:nvSpPr>
      <xdr:spPr>
        <a:xfrm>
          <a:off x="3324225" y="8267700"/>
          <a:ext cx="5688623" cy="263124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0</xdr:colOff>
      <xdr:row>40</xdr:row>
      <xdr:rowOff>0</xdr:rowOff>
    </xdr:from>
    <xdr:to>
      <xdr:col>17</xdr:col>
      <xdr:colOff>167639</xdr:colOff>
      <xdr:row>53</xdr:row>
      <xdr:rowOff>152399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15.%20Development%20Indicators\1.%20Development%20Indicators\2013\3.%20INDICATORS\12.1%20Annextures\Demographic%20trend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Users\Pheladi.Mashao.PRESIDENTM\Desktop\2012\3.%20INDICATORS\0.Combined%20Themes\Combined%20Version%20for%20web%20publishin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heladi.Mashao.PRESIDENTM/Desktop/2012/3.%20INDICATORS/0.Combined%20Themes/Combined%20Version%20for%20web%20publishin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GWME\5.%20Development%20Indicators\2009\3.%20INDICATORS\3.%20Poverty%20and%20Inequality\Development%20Indicators%202009_Poverty%20and%20Inequalit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15.%20Development%20Indicators\1.%20Development%20Indicators\2013\3.%20INDICATORS\4.%20Poverty%20and%20Inequality\Poverty%20and%20Inequality%20V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Users\Pheladi.Sibanyoni\AppData\Local\Microsoft\Windows\Temporary%20Internet%20Files\Content.Outlook\49JSM339\Copy%20of%20Combined%20Version%202012%20ver%20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GWME\5.%20Development%20Indicators\2008\Indicators\Shtr%20list%20Social%20(RE%20edi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Users\mandla.tshabalala\AppData\Local\Microsoft\Windows\Temporary%20Internet%20Files\Content.Outlook\UEQM1G47\Combined%20Version%202012%20ver%204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15.%20Development%20Indicators\1.%20Development%20Indicators\2012\3.%20INDICATORS\0.Combined%20Themes\Combined%20Version%20for%20web%20publishing.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GWME\5.%20Development%20Indicators\2009\3.%20INDICATORS\4.%20Household%20&amp;%20Community%20Assets\Development%20Indicators%202009_HH%20Community%20Assets%20(Ver%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GWME\5.%20Development%20Indicators\2008\Indicators\Documents%20and%20Settings\lufuno\Local%20Settings\Temporary%20Internet%20Files\OLK2\Social%20Sector%20MTR%20indicators%20(revised%20version%2021%20March%2007)%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WME/5.%20Development%20Indicators/2008/Indicators/8.%20Dev%20ind%202008%20combined%20set/Development%20Indicators%202008%20combined%20ver%201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GWME\5.%20Development%20Indicators\2009\3.%20INDICATORS\4.%20Household%20&amp;%20Community%20Assets\Development%20Indicators%202009_HH%20Community%20Assets%20(Ver%2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15.%20Development%20Indicators\1.%20Development%20Indicators\2015\3.%20INDICATORS\6.%20Health\Analysis\Health%20V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15.%20Development%20Indicators\1.%20Development%20Indicators\2013\3.%20INDICATORS\6.%20Health\Health%20V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Users\mandla.tshabalala\AppData\Local\Microsoft\Windows\Temporary%20Internet%20Files\Content.Outlook\UEQM1G47\Combined%20version%202013%20%20V3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res-pta-fnp-01\DPME\GWME\5.%20Development%20Indicators\2009\3.%20INDICATORS\6.%20Education\Development%20Indicators%202009_%20EDUCATION%20(Ver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GWME\5.%20Development%20Indicators\2009\3.%20INDICATORS\6.%20Education\Development%20Indicators%202009_%20EDUCATION%20(Ver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Users\Thabo.Mabogoane\AppData\Local\Microsoft\Windows\Temporary%20Internet%20Files\Content.Outlook\W02ZPCFK\Educational%20Performance%20Indicator%20reformate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ocuments%20and%20Settings\Maria.Mashao\Desktop\Short%20list%20GA%20dat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Users\Mosa.Mojapelo\Documents\Development%20Indicators\DI%202016\3.%20INDICATORS\0.Combined%20Themes\Development%20Indicators%20Combined%20version%202014%20%20V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15.%20Development%20Indicators\1.%20Development%20Indicators\2015\3.%20INDICATORS\9.%20Safety%20and%20Security\Safety%20and%20Security%20V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0PME/1.%20Indicators/1.%20Development%20Indicators/2010/Temporary%20files/2011/3.%20INDICATORS/2.%20Economic%20Growth%20and%20Transformation/Economy%20and%20budget_NT%20updated%20ver%203.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GWME\5.%20Development%20Indicators\2009\3.%20INDICATORS\8.%20Safety%20and%20Security\Development%20Indicators%202009_Safety%20and%20Security%20(Ver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Users\Mosa.Mojapelo\AppData\Local\Microsoft\Windows\Temporary%20Internet%20Files\Content.Outlook\PW2ZLE7K\Safety%20and%20Security%20V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WME/5.%20Development%20Indicators/Development%20Indicators-%20Additional/2.%20BASE%20DATA/9.%20Safety%20and%20Security/NPA%20Perform%2020091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Tovhowani.Tharaga/AppData/Local/Microsoft/Windows/Temporary%20Internet%20Files/Content.Outlook/EC4OVTDE/Copy%20of%20Book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TATISTICS/Annual%20Reports/2014%20to%202015/National%20Annual%20Progress%20Sheet%20Apr%2014%20to%20Mar%2015.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TATISTICS/Annual%20Reports/2002%20to%202003/National%20Cluster%20Sheet%20Apr%202002%20to%20Mar%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TATISTICS/Annual%20Reports/2003%20to%202004/National%20Cluster%20Sheet%20Apr%2003%20to%20Mar%2004%20SAT%20INC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TATISTICS/Annual%20Reports/2004%20to%202005/National%20Progress%20Sheet%20Apr%2004%20to%20Mar%2005%202005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TATISTICS/Annual%20Reports/2005%20to%202006/National%20Annual%20Progress%20Sheet%20Apr%2005%20to%20Mar%20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TATISTICS/Annual%20Reports/2007%20to%202008/National%20Annual%20Progress%20Sheet%20Apr%2007%20to%20Mar%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GWME\5.%20Development%20Indicators\2009\3.%20INDICATORS\1.%20Economic%20growth%20&amp;%20transformation\Dev%20Indicators%202009_Econ%20growth%20&amp;%20transformation%20(ver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GWME/5.%20Development%20Indicators/Development%20Indicators-%20Additional/2.%20BASE%20DATA/9.%20Safety%20and%20Security/National%20Annual%20Progress%20Sheet%20Apr%2009%20to%20Mar%201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GWME\5.%20Development%20Indicators\Development%20Indicators-%20Additional\2.%20BASE%20DATA\9.%20Safety%20and%20Security\NPA%20Perform%2020091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Tovhowani.Tharaga\AppData\Local\Microsoft\Windows\Temporary%20Internet%20Files\Content.Outlook\EC4OVTDE\Copy%20of%20Book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STATISTICS\Annual%20Reports\2014%20to%202015\National%20Annual%20Progress%20Sheet%20Apr%2014%20to%20Mar%2015.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LMbonde/Documents/GroupWise/WTTC_EXPORT_147791755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GWME\5.%20Development%20Indicators\2009\3.%20INDICATORS\9.%20International%20Relations\Development%20Indicators%202009_International%20Relations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Mosa.Mojapelo/Documents/Development%20Indicators/DI%202016/3.%20INDICATORS/0.Combined%20Themes/Development%20Indicators%20Combined%20version%202014%20%20V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GWME\5.%20Development%20Indicators\2008\Indicators\Short%20list%20GA%20dat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mandla.tshabalala/AppData/Local/Microsoft/Windows/Temporary%20Internet%20Files/Content.Outlook/UEQM1G47/GWME/5.%20Development%20Indicators/2009/3.%20INDICATORS/10.%20Good%20Governance/Development%20Indicators%202009_Good%20Governance%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GWME/5.%20Development%20Indicators/Development%20Indicators-%20Additional/2.%20BASE%20DATA/11.%20Good%20Governance/Audits/Auditor%20General%20SA_ver01_13May20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0PME/1.%20Indicators/1.%20Development%20Indicators/2010/Temporary%20files/2011/3.%20INDICATORS/2.%20Economic%20Growth%20and%20Transformation/Economy%20and%20budget_N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heladi.Sibanyoni/AppData/Local/Microsoft/Windows/Temporary%20Internet%20Files/Content.Outlook/49JSM339/Combined%20Version%20for%20web%20publishin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onde.maluleka/Desktop/Dev%20Ind.%202012/0.Combined%20Themes/Combined%20Version%20for%20web%20publishin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Users\Mosa.Mojapelo\Documents\Development%20Indicators\DI%202016\3.%20INDICATORS\0.Combined%20Themes\Development%20Indicators%20Combined%20version%202014%20%20V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15.%20Development%20Indicators\1.%20Development%20Indicators\2015\3.%20INDICATORS\3.%20Employment\Analysis\Employment.%20V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ographic trends"/>
      <sheetName val="Dwellings"/>
    </sheetNames>
    <sheetDataSet>
      <sheetData sheetId="0">
        <row r="9">
          <cell r="P9">
            <v>16179764</v>
          </cell>
        </row>
        <row r="19">
          <cell r="L19">
            <v>26366011</v>
          </cell>
        </row>
        <row r="20">
          <cell r="L20">
            <v>27635943</v>
          </cell>
        </row>
        <row r="25">
          <cell r="L25">
            <v>54001954</v>
          </cell>
        </row>
      </sheetData>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
      <sheetName val="NFDI"/>
      <sheetName val="GFCF "/>
      <sheetName val="B deficit "/>
      <sheetName val="G debt "/>
      <sheetName val="Interest "/>
      <sheetName val="Inflation"/>
      <sheetName val="Bondpoints Spread"/>
      <sheetName val="R&amp;D"/>
      <sheetName val="ICT"/>
      <sheetName val="Patents"/>
      <sheetName val="Foreign Trade"/>
      <sheetName val="Competitiveness"/>
      <sheetName val="Knowledge Based Economy"/>
      <sheetName val="BM"/>
      <sheetName val="Employed"/>
      <sheetName val="Unempl"/>
      <sheetName val="EPWP"/>
      <sheetName val="CWP"/>
      <sheetName val="Income"/>
      <sheetName val="LSM"/>
      <sheetName val="Inequality"/>
      <sheetName val="Poverty Headcount"/>
      <sheetName val="Poverty Gap indices"/>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ses"/>
      <sheetName val="Property crime"/>
      <sheetName val="Serious robberies"/>
      <sheetName val="Detection rate"/>
      <sheetName val="Charges to court"/>
      <sheetName val="Cases in court"/>
      <sheetName val="Detainees"/>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Demographic trends"/>
      <sheetName val="Links to Outco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C2">
            <v>20</v>
          </cell>
        </row>
      </sheetData>
      <sheetData sheetId="20" refreshError="1"/>
      <sheetData sheetId="21" refreshError="1">
        <row r="2">
          <cell r="C2">
            <v>22</v>
          </cell>
        </row>
      </sheetData>
      <sheetData sheetId="22" refreshError="1"/>
      <sheetData sheetId="23" refreshError="1"/>
      <sheetData sheetId="24" refreshError="1">
        <row r="2">
          <cell r="C2">
            <v>25</v>
          </cell>
        </row>
      </sheetData>
      <sheetData sheetId="25" refreshError="1">
        <row r="2">
          <cell r="C2">
            <v>26</v>
          </cell>
        </row>
      </sheetData>
      <sheetData sheetId="26" refreshError="1"/>
      <sheetData sheetId="27" refreshError="1"/>
      <sheetData sheetId="28" refreshError="1"/>
      <sheetData sheetId="29" refreshError="1"/>
      <sheetData sheetId="30" refreshError="1">
        <row r="2">
          <cell r="C2">
            <v>31</v>
          </cell>
        </row>
      </sheetData>
      <sheetData sheetId="31" refreshError="1">
        <row r="2">
          <cell r="C2">
            <v>32</v>
          </cell>
        </row>
      </sheetData>
      <sheetData sheetId="32" refreshError="1">
        <row r="2">
          <cell r="C2">
            <v>33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
      <sheetName val="NFDI"/>
      <sheetName val="GFCF "/>
      <sheetName val="B deficit "/>
      <sheetName val="G debt "/>
      <sheetName val="Interest "/>
      <sheetName val="Inflation"/>
      <sheetName val="Bondpoints Spread"/>
      <sheetName val="R&amp;D"/>
      <sheetName val="ICT"/>
      <sheetName val="Patents"/>
      <sheetName val="Foreign Trade"/>
      <sheetName val="Competitiveness"/>
      <sheetName val="Knowledge Based Economy"/>
      <sheetName val="BM"/>
      <sheetName val="Employed"/>
      <sheetName val="Unempl"/>
      <sheetName val="EPWP"/>
      <sheetName val="CWP"/>
      <sheetName val="Income"/>
      <sheetName val="LSM"/>
      <sheetName val="Inequality"/>
      <sheetName val="Poverty Headcount"/>
      <sheetName val="Poverty Gap indices"/>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ses"/>
      <sheetName val="Property crime"/>
      <sheetName val="Serious robberies"/>
      <sheetName val="Detection rate"/>
      <sheetName val="Charges to court"/>
      <sheetName val="Cases in court"/>
      <sheetName val="Detainees"/>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Demographic trends"/>
      <sheetName val="Links to Outco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
          <cell r="C2">
            <v>21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LSM "/>
      <sheetName val="Inequality"/>
      <sheetName val="Poverty headcount"/>
      <sheetName val="Poverty gap indices "/>
      <sheetName val="Grants"/>
      <sheetName val="People with disability"/>
    </sheetNames>
    <sheetDataSet>
      <sheetData sheetId="0"/>
      <sheetData sheetId="1"/>
      <sheetData sheetId="2">
        <row r="8">
          <cell r="F8">
            <v>1993</v>
          </cell>
          <cell r="G8">
            <v>1994</v>
          </cell>
          <cell r="H8">
            <v>1995</v>
          </cell>
          <cell r="I8">
            <v>1996</v>
          </cell>
          <cell r="J8">
            <v>1997</v>
          </cell>
          <cell r="K8">
            <v>1998</v>
          </cell>
          <cell r="L8">
            <v>1999</v>
          </cell>
          <cell r="M8">
            <v>2000</v>
          </cell>
          <cell r="N8">
            <v>2001</v>
          </cell>
          <cell r="O8">
            <v>2002</v>
          </cell>
          <cell r="P8">
            <v>2003</v>
          </cell>
          <cell r="Q8">
            <v>2004</v>
          </cell>
          <cell r="R8">
            <v>2005</v>
          </cell>
          <cell r="S8">
            <v>2006</v>
          </cell>
          <cell r="T8">
            <v>2007</v>
          </cell>
        </row>
        <row r="11">
          <cell r="F11">
            <v>0.67218999999999995</v>
          </cell>
          <cell r="G11">
            <v>0.66464000000000001</v>
          </cell>
          <cell r="H11">
            <v>0.67388999999999999</v>
          </cell>
          <cell r="I11">
            <v>0.67762999999999995</v>
          </cell>
          <cell r="J11">
            <v>0.67444999999999999</v>
          </cell>
          <cell r="K11">
            <v>0.68332999999999999</v>
          </cell>
          <cell r="L11">
            <v>0.68511999999999995</v>
          </cell>
          <cell r="M11">
            <v>0.68171000000000004</v>
          </cell>
          <cell r="N11">
            <v>0.68498999999999999</v>
          </cell>
          <cell r="O11">
            <v>0.67044000000000004</v>
          </cell>
          <cell r="P11">
            <v>0.68569000000000002</v>
          </cell>
          <cell r="Q11">
            <v>0.67750999999999995</v>
          </cell>
          <cell r="R11">
            <v>0.68267</v>
          </cell>
          <cell r="S11">
            <v>0.68462999999999996</v>
          </cell>
          <cell r="T11">
            <v>0.65961999999999998</v>
          </cell>
        </row>
        <row r="14">
          <cell r="D14" t="str">
            <v>Within-Race</v>
          </cell>
          <cell r="F14">
            <v>0.35005999999999998</v>
          </cell>
          <cell r="G14">
            <v>0.34866999999999998</v>
          </cell>
          <cell r="H14">
            <v>0.36642999999999998</v>
          </cell>
          <cell r="I14">
            <v>0.37019999999999997</v>
          </cell>
          <cell r="J14">
            <v>0.38213999999999998</v>
          </cell>
          <cell r="K14">
            <v>0.38912000000000002</v>
          </cell>
          <cell r="L14">
            <v>0.40029999999999999</v>
          </cell>
          <cell r="M14">
            <v>0.46387</v>
          </cell>
          <cell r="N14">
            <v>0.45641999999999999</v>
          </cell>
          <cell r="O14">
            <v>0.50229999999999997</v>
          </cell>
          <cell r="P14">
            <v>0.54988000000000004</v>
          </cell>
          <cell r="Q14">
            <v>0.51405999999999996</v>
          </cell>
          <cell r="R14">
            <v>0.59704999999999997</v>
          </cell>
          <cell r="S14">
            <v>0.61319000000000001</v>
          </cell>
          <cell r="T14">
            <v>0.57420000000000004</v>
          </cell>
        </row>
        <row r="16">
          <cell r="D16" t="str">
            <v>Between-Race</v>
          </cell>
          <cell r="F16">
            <v>0.54869000000000001</v>
          </cell>
          <cell r="G16">
            <v>0.53154999999999997</v>
          </cell>
          <cell r="H16">
            <v>0.53259000000000001</v>
          </cell>
          <cell r="I16">
            <v>0.54818</v>
          </cell>
          <cell r="J16">
            <v>0.52351999999999999</v>
          </cell>
          <cell r="K16">
            <v>0.54822000000000004</v>
          </cell>
          <cell r="L16">
            <v>0.53803999999999996</v>
          </cell>
          <cell r="M16">
            <v>0.47132000000000002</v>
          </cell>
          <cell r="N16">
            <v>0.48010999999999998</v>
          </cell>
          <cell r="O16">
            <v>0.41836000000000001</v>
          </cell>
          <cell r="P16">
            <v>0.46339000000000002</v>
          </cell>
          <cell r="Q16">
            <v>0.4526</v>
          </cell>
          <cell r="R16">
            <v>0.41492000000000001</v>
          </cell>
          <cell r="S16">
            <v>0.41643999999999998</v>
          </cell>
          <cell r="T16">
            <v>0.34243000000000001</v>
          </cell>
        </row>
        <row r="18">
          <cell r="D18" t="str">
            <v>Total value</v>
          </cell>
          <cell r="F18">
            <v>0.89875000000000005</v>
          </cell>
          <cell r="G18">
            <v>0.88022</v>
          </cell>
          <cell r="H18">
            <v>0.89901999999999993</v>
          </cell>
          <cell r="I18">
            <v>0.91837999999999997</v>
          </cell>
          <cell r="J18">
            <v>0.90565999999999991</v>
          </cell>
          <cell r="K18">
            <v>0.93734000000000006</v>
          </cell>
          <cell r="L18">
            <v>0.93833999999999995</v>
          </cell>
          <cell r="M18">
            <v>0.93518999999999997</v>
          </cell>
          <cell r="N18">
            <v>0.93652999999999997</v>
          </cell>
          <cell r="O18">
            <v>0.92066000000000003</v>
          </cell>
          <cell r="P18">
            <v>1.0132700000000001</v>
          </cell>
          <cell r="Q18">
            <v>0.96665999999999996</v>
          </cell>
          <cell r="R18">
            <v>1.01197</v>
          </cell>
          <cell r="S18">
            <v>1.02963</v>
          </cell>
          <cell r="T18">
            <v>0.91663000000000006</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LSM"/>
      <sheetName val="Inequality"/>
      <sheetName val="Poverty Headcount"/>
      <sheetName val="Poverty Gap indices "/>
      <sheetName val="Grants"/>
      <sheetName val="People with disability "/>
    </sheetNames>
    <sheetDataSet>
      <sheetData sheetId="0"/>
      <sheetData sheetId="1"/>
      <sheetData sheetId="2">
        <row r="2">
          <cell r="C2">
            <v>23</v>
          </cell>
        </row>
      </sheetData>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GDP "/>
      <sheetName val="GDP per Capita "/>
      <sheetName val="NFDI "/>
      <sheetName val="GFCF "/>
      <sheetName val="B deficit "/>
      <sheetName val="G debt "/>
      <sheetName val="Interest "/>
      <sheetName val="Inflation "/>
      <sheetName val="Bondpoints Spread "/>
      <sheetName val="R&amp;D "/>
      <sheetName val="ICT"/>
      <sheetName val="Patents"/>
      <sheetName val="Foreign Trade"/>
      <sheetName val="Competitiveness "/>
      <sheetName val="Knowledge Based Economy "/>
      <sheetName val="BM "/>
      <sheetName val="Employed"/>
      <sheetName val="Unempl"/>
      <sheetName val="EPWP"/>
      <sheetName val="CWP "/>
      <sheetName val="Income"/>
      <sheetName val="LSM"/>
      <sheetName val="Inequality"/>
      <sheetName val="Poverty Headcount"/>
      <sheetName val="Poverty Gap indices"/>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ces"/>
      <sheetName val="Property crime"/>
      <sheetName val="Serious robberies"/>
      <sheetName val="Detection rate"/>
      <sheetName val="Charges to court"/>
      <sheetName val="Cases in court"/>
      <sheetName val="Detainees"/>
      <sheetName val="Rehabilitation"/>
      <sheetName val="Road Accidents"/>
      <sheetName val="Peace Operations"/>
      <sheetName val="Democracy in Africa"/>
      <sheetName val="Dev Cooperation"/>
      <sheetName val="FDI in Africa"/>
      <sheetName val="Tourism"/>
      <sheetName val="Missions"/>
      <sheetName val="International Agreements"/>
      <sheetName val="Ecomonic performance of Africa"/>
      <sheetName val="Tax Admin"/>
      <sheetName val="Qualified Audits"/>
      <sheetName val="Corruption"/>
      <sheetName val="Public Opinion"/>
      <sheetName val="Doing business"/>
      <sheetName val="Gas Emission (trajectory)"/>
      <sheetName val="Biodiversity"/>
      <sheetName val="Transport"/>
      <sheetName val="Energy"/>
      <sheetName val="Demographic trends"/>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
          <cell r="C2">
            <v>24</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SS Indicators"/>
      <sheetName val="Income"/>
      <sheetName val="Inequality"/>
      <sheetName val="HCI"/>
      <sheetName val="poverty"/>
      <sheetName val="Grants"/>
      <sheetName val="student teacher ratio"/>
      <sheetName val="enrolment"/>
      <sheetName val="Matric pass rate"/>
      <sheetName val="S&amp;M matric"/>
      <sheetName val="completion rate"/>
      <sheetName val="literacy"/>
      <sheetName val="HDI &amp; Life Exp"/>
      <sheetName val="Infant Mortality"/>
      <sheetName val="Kwashiokor"/>
      <sheetName val="Immunisation"/>
      <sheetName val="Matenal Mortality"/>
      <sheetName val="HIV and AIDS"/>
      <sheetName val="TB Notification"/>
      <sheetName val="Malaria"/>
      <sheetName val="Dwelling"/>
      <sheetName val="water new "/>
      <sheetName val="sanitation"/>
      <sheetName val="Electricity 2"/>
      <sheetName val="electricity"/>
      <sheetName val="land claims"/>
      <sheetName val="land restored"/>
      <sheetName val="Confident of Happy Future"/>
      <sheetName val="identity pride etc"/>
      <sheetName val="Race Relations"/>
      <sheetName val="Class Identity"/>
      <sheetName val="Pride in being South African"/>
    </sheetNames>
    <sheetDataSet>
      <sheetData sheetId="0"/>
      <sheetData sheetId="1"/>
      <sheetData sheetId="2"/>
      <sheetData sheetId="3"/>
      <sheetData sheetId="4"/>
      <sheetData sheetId="5">
        <row r="50">
          <cell r="C50">
            <v>1812695</v>
          </cell>
          <cell r="D50">
            <v>1860710</v>
          </cell>
          <cell r="E50">
            <v>1896932</v>
          </cell>
          <cell r="F50">
            <v>1946313</v>
          </cell>
          <cell r="G50">
            <v>2009419</v>
          </cell>
          <cell r="H50">
            <v>2060421</v>
          </cell>
          <cell r="I50">
            <v>2093075</v>
          </cell>
          <cell r="J50">
            <v>2149406</v>
          </cell>
        </row>
        <row r="51">
          <cell r="B51" t="str">
            <v>War veterans</v>
          </cell>
          <cell r="C51">
            <v>9197</v>
          </cell>
          <cell r="D51">
            <v>7554</v>
          </cell>
          <cell r="E51">
            <v>6175</v>
          </cell>
          <cell r="F51">
            <v>5266</v>
          </cell>
          <cell r="G51">
            <v>4594</v>
          </cell>
          <cell r="H51">
            <v>3961</v>
          </cell>
          <cell r="I51">
            <v>3340</v>
          </cell>
          <cell r="J51">
            <v>2795</v>
          </cell>
        </row>
        <row r="52">
          <cell r="B52" t="str">
            <v>Disability</v>
          </cell>
          <cell r="C52">
            <v>633778</v>
          </cell>
          <cell r="D52">
            <v>612614</v>
          </cell>
          <cell r="E52">
            <v>641459</v>
          </cell>
          <cell r="F52">
            <v>732928</v>
          </cell>
          <cell r="G52">
            <v>953965</v>
          </cell>
          <cell r="H52">
            <v>1270964</v>
          </cell>
          <cell r="I52">
            <v>1307459</v>
          </cell>
          <cell r="J52">
            <v>1332547</v>
          </cell>
        </row>
        <row r="53">
          <cell r="B53" t="str">
            <v>Grant in aid</v>
          </cell>
          <cell r="C53">
            <v>8496</v>
          </cell>
          <cell r="D53">
            <v>8748</v>
          </cell>
          <cell r="E53">
            <v>8529</v>
          </cell>
          <cell r="F53">
            <v>10435</v>
          </cell>
          <cell r="G53">
            <v>12787</v>
          </cell>
          <cell r="H53">
            <v>18170</v>
          </cell>
          <cell r="I53">
            <v>23131</v>
          </cell>
          <cell r="J53">
            <v>27252</v>
          </cell>
        </row>
        <row r="54">
          <cell r="B54" t="str">
            <v>Foster care</v>
          </cell>
          <cell r="C54">
            <v>71901</v>
          </cell>
          <cell r="D54">
            <v>79937</v>
          </cell>
          <cell r="E54">
            <v>85315</v>
          </cell>
          <cell r="F54">
            <v>108207</v>
          </cell>
          <cell r="G54">
            <v>138763</v>
          </cell>
          <cell r="H54">
            <v>200340</v>
          </cell>
          <cell r="I54">
            <v>256325</v>
          </cell>
          <cell r="J54">
            <v>209093</v>
          </cell>
        </row>
        <row r="55">
          <cell r="B55" t="str">
            <v>Care dependency</v>
          </cell>
          <cell r="C55">
            <v>16835</v>
          </cell>
          <cell r="D55">
            <v>24438</v>
          </cell>
          <cell r="E55">
            <v>33545</v>
          </cell>
          <cell r="F55">
            <v>43325</v>
          </cell>
          <cell r="G55">
            <v>58140</v>
          </cell>
          <cell r="H55">
            <v>77934</v>
          </cell>
          <cell r="I55">
            <v>85818</v>
          </cell>
          <cell r="J55">
            <v>88997</v>
          </cell>
        </row>
        <row r="56">
          <cell r="B56" t="str">
            <v>Child Support</v>
          </cell>
          <cell r="C56">
            <v>34471</v>
          </cell>
          <cell r="D56">
            <v>352617</v>
          </cell>
          <cell r="E56">
            <v>1102957</v>
          </cell>
          <cell r="F56">
            <v>1751563</v>
          </cell>
          <cell r="G56">
            <v>2630826</v>
          </cell>
          <cell r="H56">
            <v>4309772</v>
          </cell>
          <cell r="I56">
            <v>5633647</v>
          </cell>
          <cell r="J56">
            <v>7170564</v>
          </cell>
        </row>
        <row r="57">
          <cell r="B57" t="str">
            <v>Total beneficiaries</v>
          </cell>
          <cell r="C57">
            <v>2587373</v>
          </cell>
          <cell r="D57">
            <v>2946618</v>
          </cell>
          <cell r="E57">
            <v>3774912</v>
          </cell>
          <cell r="F57">
            <v>4598037</v>
          </cell>
          <cell r="G57">
            <v>5808494</v>
          </cell>
          <cell r="H57">
            <v>7941562</v>
          </cell>
          <cell r="I57">
            <v>9402795</v>
          </cell>
          <cell r="J57">
            <v>10980654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tro"/>
      <sheetName val="GDP "/>
      <sheetName val="GDP per Capita "/>
      <sheetName val="NFDI "/>
      <sheetName val="GFCF "/>
      <sheetName val="B deficit "/>
      <sheetName val="G debt "/>
      <sheetName val="Interest "/>
      <sheetName val="Inflation "/>
      <sheetName val="Bondpoints Spread "/>
      <sheetName val="R&amp;D "/>
      <sheetName val="ICT"/>
      <sheetName val="Patents"/>
      <sheetName val="Foreign Trade"/>
      <sheetName val="Competitiveness "/>
      <sheetName val="Knowledge Based Economy "/>
      <sheetName val="BM "/>
      <sheetName val="Employed"/>
      <sheetName val="Unempl"/>
      <sheetName val="EPWP"/>
      <sheetName val="CWP "/>
      <sheetName val="Income"/>
      <sheetName val="LSM"/>
      <sheetName val="Inequality"/>
      <sheetName val="Poverty Headcount"/>
      <sheetName val="Poverty Gap indices "/>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ces"/>
      <sheetName val="Property crime"/>
      <sheetName val="Serious robberies"/>
      <sheetName val="Detection rate"/>
      <sheetName val="Charges to court"/>
      <sheetName val="Cases in court"/>
      <sheetName val="Detainees"/>
      <sheetName val="Rehabilitation"/>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Transport"/>
      <sheetName val="Energy"/>
      <sheetName val="Demographic tre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8">
          <cell r="F8" t="str">
            <v>1993/94</v>
          </cell>
        </row>
      </sheetData>
      <sheetData sheetId="31">
        <row r="8">
          <cell r="G8" t="str">
            <v>1994/95</v>
          </cell>
        </row>
      </sheetData>
      <sheetData sheetId="32">
        <row r="8">
          <cell r="E8" t="str">
            <v>1994/95</v>
          </cell>
        </row>
      </sheetData>
      <sheetData sheetId="33">
        <row r="8">
          <cell r="E8" t="str">
            <v>1994/95</v>
          </cell>
        </row>
      </sheetData>
      <sheetData sheetId="34">
        <row r="8">
          <cell r="E8">
            <v>1994</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41">
          <cell r="N41">
            <v>51770561</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
      <sheetName val="NFDI"/>
      <sheetName val="GFCF "/>
      <sheetName val="B deficit "/>
      <sheetName val="G debt "/>
      <sheetName val="Interest "/>
      <sheetName val="Inflation"/>
      <sheetName val="Bondpoints Spread"/>
      <sheetName val="R&amp;D"/>
      <sheetName val="Patents"/>
      <sheetName val="ICT"/>
      <sheetName val="Foreign Trade"/>
      <sheetName val="Competitiveness"/>
      <sheetName val="Knowledge Based Economy"/>
      <sheetName val="BM"/>
      <sheetName val="Employed"/>
      <sheetName val="Unempl"/>
      <sheetName val="EPWP"/>
      <sheetName val="CWP"/>
      <sheetName val="Income"/>
      <sheetName val="LSM"/>
      <sheetName val="Inequality"/>
      <sheetName val="Poverty Headcount"/>
      <sheetName val="Poverty Gap indices"/>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ses"/>
      <sheetName val="Property crime"/>
      <sheetName val="Serious robberies"/>
      <sheetName val="Detection rate"/>
      <sheetName val="Charges to court"/>
      <sheetName val="Cases in court"/>
      <sheetName val="Detainees"/>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Demographic trends"/>
      <sheetName val="Links to Outcomes"/>
    </sheetNames>
    <sheetDataSet>
      <sheetData sheetId="0"/>
      <sheetData sheetId="1"/>
      <sheetData sheetId="2"/>
      <sheetData sheetId="3"/>
      <sheetData sheetId="4"/>
      <sheetData sheetId="5"/>
      <sheetData sheetId="6"/>
      <sheetData sheetId="7"/>
      <sheetData sheetId="8"/>
      <sheetData sheetId="9"/>
      <sheetData sheetId="10">
        <row r="8">
          <cell r="E8">
            <v>2002</v>
          </cell>
        </row>
      </sheetData>
      <sheetData sheetId="11">
        <row r="2">
          <cell r="C2">
            <v>11</v>
          </cell>
        </row>
      </sheetData>
      <sheetData sheetId="12"/>
      <sheetData sheetId="13"/>
      <sheetData sheetId="14"/>
      <sheetData sheetId="15"/>
      <sheetData sheetId="16"/>
      <sheetData sheetId="17">
        <row r="2">
          <cell r="C2">
            <v>18</v>
          </cell>
        </row>
      </sheetData>
      <sheetData sheetId="18"/>
      <sheetData sheetId="19"/>
      <sheetData sheetId="20"/>
      <sheetData sheetId="21"/>
      <sheetData sheetId="22"/>
      <sheetData sheetId="23"/>
      <sheetData sheetId="24"/>
      <sheetData sheetId="25"/>
      <sheetData sheetId="26">
        <row r="2">
          <cell r="C2">
            <v>27</v>
          </cell>
        </row>
      </sheetData>
      <sheetData sheetId="27">
        <row r="2">
          <cell r="C2">
            <v>28</v>
          </cell>
        </row>
      </sheetData>
      <sheetData sheetId="28"/>
      <sheetData sheetId="29"/>
      <sheetData sheetId="30">
        <row r="2">
          <cell r="C2">
            <v>31</v>
          </cell>
        </row>
      </sheetData>
      <sheetData sheetId="31">
        <row r="2">
          <cell r="C2">
            <v>32</v>
          </cell>
        </row>
      </sheetData>
      <sheetData sheetId="32">
        <row r="2">
          <cell r="C2">
            <v>33</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
          <cell r="C2">
            <v>60</v>
          </cell>
        </row>
      </sheetData>
      <sheetData sheetId="60">
        <row r="2">
          <cell r="C2">
            <v>61</v>
          </cell>
        </row>
      </sheetData>
      <sheetData sheetId="61"/>
      <sheetData sheetId="62"/>
      <sheetData sheetId="63">
        <row r="2">
          <cell r="C2">
            <v>64</v>
          </cell>
        </row>
      </sheetData>
      <sheetData sheetId="64"/>
      <sheetData sheetId="65"/>
      <sheetData sheetId="66"/>
      <sheetData sheetId="67">
        <row r="2">
          <cell r="C2">
            <v>68</v>
          </cell>
        </row>
      </sheetData>
      <sheetData sheetId="68"/>
      <sheetData sheetId="69"/>
      <sheetData sheetId="70">
        <row r="2">
          <cell r="C2">
            <v>71</v>
          </cell>
        </row>
      </sheetData>
      <sheetData sheetId="71"/>
      <sheetData sheetId="72">
        <row r="2">
          <cell r="C2">
            <v>73</v>
          </cell>
        </row>
      </sheetData>
      <sheetData sheetId="73">
        <row r="2">
          <cell r="C2">
            <v>74</v>
          </cell>
        </row>
      </sheetData>
      <sheetData sheetId="74">
        <row r="2">
          <cell r="C2">
            <v>75</v>
          </cell>
        </row>
      </sheetData>
      <sheetData sheetId="75">
        <row r="2">
          <cell r="C2">
            <v>76</v>
          </cell>
        </row>
      </sheetData>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ellings"/>
      <sheetName val="Water"/>
      <sheetName val="Sanitation"/>
      <sheetName val="Electricity"/>
      <sheetName val="Land restitution"/>
      <sheetName val="Land redistribution"/>
    </sheetNames>
    <sheetDataSet>
      <sheetData sheetId="0">
        <row r="8">
          <cell r="E8">
            <v>1994</v>
          </cell>
          <cell r="F8">
            <v>1995</v>
          </cell>
          <cell r="G8">
            <v>1996</v>
          </cell>
          <cell r="H8">
            <v>1997</v>
          </cell>
          <cell r="I8">
            <v>1998</v>
          </cell>
          <cell r="J8">
            <v>1999</v>
          </cell>
          <cell r="K8">
            <v>2000</v>
          </cell>
          <cell r="L8">
            <v>2001</v>
          </cell>
          <cell r="M8">
            <v>2002</v>
          </cell>
          <cell r="N8">
            <v>2003</v>
          </cell>
          <cell r="O8">
            <v>2004</v>
          </cell>
          <cell r="P8">
            <v>2005</v>
          </cell>
          <cell r="Q8">
            <v>2006</v>
          </cell>
          <cell r="R8">
            <v>2007</v>
          </cell>
        </row>
        <row r="9">
          <cell r="D9" t="str">
            <v>Number of households (HH)</v>
          </cell>
          <cell r="E9">
            <v>8584556</v>
          </cell>
          <cell r="G9">
            <v>9059606</v>
          </cell>
          <cell r="H9">
            <v>9256706.9999995604</v>
          </cell>
          <cell r="I9">
            <v>9287695.6120841391</v>
          </cell>
          <cell r="J9">
            <v>10770793.000000101</v>
          </cell>
          <cell r="L9">
            <v>11205705</v>
          </cell>
          <cell r="M9">
            <v>11479000</v>
          </cell>
          <cell r="N9">
            <v>12041000</v>
          </cell>
          <cell r="O9">
            <v>12194000</v>
          </cell>
          <cell r="P9">
            <v>12726000</v>
          </cell>
          <cell r="Q9">
            <v>12972000</v>
          </cell>
          <cell r="R9">
            <v>12500610</v>
          </cell>
        </row>
        <row r="10">
          <cell r="D10" t="str">
            <v>HH in formal dwelling</v>
          </cell>
          <cell r="G10">
            <v>5794386</v>
          </cell>
          <cell r="H10">
            <v>6832118.9999995902</v>
          </cell>
          <cell r="I10">
            <v>6624272.6928029303</v>
          </cell>
          <cell r="J10">
            <v>7957934.0000000903</v>
          </cell>
          <cell r="L10">
            <v>7680422</v>
          </cell>
          <cell r="M10">
            <v>8349000</v>
          </cell>
          <cell r="N10">
            <v>8865000</v>
          </cell>
          <cell r="O10">
            <v>8974000</v>
          </cell>
          <cell r="P10">
            <v>8878000</v>
          </cell>
          <cell r="Q10">
            <v>9111000</v>
          </cell>
          <cell r="R10">
            <v>8812930</v>
          </cell>
        </row>
        <row r="20">
          <cell r="D20" t="str">
            <v>Subsidised Housing units completed / in progress</v>
          </cell>
        </row>
      </sheetData>
      <sheetData sheetId="1"/>
      <sheetData sheetId="2"/>
      <sheetData sheetId="3">
        <row r="59">
          <cell r="E59">
            <v>1995</v>
          </cell>
          <cell r="F59">
            <v>1996</v>
          </cell>
          <cell r="G59">
            <v>1997</v>
          </cell>
          <cell r="H59">
            <v>1998</v>
          </cell>
          <cell r="I59">
            <v>1999</v>
          </cell>
          <cell r="J59">
            <v>2000</v>
          </cell>
          <cell r="K59">
            <v>2001</v>
          </cell>
          <cell r="L59">
            <v>2002</v>
          </cell>
          <cell r="M59">
            <v>2003</v>
          </cell>
          <cell r="N59">
            <v>2004</v>
          </cell>
          <cell r="O59">
            <v>2005</v>
          </cell>
          <cell r="P59">
            <v>2006</v>
          </cell>
        </row>
        <row r="60">
          <cell r="D60" t="str">
            <v>Total number of households</v>
          </cell>
          <cell r="E60">
            <v>8802000</v>
          </cell>
          <cell r="F60">
            <v>9059571</v>
          </cell>
          <cell r="G60">
            <v>9258000</v>
          </cell>
          <cell r="H60">
            <v>9288000</v>
          </cell>
          <cell r="I60">
            <v>11077100</v>
          </cell>
          <cell r="J60">
            <v>11098642</v>
          </cell>
          <cell r="K60">
            <v>11205705</v>
          </cell>
          <cell r="L60">
            <v>11147900</v>
          </cell>
          <cell r="M60">
            <v>11205706</v>
          </cell>
          <cell r="N60">
            <v>11634817</v>
          </cell>
          <cell r="O60">
            <v>12726000</v>
          </cell>
          <cell r="P60">
            <v>12980520</v>
          </cell>
        </row>
        <row r="61">
          <cell r="D61" t="str">
            <v>HH with access to electricity</v>
          </cell>
          <cell r="E61">
            <v>4477400</v>
          </cell>
          <cell r="F61">
            <v>4900694</v>
          </cell>
          <cell r="G61">
            <v>5544968</v>
          </cell>
          <cell r="H61">
            <v>5801242</v>
          </cell>
          <cell r="I61">
            <v>6774207</v>
          </cell>
          <cell r="J61">
            <v>6777997</v>
          </cell>
          <cell r="K61">
            <v>7735748</v>
          </cell>
          <cell r="L61">
            <v>8459895</v>
          </cell>
          <cell r="M61">
            <v>8571043</v>
          </cell>
          <cell r="N61">
            <v>8677400</v>
          </cell>
          <cell r="O61">
            <v>9508000</v>
          </cell>
          <cell r="P61">
            <v>9563987</v>
          </cell>
        </row>
        <row r="63">
          <cell r="D63" t="str">
            <v>New electrical connections</v>
          </cell>
          <cell r="F63">
            <v>932762</v>
          </cell>
          <cell r="G63">
            <v>1432073</v>
          </cell>
          <cell r="H63">
            <v>1859499</v>
          </cell>
          <cell r="I63">
            <v>2302789</v>
          </cell>
          <cell r="J63">
            <v>2699808</v>
          </cell>
          <cell r="K63">
            <v>3036726</v>
          </cell>
          <cell r="L63">
            <v>3375298</v>
          </cell>
          <cell r="M63">
            <v>3654060</v>
          </cell>
          <cell r="N63">
            <v>3900899</v>
          </cell>
          <cell r="O63">
            <v>4124912</v>
          </cell>
          <cell r="P63">
            <v>4283396</v>
          </cell>
        </row>
      </sheetData>
      <sheetData sheetId="4">
        <row r="12">
          <cell r="K12" t="str">
            <v xml:space="preserve">GRANTS IN RANDS </v>
          </cell>
        </row>
      </sheetData>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SS Indicators"/>
      <sheetName val="Income"/>
      <sheetName val="Gini Coefficient"/>
      <sheetName val="HCI"/>
      <sheetName val="PGI"/>
      <sheetName val="Theil Index of Inequality"/>
      <sheetName val="Squared PGI"/>
      <sheetName val="Grants"/>
      <sheetName val="HDI"/>
      <sheetName val="student teacher ratio"/>
      <sheetName val="gender parity index"/>
      <sheetName val="Matric pass rate"/>
      <sheetName val="S&amp;M matric"/>
      <sheetName val="literacy"/>
      <sheetName val="Science gender parity"/>
      <sheetName val="Maths gender parity"/>
      <sheetName val="Life Expectancy"/>
      <sheetName val="Infant Mortality"/>
      <sheetName val="Matenal Mortality"/>
      <sheetName val="HIV and AIDS"/>
      <sheetName val="TB Notification"/>
      <sheetName val="Malaria"/>
      <sheetName val="Kwashiokor"/>
      <sheetName val="Stunting Prevelance Rate"/>
      <sheetName val="Dwelling"/>
      <sheetName val="water"/>
      <sheetName val="sanitation"/>
      <sheetName val="electricity"/>
      <sheetName val="land claims"/>
      <sheetName val="land restored"/>
      <sheetName val="members participation"/>
      <sheetName val="identity pride etc"/>
      <sheetName val="Race Relations"/>
      <sheetName val="Confident of Happy Future"/>
      <sheetName val="Pride in being South African"/>
      <sheetName val="Class Ident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8">
          <cell r="D8">
            <v>1994</v>
          </cell>
          <cell r="E8">
            <v>1995</v>
          </cell>
          <cell r="F8">
            <v>1996</v>
          </cell>
          <cell r="G8">
            <v>1997</v>
          </cell>
          <cell r="H8">
            <v>1998</v>
          </cell>
          <cell r="I8">
            <v>1999</v>
          </cell>
          <cell r="J8">
            <v>2000</v>
          </cell>
          <cell r="K8">
            <v>2001</v>
          </cell>
          <cell r="L8">
            <v>2002</v>
          </cell>
          <cell r="M8">
            <v>2003</v>
          </cell>
          <cell r="N8">
            <v>2004</v>
          </cell>
          <cell r="O8">
            <v>2005</v>
          </cell>
        </row>
        <row r="9">
          <cell r="C9" t="str">
            <v>Household with access to electricity for lighting</v>
          </cell>
          <cell r="D9">
            <v>0.51900000000000002</v>
          </cell>
          <cell r="F9">
            <v>0.57299999999999995</v>
          </cell>
          <cell r="I9">
            <v>0.69499999999999995</v>
          </cell>
          <cell r="L9">
            <v>0.76200000000000001</v>
          </cell>
          <cell r="M9">
            <v>0.77800000000000002</v>
          </cell>
          <cell r="N9">
            <v>0.80200000000000005</v>
          </cell>
          <cell r="O9">
            <v>0.80200000000000005</v>
          </cell>
        </row>
        <row r="10">
          <cell r="C10" t="str">
            <v>Proportion of Households with access to electricity</v>
          </cell>
        </row>
        <row r="11">
          <cell r="C11" t="str">
            <v>Total number of households</v>
          </cell>
        </row>
      </sheetData>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
      <sheetName val="Contents "/>
      <sheetName val="GDP "/>
      <sheetName val="GDP Capita"/>
      <sheetName val="FDI"/>
      <sheetName val="GFCF"/>
      <sheetName val="B Deficit"/>
      <sheetName val="G debt"/>
      <sheetName val="Interest"/>
      <sheetName val="Inflation"/>
      <sheetName val="BondPointsSpread"/>
      <sheetName val="R&amp;D"/>
      <sheetName val="Foreign Trade"/>
      <sheetName val="Competitiveness"/>
      <sheetName val="Knowledge Based Economy"/>
      <sheetName val="BEE"/>
      <sheetName val="BM"/>
      <sheetName val="Employed"/>
      <sheetName val="Unempl"/>
      <sheetName val="EPWP"/>
      <sheetName val="Income"/>
      <sheetName val="LSM "/>
      <sheetName val="Inequality"/>
      <sheetName val="Poverty headcount"/>
      <sheetName val="Poverty gap indices "/>
      <sheetName val="Grants"/>
      <sheetName val="People with disability"/>
      <sheetName val="Dwellings"/>
      <sheetName val="Water "/>
      <sheetName val="Sanitation"/>
      <sheetName val="Electricity"/>
      <sheetName val="Land restitution"/>
      <sheetName val="Land redistribution"/>
      <sheetName val=" life expectancy"/>
      <sheetName val="Infant &amp; child mortality"/>
      <sheetName val="stunting"/>
      <sheetName val="Immunization"/>
      <sheetName val="Maternal mortality"/>
      <sheetName val="HIV prevalence"/>
      <sheetName val="TB"/>
      <sheetName val="Malaria"/>
      <sheetName val="Educator Learner Ratio"/>
      <sheetName val="Gender parity index "/>
      <sheetName val="Matric pass rate "/>
      <sheetName val="Mathematics pass rate"/>
      <sheetName val="Literacy rate"/>
      <sheetName val="SET Uni"/>
      <sheetName val="Civil society"/>
      <sheetName val="Voter participation"/>
      <sheetName val="Voter prov"/>
      <sheetName val="Women legislative bodies"/>
      <sheetName val="Confidence of happy future"/>
      <sheetName val="Race relations opinion"/>
      <sheetName val="Country Direction"/>
      <sheetName val="Self-description "/>
      <sheetName val="Pride in being SA"/>
      <sheetName val="Crime rate"/>
      <sheetName val="Contact Crime"/>
      <sheetName val="Property crime"/>
      <sheetName val="Serious robberies"/>
      <sheetName val="Detection rate"/>
      <sheetName val="Charges to court"/>
      <sheetName val="Conviction rate"/>
      <sheetName val="Detainees"/>
      <sheetName val="Road accidents &amp; fatalitie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s"/>
      <sheetName val="Demographic trends"/>
    </sheetNames>
    <sheetDataSet>
      <sheetData sheetId="0" refreshError="1"/>
      <sheetData sheetId="1" refreshError="1"/>
      <sheetData sheetId="2">
        <row r="37">
          <cell r="D37">
            <v>34424</v>
          </cell>
          <cell r="E37">
            <v>34515</v>
          </cell>
          <cell r="G37">
            <v>34699</v>
          </cell>
          <cell r="H37">
            <v>34789</v>
          </cell>
          <cell r="I37">
            <v>34880</v>
          </cell>
          <cell r="J37">
            <v>34972</v>
          </cell>
          <cell r="K37">
            <v>35064</v>
          </cell>
          <cell r="L37">
            <v>35155</v>
          </cell>
          <cell r="M37">
            <v>35246</v>
          </cell>
          <cell r="N37">
            <v>35338</v>
          </cell>
          <cell r="O37">
            <v>35430</v>
          </cell>
          <cell r="P37">
            <v>35520</v>
          </cell>
          <cell r="Q37">
            <v>35611</v>
          </cell>
          <cell r="R37">
            <v>35703</v>
          </cell>
          <cell r="S37">
            <v>35795</v>
          </cell>
          <cell r="T37">
            <v>35885</v>
          </cell>
          <cell r="U37">
            <v>35976</v>
          </cell>
          <cell r="V37">
            <v>36068</v>
          </cell>
          <cell r="W37">
            <v>36160</v>
          </cell>
          <cell r="X37">
            <v>36250</v>
          </cell>
          <cell r="Y37">
            <v>36341</v>
          </cell>
          <cell r="Z37">
            <v>36433</v>
          </cell>
          <cell r="AA37">
            <v>36525</v>
          </cell>
          <cell r="AB37">
            <v>36616</v>
          </cell>
          <cell r="AC37">
            <v>36707</v>
          </cell>
          <cell r="AD37">
            <v>36799</v>
          </cell>
          <cell r="AE37">
            <v>36891</v>
          </cell>
          <cell r="AF37">
            <v>36981</v>
          </cell>
          <cell r="AG37">
            <v>37072</v>
          </cell>
          <cell r="AH37">
            <v>37164</v>
          </cell>
          <cell r="AI37">
            <v>37256</v>
          </cell>
          <cell r="AJ37">
            <v>37346</v>
          </cell>
          <cell r="AK37">
            <v>37437</v>
          </cell>
          <cell r="AL37">
            <v>37529</v>
          </cell>
          <cell r="AM37">
            <v>37621</v>
          </cell>
          <cell r="AN37">
            <v>37711</v>
          </cell>
          <cell r="AO37">
            <v>37802</v>
          </cell>
          <cell r="AP37">
            <v>37894</v>
          </cell>
          <cell r="AQ37">
            <v>37986</v>
          </cell>
          <cell r="AR37">
            <v>38077</v>
          </cell>
          <cell r="AS37">
            <v>38168</v>
          </cell>
          <cell r="AT37">
            <v>38260</v>
          </cell>
          <cell r="AU37">
            <v>38352</v>
          </cell>
          <cell r="AV37">
            <v>38442</v>
          </cell>
          <cell r="AW37">
            <v>38533</v>
          </cell>
          <cell r="AX37">
            <v>38625</v>
          </cell>
          <cell r="AY37">
            <v>38717</v>
          </cell>
          <cell r="AZ37">
            <v>38807</v>
          </cell>
          <cell r="BA37">
            <v>38898</v>
          </cell>
          <cell r="BB37">
            <v>38990</v>
          </cell>
          <cell r="BC37">
            <v>39082</v>
          </cell>
        </row>
        <row r="38">
          <cell r="D38">
            <v>1.63</v>
          </cell>
          <cell r="E38">
            <v>4.2407303894168136</v>
          </cell>
          <cell r="F38">
            <v>3.2229479313813814</v>
          </cell>
          <cell r="G38">
            <v>3.6265647811636104</v>
          </cell>
          <cell r="H38">
            <v>4.1293433066025287</v>
          </cell>
          <cell r="I38">
            <v>1.0162861126290057</v>
          </cell>
          <cell r="J38">
            <v>3.7909163443184291</v>
          </cell>
          <cell r="K38">
            <v>3.5625964838656543</v>
          </cell>
          <cell r="L38">
            <v>3.8444009405135482</v>
          </cell>
          <cell r="M38">
            <v>6.0904646589248879</v>
          </cell>
          <cell r="N38">
            <v>3.6582933154286623</v>
          </cell>
          <cell r="O38">
            <v>3.6773857419896361</v>
          </cell>
          <cell r="P38">
            <v>3.4527128458074152</v>
          </cell>
          <cell r="Q38">
            <v>3.2838054210666767</v>
          </cell>
          <cell r="R38">
            <v>2.343089949871402</v>
          </cell>
          <cell r="S38">
            <v>1.5750266381905575</v>
          </cell>
          <cell r="T38">
            <v>1.2818658644760728</v>
          </cell>
          <cell r="U38">
            <v>0.13749256017605571</v>
          </cell>
          <cell r="V38">
            <v>0.1504283539102147</v>
          </cell>
          <cell r="W38">
            <v>0.53412245421480264</v>
          </cell>
          <cell r="X38">
            <v>1.0466892917830872</v>
          </cell>
          <cell r="Y38">
            <v>1.871570285250912</v>
          </cell>
          <cell r="Z38">
            <v>2.77920246185408</v>
          </cell>
          <cell r="AA38">
            <v>3.6757067089507434</v>
          </cell>
          <cell r="AB38">
            <v>3.5508031466390255</v>
          </cell>
          <cell r="AC38">
            <v>3.3781247314551344</v>
          </cell>
          <cell r="AD38">
            <v>5.2027036058474252</v>
          </cell>
          <cell r="AE38">
            <v>4.4384380424989489</v>
          </cell>
          <cell r="AF38">
            <v>3.7702203540950219</v>
          </cell>
          <cell r="AG38">
            <v>3.7227433411501254</v>
          </cell>
          <cell r="AH38">
            <v>1.5441431826459739</v>
          </cell>
          <cell r="AI38">
            <v>2.0123383017581764</v>
          </cell>
          <cell r="AJ38">
            <v>2.7643830331936403</v>
          </cell>
          <cell r="AK38">
            <v>4.055644368707223</v>
          </cell>
          <cell r="AL38">
            <v>3.7586960511169387</v>
          </cell>
          <cell r="AM38">
            <v>4.048825160055447</v>
          </cell>
          <cell r="AN38">
            <v>3.6455622765781293</v>
          </cell>
          <cell r="AO38">
            <v>3.2250741815705419</v>
          </cell>
          <cell r="AP38">
            <v>3.0147602662636164</v>
          </cell>
          <cell r="AQ38">
            <v>2.6325075030428469</v>
          </cell>
          <cell r="AR38">
            <v>3.4695927035659047</v>
          </cell>
          <cell r="AS38">
            <v>4</v>
          </cell>
          <cell r="AT38">
            <v>5.6</v>
          </cell>
          <cell r="AU38">
            <v>6.3077749149190065</v>
          </cell>
          <cell r="AV38">
            <v>5.7</v>
          </cell>
          <cell r="AW38">
            <v>4.7</v>
          </cell>
          <cell r="AX38">
            <v>4.9000000000000004</v>
          </cell>
          <cell r="AY38">
            <v>4.7</v>
          </cell>
          <cell r="AZ38">
            <v>4.9000000000000004</v>
          </cell>
          <cell r="BA38">
            <v>4.9000000000000004</v>
          </cell>
          <cell r="BB38">
            <v>5</v>
          </cell>
          <cell r="BC38">
            <v>6.6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ellings"/>
      <sheetName val="Water"/>
      <sheetName val="Sanitation"/>
      <sheetName val="Electricity"/>
      <sheetName val="Land restitution"/>
      <sheetName val="Land redistribution"/>
    </sheetNames>
    <sheetDataSet>
      <sheetData sheetId="0">
        <row r="8">
          <cell r="E8">
            <v>1994</v>
          </cell>
        </row>
      </sheetData>
      <sheetData sheetId="1"/>
      <sheetData sheetId="2"/>
      <sheetData sheetId="3">
        <row r="59">
          <cell r="E59">
            <v>1995</v>
          </cell>
        </row>
      </sheetData>
      <sheetData sheetId="4">
        <row r="12">
          <cell r="K12" t="str">
            <v xml:space="preserve">GRANTS IN RANDS </v>
          </cell>
        </row>
        <row r="13">
          <cell r="E13" t="str">
            <v>Claims</v>
          </cell>
          <cell r="F13" t="str">
            <v>HHs</v>
          </cell>
          <cell r="G13" t="str">
            <v>Beneficiaries</v>
          </cell>
          <cell r="H13" t="str">
            <v>Ha</v>
          </cell>
          <cell r="I13" t="str">
            <v>Land Costs</v>
          </cell>
          <cell r="J13" t="str">
            <v>Financial Compensation</v>
          </cell>
          <cell r="K13" t="str">
            <v xml:space="preserve">Development </v>
          </cell>
          <cell r="L13" t="str">
            <v>RDG</v>
          </cell>
          <cell r="M13" t="str">
            <v>SPG</v>
          </cell>
          <cell r="N13" t="str">
            <v>RSG</v>
          </cell>
          <cell r="O13" t="str">
            <v>TOTAL</v>
          </cell>
        </row>
      </sheetData>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fe Expectancy "/>
      <sheetName val="Infant &amp; Child mortality"/>
      <sheetName val="Stunting "/>
      <sheetName val="Immunization"/>
      <sheetName val="Martenal mortality"/>
      <sheetName val="HIV Prevalance "/>
      <sheetName val="ART new TROA"/>
      <sheetName val="TB"/>
      <sheetName val="Malaria"/>
      <sheetName val="Sheet1"/>
    </sheetNames>
    <sheetDataSet>
      <sheetData sheetId="0">
        <row r="2">
          <cell r="C2">
            <v>34</v>
          </cell>
        </row>
      </sheetData>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fe Expectancy"/>
      <sheetName val="Infant &amp; Child mortality"/>
      <sheetName val="Stunting "/>
      <sheetName val="Immunization"/>
      <sheetName val="Martenal mortality"/>
      <sheetName val="HIV Prevalance"/>
      <sheetName val="TB"/>
      <sheetName val="Malaria"/>
      <sheetName val="ART new TROA"/>
    </sheetNames>
    <sheetDataSet>
      <sheetData sheetId="0"/>
      <sheetData sheetId="1"/>
      <sheetData sheetId="2"/>
      <sheetData sheetId="3"/>
      <sheetData sheetId="4">
        <row r="2">
          <cell r="C2">
            <v>38</v>
          </cell>
        </row>
      </sheetData>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
      <sheetName val="Content"/>
      <sheetName val="GDP "/>
      <sheetName val="GDP per Capita "/>
      <sheetName val="NFDI "/>
      <sheetName val="GFCF "/>
      <sheetName val="B deficit "/>
      <sheetName val="G debt "/>
      <sheetName val="Interest "/>
      <sheetName val="Inflation "/>
      <sheetName val="Bondpoints Spread "/>
      <sheetName val="R&amp;D "/>
      <sheetName val="ICT"/>
      <sheetName val="Patents"/>
      <sheetName val="Foreign Trade"/>
      <sheetName val="Competitiveness "/>
      <sheetName val="Knowledge Based Economy "/>
      <sheetName val="BM "/>
      <sheetName val="Employed "/>
      <sheetName val="Unempl"/>
      <sheetName val="EPWP"/>
      <sheetName val="CWP "/>
      <sheetName val="Income"/>
      <sheetName val="LSM"/>
      <sheetName val="Inequality"/>
      <sheetName val="Poverty Headcount"/>
      <sheetName val="Poverty Gap indices  "/>
      <sheetName val="Grants"/>
      <sheetName val="People with disability "/>
      <sheetName val="Dwellings"/>
      <sheetName val="Rental"/>
      <sheetName val="Gap market"/>
      <sheetName val="Water"/>
      <sheetName val="Sanitation"/>
      <sheetName val="Electricity"/>
      <sheetName val="Land restitution"/>
      <sheetName val="Land redistribution "/>
      <sheetName val="Life Expectancy "/>
      <sheetName val="Infant &amp; Child mortality"/>
      <sheetName val="Stunting "/>
      <sheetName val="Immunization"/>
      <sheetName val="Martenal mortality"/>
      <sheetName val="HIV Prevalance "/>
      <sheetName val="ART new TROA"/>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Skills and training"/>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Property crime"/>
      <sheetName val="Contact crime"/>
      <sheetName val="Serious robberies"/>
      <sheetName val="Drug-Related Crime"/>
      <sheetName val="Sexual offences"/>
      <sheetName val="Charges to court"/>
      <sheetName val="Cases in court"/>
      <sheetName val="Detainees"/>
      <sheetName val="Rehabilitation"/>
      <sheetName val="Parolees"/>
      <sheetName val="Road Accidents"/>
      <sheetName val="Peace Operations"/>
      <sheetName val="Development cooperation"/>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Transport"/>
      <sheetName val="Energy"/>
      <sheetName val="Demographic tre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
          <cell r="C2">
            <v>47</v>
          </cell>
        </row>
      </sheetData>
      <sheetData sheetId="51">
        <row r="56">
          <cell r="E56">
            <v>1995</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or Learner Ratio"/>
      <sheetName val="Gender parity index "/>
      <sheetName val="Matric pass rate "/>
      <sheetName val="Mathematics pass rate"/>
      <sheetName val="Literacy rate"/>
      <sheetName val="SET Uni"/>
    </sheetNames>
    <sheetDataSet>
      <sheetData sheetId="0"/>
      <sheetData sheetId="1"/>
      <sheetData sheetId="2"/>
      <sheetData sheetId="3"/>
      <sheetData sheetId="4"/>
      <sheetData sheetId="5">
        <row r="51">
          <cell r="E51">
            <v>2000</v>
          </cell>
          <cell r="F51">
            <v>2001</v>
          </cell>
          <cell r="G51">
            <v>2002</v>
          </cell>
          <cell r="H51">
            <v>2003</v>
          </cell>
          <cell r="I51">
            <v>2004</v>
          </cell>
          <cell r="J51">
            <v>2005</v>
          </cell>
          <cell r="K51">
            <v>2006</v>
          </cell>
        </row>
        <row r="52">
          <cell r="D52" t="str">
            <v>Total enrolment</v>
          </cell>
          <cell r="E52">
            <v>578134</v>
          </cell>
          <cell r="F52">
            <v>627277</v>
          </cell>
          <cell r="G52">
            <v>667182</v>
          </cell>
          <cell r="H52">
            <v>705255</v>
          </cell>
          <cell r="I52">
            <v>744478</v>
          </cell>
          <cell r="J52">
            <v>735073</v>
          </cell>
          <cell r="K52">
            <v>741380</v>
          </cell>
        </row>
        <row r="56">
          <cell r="D56" t="str">
            <v>Total Graduates</v>
          </cell>
          <cell r="E56">
            <v>92819</v>
          </cell>
          <cell r="F56">
            <v>95940</v>
          </cell>
          <cell r="G56">
            <v>101047</v>
          </cell>
          <cell r="H56">
            <v>108263</v>
          </cell>
          <cell r="I56">
            <v>117240</v>
          </cell>
          <cell r="J56">
            <v>120385</v>
          </cell>
          <cell r="K56">
            <v>124676</v>
          </cell>
        </row>
        <row r="57">
          <cell r="D57" t="str">
            <v>SET Graduates</v>
          </cell>
          <cell r="E57">
            <v>23808.073500000002</v>
          </cell>
          <cell r="F57">
            <v>24186.473999999998</v>
          </cell>
          <cell r="G57">
            <v>26959.339599999999</v>
          </cell>
          <cell r="H57">
            <v>29133.5733</v>
          </cell>
          <cell r="I57">
            <v>31654.799999999999</v>
          </cell>
          <cell r="J57">
            <v>33467.03</v>
          </cell>
          <cell r="K57">
            <v>34846.941999999995</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or Learner Ratio"/>
      <sheetName val="Gender parity index "/>
      <sheetName val="Matric pass rate "/>
      <sheetName val="Mathematics pass rate"/>
      <sheetName val="Literacy rate"/>
      <sheetName val="SET Uni"/>
    </sheetNames>
    <sheetDataSet>
      <sheetData sheetId="0"/>
      <sheetData sheetId="1"/>
      <sheetData sheetId="2"/>
      <sheetData sheetId="3">
        <row r="8">
          <cell r="E8">
            <v>1995</v>
          </cell>
        </row>
      </sheetData>
      <sheetData sheetId="4"/>
      <sheetData sheetId="5">
        <row r="51">
          <cell r="E51">
            <v>2000</v>
          </cell>
          <cell r="F51">
            <v>2001</v>
          </cell>
          <cell r="G51">
            <v>2002</v>
          </cell>
          <cell r="H51">
            <v>2003</v>
          </cell>
          <cell r="I51">
            <v>2004</v>
          </cell>
          <cell r="J51">
            <v>2005</v>
          </cell>
          <cell r="K51">
            <v>2006</v>
          </cell>
        </row>
        <row r="52">
          <cell r="D52" t="str">
            <v>Total enrolment</v>
          </cell>
          <cell r="E52">
            <v>578134</v>
          </cell>
          <cell r="F52">
            <v>627277</v>
          </cell>
          <cell r="G52">
            <v>667182</v>
          </cell>
          <cell r="H52">
            <v>705255</v>
          </cell>
          <cell r="I52">
            <v>744478</v>
          </cell>
          <cell r="J52">
            <v>735073</v>
          </cell>
          <cell r="K52">
            <v>741380</v>
          </cell>
        </row>
        <row r="56">
          <cell r="D56" t="str">
            <v>Total Graduates</v>
          </cell>
          <cell r="E56">
            <v>92819</v>
          </cell>
          <cell r="F56">
            <v>95940</v>
          </cell>
          <cell r="G56">
            <v>101047</v>
          </cell>
          <cell r="H56">
            <v>108263</v>
          </cell>
          <cell r="I56">
            <v>117240</v>
          </cell>
          <cell r="J56">
            <v>120385</v>
          </cell>
          <cell r="K56">
            <v>124676</v>
          </cell>
        </row>
        <row r="57">
          <cell r="D57" t="str">
            <v>SET Graduates</v>
          </cell>
          <cell r="E57">
            <v>23808.073500000002</v>
          </cell>
          <cell r="F57">
            <v>24186.473999999998</v>
          </cell>
          <cell r="G57">
            <v>26959.339599999999</v>
          </cell>
          <cell r="H57">
            <v>29133.5733</v>
          </cell>
          <cell r="I57">
            <v>31654.799999999999</v>
          </cell>
          <cell r="J57">
            <v>33467.03</v>
          </cell>
          <cell r="K57">
            <v>34846.941999999995</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ional Perf"/>
    </sheetNames>
    <sheetDataSet>
      <sheetData sheetId="0">
        <row r="8">
          <cell r="E8" t="str">
            <v>Language Achievement</v>
          </cell>
          <cell r="F8" t="str">
            <v>Mathematics Achievement</v>
          </cell>
          <cell r="H8" t="str">
            <v>Literacy Achievement</v>
          </cell>
          <cell r="J8" t="str">
            <v>Numeracy Achievement</v>
          </cell>
        </row>
        <row r="9">
          <cell r="H9" t="str">
            <v>2001</v>
          </cell>
          <cell r="I9" t="str">
            <v>2007</v>
          </cell>
          <cell r="J9" t="str">
            <v>2001</v>
          </cell>
          <cell r="K9" t="str">
            <v>2007</v>
          </cell>
        </row>
        <row r="10">
          <cell r="D10" t="str">
            <v>Eastern Cape</v>
          </cell>
          <cell r="H10">
            <v>24</v>
          </cell>
          <cell r="I10">
            <v>35</v>
          </cell>
          <cell r="J10">
            <v>34</v>
          </cell>
          <cell r="K10">
            <v>36</v>
          </cell>
        </row>
        <row r="11">
          <cell r="D11" t="str">
            <v>Free State</v>
          </cell>
          <cell r="H11">
            <v>27</v>
          </cell>
          <cell r="I11">
            <v>43</v>
          </cell>
          <cell r="J11">
            <v>29</v>
          </cell>
          <cell r="K11">
            <v>42</v>
          </cell>
        </row>
        <row r="12">
          <cell r="D12" t="str">
            <v>Gauteng</v>
          </cell>
          <cell r="H12">
            <v>33</v>
          </cell>
          <cell r="I12">
            <v>38</v>
          </cell>
          <cell r="J12">
            <v>32</v>
          </cell>
          <cell r="K12">
            <v>42</v>
          </cell>
        </row>
        <row r="13">
          <cell r="D13" t="str">
            <v>KwaZulu-Natal</v>
          </cell>
          <cell r="H13">
            <v>35</v>
          </cell>
          <cell r="I13">
            <v>38</v>
          </cell>
          <cell r="J13">
            <v>31</v>
          </cell>
          <cell r="K13">
            <v>36</v>
          </cell>
        </row>
        <row r="14">
          <cell r="D14" t="str">
            <v>Limpopo</v>
          </cell>
          <cell r="H14">
            <v>27</v>
          </cell>
          <cell r="I14">
            <v>29</v>
          </cell>
          <cell r="J14">
            <v>24</v>
          </cell>
          <cell r="K14">
            <v>26</v>
          </cell>
        </row>
        <row r="15">
          <cell r="D15" t="str">
            <v>Mpumalanga</v>
          </cell>
          <cell r="H15">
            <v>28</v>
          </cell>
          <cell r="I15">
            <v>32</v>
          </cell>
          <cell r="J15">
            <v>29</v>
          </cell>
          <cell r="K15">
            <v>31</v>
          </cell>
        </row>
        <row r="16">
          <cell r="D16" t="str">
            <v>North West</v>
          </cell>
          <cell r="H16">
            <v>29</v>
          </cell>
          <cell r="I16">
            <v>35</v>
          </cell>
          <cell r="J16">
            <v>25</v>
          </cell>
          <cell r="K16">
            <v>29</v>
          </cell>
        </row>
        <row r="17">
          <cell r="D17" t="str">
            <v>Northern Cape</v>
          </cell>
          <cell r="H17">
            <v>23</v>
          </cell>
          <cell r="I17">
            <v>34</v>
          </cell>
          <cell r="J17">
            <v>26</v>
          </cell>
          <cell r="K17">
            <v>31</v>
          </cell>
        </row>
        <row r="18">
          <cell r="D18" t="str">
            <v>Western Cape</v>
          </cell>
          <cell r="H18">
            <v>33</v>
          </cell>
          <cell r="I18">
            <v>48</v>
          </cell>
          <cell r="J18">
            <v>32</v>
          </cell>
          <cell r="K18">
            <v>49</v>
          </cell>
        </row>
        <row r="19">
          <cell r="D19" t="str">
            <v xml:space="preserve">South Africa </v>
          </cell>
          <cell r="H19">
            <v>28.777777777777779</v>
          </cell>
          <cell r="I19">
            <v>36.888888888888886</v>
          </cell>
          <cell r="J19">
            <v>29.111111111111111</v>
          </cell>
          <cell r="K19">
            <v>35.777777777777779</v>
          </cell>
        </row>
        <row r="31">
          <cell r="AM31" t="str">
            <v>Litercay Achievement 2001</v>
          </cell>
        </row>
        <row r="32">
          <cell r="AM32" t="str">
            <v>Litercay Achievement 2007</v>
          </cell>
        </row>
        <row r="33">
          <cell r="AM33" t="str">
            <v>Numeracy Achievement 2001</v>
          </cell>
        </row>
        <row r="34">
          <cell r="AM34" t="str">
            <v>Numeracy Achievement 2007</v>
          </cell>
        </row>
        <row r="70">
          <cell r="H70" t="str">
            <v>Not Achieved</v>
          </cell>
          <cell r="L70" t="str">
            <v>Not Achieved</v>
          </cell>
        </row>
        <row r="71">
          <cell r="D71" t="str">
            <v>Eastern Cape</v>
          </cell>
          <cell r="H71">
            <v>76</v>
          </cell>
          <cell r="L71">
            <v>87</v>
          </cell>
        </row>
        <row r="72">
          <cell r="D72" t="str">
            <v>Free State</v>
          </cell>
          <cell r="H72">
            <v>66</v>
          </cell>
          <cell r="L72">
            <v>75</v>
          </cell>
        </row>
        <row r="73">
          <cell r="D73" t="str">
            <v>Gauteng</v>
          </cell>
          <cell r="H73">
            <v>36</v>
          </cell>
          <cell r="L73">
            <v>68</v>
          </cell>
        </row>
        <row r="74">
          <cell r="D74" t="str">
            <v>KwaZulu-Natal</v>
          </cell>
          <cell r="H74">
            <v>68</v>
          </cell>
          <cell r="L74">
            <v>82</v>
          </cell>
        </row>
        <row r="75">
          <cell r="D75" t="str">
            <v>Limpopo</v>
          </cell>
          <cell r="H75">
            <v>86</v>
          </cell>
          <cell r="L75">
            <v>95</v>
          </cell>
        </row>
        <row r="76">
          <cell r="D76" t="str">
            <v>Mpumalanga</v>
          </cell>
          <cell r="H76">
            <v>67</v>
          </cell>
          <cell r="L76">
            <v>86</v>
          </cell>
        </row>
        <row r="77">
          <cell r="D77" t="str">
            <v>North West</v>
          </cell>
          <cell r="H77">
            <v>67</v>
          </cell>
          <cell r="L77">
            <v>88</v>
          </cell>
        </row>
        <row r="78">
          <cell r="D78" t="str">
            <v>Northern Cape</v>
          </cell>
          <cell r="H78">
            <v>33</v>
          </cell>
          <cell r="L78">
            <v>70</v>
          </cell>
        </row>
        <row r="79">
          <cell r="D79" t="str">
            <v>Western Cape</v>
          </cell>
          <cell r="H79">
            <v>28</v>
          </cell>
          <cell r="L79">
            <v>55</v>
          </cell>
        </row>
        <row r="88">
          <cell r="E88">
            <v>24</v>
          </cell>
          <cell r="F88">
            <v>35</v>
          </cell>
          <cell r="H88">
            <v>34</v>
          </cell>
          <cell r="I88">
            <v>36</v>
          </cell>
        </row>
        <row r="89">
          <cell r="E89">
            <v>27</v>
          </cell>
          <cell r="F89">
            <v>43</v>
          </cell>
          <cell r="H89">
            <v>29</v>
          </cell>
          <cell r="I89">
            <v>42</v>
          </cell>
        </row>
        <row r="90">
          <cell r="E90">
            <v>33</v>
          </cell>
          <cell r="F90">
            <v>38</v>
          </cell>
          <cell r="H90">
            <v>32</v>
          </cell>
          <cell r="I90">
            <v>42</v>
          </cell>
        </row>
        <row r="91">
          <cell r="E91">
            <v>35</v>
          </cell>
          <cell r="F91">
            <v>38</v>
          </cell>
          <cell r="H91">
            <v>31</v>
          </cell>
          <cell r="I91">
            <v>36</v>
          </cell>
        </row>
        <row r="92">
          <cell r="E92">
            <v>27</v>
          </cell>
          <cell r="F92">
            <v>29</v>
          </cell>
          <cell r="H92">
            <v>24</v>
          </cell>
          <cell r="I92">
            <v>26</v>
          </cell>
        </row>
        <row r="93">
          <cell r="E93">
            <v>28</v>
          </cell>
          <cell r="F93">
            <v>32</v>
          </cell>
          <cell r="H93">
            <v>29</v>
          </cell>
          <cell r="I93">
            <v>31</v>
          </cell>
        </row>
        <row r="94">
          <cell r="E94">
            <v>29</v>
          </cell>
          <cell r="F94">
            <v>35</v>
          </cell>
          <cell r="H94">
            <v>25</v>
          </cell>
          <cell r="I94">
            <v>29</v>
          </cell>
        </row>
        <row r="95">
          <cell r="E95">
            <v>23</v>
          </cell>
          <cell r="F95">
            <v>34</v>
          </cell>
          <cell r="H95">
            <v>26</v>
          </cell>
          <cell r="I95">
            <v>31</v>
          </cell>
        </row>
        <row r="96">
          <cell r="E96">
            <v>33</v>
          </cell>
          <cell r="F96">
            <v>48</v>
          </cell>
          <cell r="H96">
            <v>32</v>
          </cell>
          <cell r="I96">
            <v>49</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Indicators"/>
      <sheetName val="Voting"/>
      <sheetName val="Voters prov"/>
      <sheetName val="Women"/>
      <sheetName val="Civil society"/>
      <sheetName val="Revised Tax return"/>
      <sheetName val="Audits"/>
      <sheetName val="A-Corruption"/>
      <sheetName val="A-Corruption (2)"/>
      <sheetName val="Bugdet"/>
      <sheetName val="Opinion"/>
      <sheetName val="Red Tape B"/>
    </sheetNames>
    <sheetDataSet>
      <sheetData sheetId="0"/>
      <sheetData sheetId="1"/>
      <sheetData sheetId="2"/>
      <sheetData sheetId="3"/>
      <sheetData sheetId="4">
        <row r="8">
          <cell r="D8" t="str">
            <v>South Africa</v>
          </cell>
          <cell r="G8" t="str">
            <v>Chile</v>
          </cell>
          <cell r="J8" t="str">
            <v>Korea</v>
          </cell>
          <cell r="M8" t="str">
            <v>Poland</v>
          </cell>
        </row>
        <row r="9">
          <cell r="D9">
            <v>1995</v>
          </cell>
          <cell r="E9">
            <v>2001</v>
          </cell>
          <cell r="F9">
            <v>2006</v>
          </cell>
          <cell r="G9">
            <v>1995</v>
          </cell>
          <cell r="H9">
            <v>2001</v>
          </cell>
          <cell r="I9">
            <v>2006</v>
          </cell>
          <cell r="J9">
            <v>1995</v>
          </cell>
          <cell r="K9">
            <v>2001</v>
          </cell>
          <cell r="L9">
            <v>2006</v>
          </cell>
          <cell r="M9">
            <v>1995</v>
          </cell>
          <cell r="N9">
            <v>2001</v>
          </cell>
          <cell r="O9">
            <v>2006</v>
          </cell>
        </row>
        <row r="10">
          <cell r="C10" t="str">
            <v>Church or religious</v>
          </cell>
          <cell r="D10">
            <v>0.58399999999999996</v>
          </cell>
          <cell r="E10">
            <v>0.52400000000000002</v>
          </cell>
          <cell r="G10">
            <v>0.28100000000000003</v>
          </cell>
          <cell r="J10">
            <v>0.155</v>
          </cell>
          <cell r="K10">
            <v>0.43</v>
          </cell>
          <cell r="N10">
            <v>5.7000000000000002E-2</v>
          </cell>
        </row>
        <row r="13">
          <cell r="C13" t="str">
            <v>Labour union</v>
          </cell>
          <cell r="D13">
            <v>7.4999999999999997E-2</v>
          </cell>
          <cell r="E13">
            <v>9.2999999999999999E-2</v>
          </cell>
          <cell r="G13">
            <v>5.6000000000000001E-2</v>
          </cell>
          <cell r="H13">
            <v>0.03</v>
          </cell>
          <cell r="J13">
            <v>1.9E-2</v>
          </cell>
          <cell r="K13">
            <v>4.7E-2</v>
          </cell>
          <cell r="M13">
            <v>2.1000000000000001E-2</v>
          </cell>
          <cell r="N13">
            <v>0.10299999999999999</v>
          </cell>
        </row>
        <row r="14">
          <cell r="C14" t="str">
            <v xml:space="preserve">Political party </v>
          </cell>
          <cell r="D14">
            <v>0.114</v>
          </cell>
          <cell r="E14">
            <v>0.115</v>
          </cell>
          <cell r="G14">
            <v>2.8000000000000001E-2</v>
          </cell>
          <cell r="H14">
            <v>2.4E-2</v>
          </cell>
          <cell r="J14">
            <v>2.5000000000000001E-2</v>
          </cell>
          <cell r="K14">
            <v>0.02</v>
          </cell>
          <cell r="M14">
            <v>5.0000000000000001E-3</v>
          </cell>
          <cell r="N14">
            <v>7.0000000000000001E-3</v>
          </cell>
        </row>
      </sheetData>
      <sheetData sheetId="5"/>
      <sheetData sheetId="6"/>
      <sheetData sheetId="7"/>
      <sheetData sheetId="8"/>
      <sheetData sheetId="9"/>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
      <sheetName val="Content"/>
      <sheetName val="GDP "/>
      <sheetName val="GDP per Capita "/>
      <sheetName val="NFDI "/>
      <sheetName val="GFCF "/>
      <sheetName val="B deficit "/>
      <sheetName val="G debt "/>
      <sheetName val="Interest "/>
      <sheetName val="Inflation "/>
      <sheetName val="Bondpoints Spread "/>
      <sheetName val="R&amp;D "/>
      <sheetName val="ICT"/>
      <sheetName val="Patents"/>
      <sheetName val="Foreign Trade"/>
      <sheetName val="Competitiveness "/>
      <sheetName val="Knowledge Based Economy "/>
      <sheetName val="BM "/>
      <sheetName val="Employed "/>
      <sheetName val="Unempl"/>
      <sheetName val="EPWP"/>
      <sheetName val="CWP "/>
      <sheetName val="Income"/>
      <sheetName val="LSM"/>
      <sheetName val="Inequality"/>
      <sheetName val="Poverty Headcount"/>
      <sheetName val="Poverty Gap indices  "/>
      <sheetName val="Grants"/>
      <sheetName val="People with disability "/>
      <sheetName val="Dwellings"/>
      <sheetName val="Rental"/>
      <sheetName val="Gap market"/>
      <sheetName val="Water"/>
      <sheetName val="Sanitation"/>
      <sheetName val="Electricity"/>
      <sheetName val="Land restitution"/>
      <sheetName val="Land redistribution "/>
      <sheetName val="Life Expectancy "/>
      <sheetName val="Infant &amp; Child mortality"/>
      <sheetName val="Stunting "/>
      <sheetName val="Immunization"/>
      <sheetName val="Martenal mortality"/>
      <sheetName val="HIV Prevalance "/>
      <sheetName val="ART new TROA"/>
      <sheetName val="TB"/>
      <sheetName val="Malaria"/>
      <sheetName val="ECD"/>
      <sheetName val="Educator Learner ratio"/>
      <sheetName val="Gender parity index"/>
      <sheetName val="Matric pass rate"/>
      <sheetName val="Mathematics pass rate"/>
      <sheetName val="Literacy rate "/>
      <sheetName val="SET Uni"/>
      <sheetName val="Educational Perfomance  "/>
      <sheetName val="Maths, science perf"/>
      <sheetName val="Skills and training"/>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Property crime"/>
      <sheetName val="Contact crime"/>
      <sheetName val="Serious robberies"/>
      <sheetName val="Drug-Related Crime"/>
      <sheetName val="Sexual offences"/>
      <sheetName val="Charges to court"/>
      <sheetName val="Cases in court"/>
      <sheetName val="Detainees"/>
      <sheetName val="Rehabilitation"/>
      <sheetName val="Parolees"/>
      <sheetName val="Road Accidents"/>
      <sheetName val="Peace Operations"/>
      <sheetName val="Development cooperation"/>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Transport"/>
      <sheetName val="Energy"/>
      <sheetName val="Demographic tre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
          <cell r="C2">
            <v>61</v>
          </cell>
        </row>
      </sheetData>
      <sheetData sheetId="65">
        <row r="8">
          <cell r="E8">
            <v>1998</v>
          </cell>
        </row>
      </sheetData>
      <sheetData sheetId="66">
        <row r="51">
          <cell r="E51" t="str">
            <v>1994/95</v>
          </cell>
        </row>
      </sheetData>
      <sheetData sheetId="67">
        <row r="52">
          <cell r="E52" t="str">
            <v>1994/95</v>
          </cell>
        </row>
      </sheetData>
      <sheetData sheetId="68">
        <row r="8">
          <cell r="E8" t="str">
            <v>1995/96</v>
          </cell>
        </row>
      </sheetData>
      <sheetData sheetId="69">
        <row r="58">
          <cell r="E58" t="str">
            <v>Selected aggravated robberies - reported cases</v>
          </cell>
        </row>
      </sheetData>
      <sheetData sheetId="70"/>
      <sheetData sheetId="71"/>
      <sheetData sheetId="72"/>
      <sheetData sheetId="73"/>
      <sheetData sheetId="74">
        <row r="9">
          <cell r="E9" t="str">
            <v>1994/95</v>
          </cell>
        </row>
      </sheetData>
      <sheetData sheetId="75">
        <row r="9">
          <cell r="E9" t="str">
            <v>1995/96</v>
          </cell>
        </row>
      </sheetData>
      <sheetData sheetId="76">
        <row r="9">
          <cell r="F9" t="str">
            <v>1995/96</v>
          </cell>
        </row>
      </sheetData>
      <sheetData sheetId="77">
        <row r="9">
          <cell r="F9">
            <v>1995</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me Victims "/>
      <sheetName val="Crime rate"/>
      <sheetName val="Property crime"/>
      <sheetName val="Contact crime"/>
      <sheetName val="Serious robberies"/>
      <sheetName val="Drug-Related Crime"/>
      <sheetName val="Sexual offences"/>
      <sheetName val="Charges to court"/>
      <sheetName val="Cases in court"/>
      <sheetName val="Detainees"/>
      <sheetName val="Rehabilitation"/>
      <sheetName val="Parolees"/>
      <sheetName val="Road Accidents"/>
    </sheetNames>
    <sheetDataSet>
      <sheetData sheetId="0"/>
      <sheetData sheetId="1"/>
      <sheetData sheetId="2">
        <row r="2">
          <cell r="C2">
            <v>64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sheetName val="NFDI"/>
      <sheetName val="GFCF"/>
      <sheetName val="B deficit"/>
      <sheetName val="G debt"/>
      <sheetName val="Interest"/>
      <sheetName val="Inflation"/>
      <sheetName val="Bondpoints Spread"/>
      <sheetName val="Foreign Trade"/>
      <sheetName val="Dwellings"/>
    </sheetNames>
    <sheetDataSet>
      <sheetData sheetId="0">
        <row r="2">
          <cell r="C2">
            <v>1</v>
          </cell>
        </row>
      </sheetData>
      <sheetData sheetId="1">
        <row r="2">
          <cell r="C2">
            <v>2</v>
          </cell>
        </row>
      </sheetData>
      <sheetData sheetId="2">
        <row r="2">
          <cell r="C2">
            <v>3</v>
          </cell>
        </row>
      </sheetData>
      <sheetData sheetId="3">
        <row r="2">
          <cell r="C2">
            <v>4</v>
          </cell>
        </row>
      </sheetData>
      <sheetData sheetId="4">
        <row r="2">
          <cell r="C2">
            <v>5</v>
          </cell>
        </row>
      </sheetData>
      <sheetData sheetId="5">
        <row r="2">
          <cell r="C2">
            <v>6</v>
          </cell>
        </row>
      </sheetData>
      <sheetData sheetId="6"/>
      <sheetData sheetId="7"/>
      <sheetData sheetId="8"/>
      <sheetData sheetId="9"/>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me rate"/>
      <sheetName val="Contact Crime"/>
      <sheetName val="Property crime"/>
      <sheetName val="Serious robberies"/>
      <sheetName val="Detection rate"/>
      <sheetName val="Charges to court"/>
      <sheetName val="Conviction rate"/>
      <sheetName val="Detainees"/>
      <sheetName val="Road accidents &amp; fatalities"/>
    </sheetNames>
    <sheetDataSet>
      <sheetData sheetId="0"/>
      <sheetData sheetId="1">
        <row r="170">
          <cell r="B170" t="str">
            <v>1994/95</v>
          </cell>
          <cell r="C170" t="str">
            <v>1995/96</v>
          </cell>
          <cell r="D170" t="str">
            <v>1996/97</v>
          </cell>
          <cell r="E170" t="str">
            <v>1997/98</v>
          </cell>
          <cell r="F170" t="str">
            <v>1998/99</v>
          </cell>
          <cell r="G170" t="str">
            <v>1999/00</v>
          </cell>
          <cell r="H170" t="str">
            <v>2000/01</v>
          </cell>
          <cell r="I170" t="str">
            <v>2001/02</v>
          </cell>
          <cell r="J170" t="str">
            <v>2002/03</v>
          </cell>
          <cell r="K170" t="str">
            <v>2003/04</v>
          </cell>
          <cell r="L170" t="str">
            <v>2004/05</v>
          </cell>
          <cell r="M170" t="str">
            <v>2005/06</v>
          </cell>
          <cell r="N170" t="str">
            <v>2006/07</v>
          </cell>
        </row>
        <row r="171">
          <cell r="A171" t="str">
            <v>Murder</v>
          </cell>
          <cell r="B171">
            <v>100</v>
          </cell>
          <cell r="C171">
            <v>101.48809863178425</v>
          </cell>
          <cell r="D171">
            <v>93.792224016122006</v>
          </cell>
          <cell r="E171">
            <v>88.88863667337769</v>
          </cell>
          <cell r="F171">
            <v>89.425679533944773</v>
          </cell>
          <cell r="G171">
            <v>78.461546575609759</v>
          </cell>
          <cell r="H171">
            <v>74.433399137940413</v>
          </cell>
          <cell r="I171">
            <v>71.372958646877066</v>
          </cell>
          <cell r="J171">
            <v>70.865078875843395</v>
          </cell>
          <cell r="K171">
            <v>63.87080275468464</v>
          </cell>
          <cell r="L171">
            <v>60.227275178124387</v>
          </cell>
          <cell r="M171">
            <v>59.031696514538801</v>
          </cell>
          <cell r="N171">
            <v>58.1661271719314</v>
          </cell>
        </row>
        <row r="172">
          <cell r="A172" t="str">
            <v>Attempted Murder</v>
          </cell>
          <cell r="B172">
            <v>100</v>
          </cell>
          <cell r="C172">
            <v>98.300396799455157</v>
          </cell>
          <cell r="D172">
            <v>101.92850161180844</v>
          </cell>
          <cell r="E172">
            <v>98.965988480689745</v>
          </cell>
          <cell r="F172">
            <v>101.85020728590619</v>
          </cell>
          <cell r="G172">
            <v>94.744379636660454</v>
          </cell>
          <cell r="H172">
            <v>93.206037906338395</v>
          </cell>
          <cell r="I172">
            <v>101.06993390949953</v>
          </cell>
          <cell r="J172">
            <v>114.20976962200314</v>
          </cell>
          <cell r="K172">
            <v>93.861496756907187</v>
          </cell>
          <cell r="L172">
            <v>76.143042602402446</v>
          </cell>
          <cell r="M172">
            <v>63.549041259419525</v>
          </cell>
          <cell r="N172">
            <v>64.647797291263586</v>
          </cell>
        </row>
        <row r="173">
          <cell r="A173" t="str">
            <v>Common Assault</v>
          </cell>
          <cell r="B173">
            <v>100</v>
          </cell>
          <cell r="C173">
            <v>100.86356963047767</v>
          </cell>
          <cell r="D173">
            <v>96.940056766335076</v>
          </cell>
          <cell r="E173">
            <v>94.760859194917018</v>
          </cell>
          <cell r="F173">
            <v>93.990913545732539</v>
          </cell>
          <cell r="G173">
            <v>104.42984058536841</v>
          </cell>
          <cell r="H173">
            <v>110.38945943236611</v>
          </cell>
          <cell r="I173">
            <v>113.22723186957828</v>
          </cell>
          <cell r="J173">
            <v>120.44897440470879</v>
          </cell>
          <cell r="K173">
            <v>117.36751111526502</v>
          </cell>
          <cell r="L173">
            <v>111.42333506452</v>
          </cell>
          <cell r="M173">
            <v>94.04129479445487</v>
          </cell>
          <cell r="N173">
            <v>93.236135840703653</v>
          </cell>
        </row>
        <row r="174">
          <cell r="A174" t="str">
            <v>Assault GBH</v>
          </cell>
          <cell r="B174">
            <v>100</v>
          </cell>
          <cell r="C174">
            <v>101.42023909693563</v>
          </cell>
          <cell r="D174">
            <v>102.63130030166299</v>
          </cell>
          <cell r="E174">
            <v>102.62619076688368</v>
          </cell>
          <cell r="F174">
            <v>101.89735397608868</v>
          </cell>
          <cell r="G174">
            <v>109.40682585435466</v>
          </cell>
          <cell r="H174">
            <v>113.37944140371015</v>
          </cell>
          <cell r="I174">
            <v>105.98361038677584</v>
          </cell>
          <cell r="J174">
            <v>105.42085488670978</v>
          </cell>
          <cell r="K174">
            <v>100.88299258504389</v>
          </cell>
          <cell r="L174">
            <v>96.312351683814683</v>
          </cell>
          <cell r="M174">
            <v>87.082343013200656</v>
          </cell>
          <cell r="N174">
            <v>85.862884754165208</v>
          </cell>
        </row>
        <row r="175">
          <cell r="A175" t="str">
            <v>Rape</v>
          </cell>
          <cell r="B175">
            <v>100</v>
          </cell>
          <cell r="C175">
            <v>109.13463626136526</v>
          </cell>
          <cell r="D175">
            <v>109.89608362935093</v>
          </cell>
          <cell r="E175">
            <v>109.43966794611318</v>
          </cell>
          <cell r="F175">
            <v>102.58409629960279</v>
          </cell>
          <cell r="G175">
            <v>106.521905451002</v>
          </cell>
          <cell r="H175">
            <v>104.94462529245878</v>
          </cell>
          <cell r="I175">
            <v>105.03834975306225</v>
          </cell>
          <cell r="J175">
            <v>100.01118371738772</v>
          </cell>
          <cell r="K175">
            <v>98.577805820101432</v>
          </cell>
          <cell r="L175">
            <v>102.57900829031755</v>
          </cell>
          <cell r="M175">
            <v>101.5384773524614</v>
          </cell>
          <cell r="N175">
            <v>93.039644269568171</v>
          </cell>
        </row>
        <row r="176">
          <cell r="A176" t="str">
            <v>Aggravated Robbery</v>
          </cell>
          <cell r="B176">
            <v>100</v>
          </cell>
          <cell r="C176">
            <v>89.235003265699802</v>
          </cell>
          <cell r="D176">
            <v>74.61435352574199</v>
          </cell>
          <cell r="E176">
            <v>81.214908237866752</v>
          </cell>
          <cell r="F176">
            <v>100.95842708080112</v>
          </cell>
          <cell r="G176">
            <v>105.04005802956391</v>
          </cell>
          <cell r="H176">
            <v>119.13510643002132</v>
          </cell>
          <cell r="I176">
            <v>119.20448020355859</v>
          </cell>
          <cell r="J176">
            <v>127.78285341991094</v>
          </cell>
          <cell r="K176">
            <v>131.8789091649472</v>
          </cell>
          <cell r="L176">
            <v>124.57921566314796</v>
          </cell>
          <cell r="M176">
            <v>116.84450315503922</v>
          </cell>
          <cell r="N176">
            <v>130.94021278525798</v>
          </cell>
        </row>
        <row r="177">
          <cell r="A177" t="str">
            <v>Common Robbery</v>
          </cell>
          <cell r="B177">
            <v>100</v>
          </cell>
          <cell r="C177">
            <v>137.14323363080365</v>
          </cell>
          <cell r="D177">
            <v>148.36301853422606</v>
          </cell>
          <cell r="E177">
            <v>158.54014668552037</v>
          </cell>
          <cell r="F177">
            <v>183.85413131696907</v>
          </cell>
          <cell r="G177">
            <v>206.17763770597759</v>
          </cell>
          <cell r="H177">
            <v>245.36526242085023</v>
          </cell>
          <cell r="I177">
            <v>239.13025278191299</v>
          </cell>
          <cell r="J177">
            <v>265.42041125464038</v>
          </cell>
          <cell r="K177">
            <v>244.75510917078935</v>
          </cell>
          <cell r="L177">
            <v>231.69049879053247</v>
          </cell>
          <cell r="M177">
            <v>189.39213080620962</v>
          </cell>
          <cell r="N177">
            <v>138.09804960269682</v>
          </cell>
        </row>
      </sheetData>
      <sheetData sheetId="2"/>
      <sheetData sheetId="3"/>
      <sheetData sheetId="4"/>
      <sheetData sheetId="5"/>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me Victims  "/>
      <sheetName val="Crime rate"/>
      <sheetName val="Property crime"/>
      <sheetName val="Contact crime"/>
      <sheetName val="Serious robberies"/>
      <sheetName val="Drug-Related Crime"/>
      <sheetName val="Sexual offences"/>
      <sheetName val="Charges to court"/>
      <sheetName val="Cases in court"/>
      <sheetName val="Detainees"/>
      <sheetName val="Parolees"/>
      <sheetName val="Rehabilitation"/>
      <sheetName val="Road Accidents"/>
    </sheetNames>
    <sheetDataSet>
      <sheetData sheetId="0"/>
      <sheetData sheetId="1"/>
      <sheetData sheetId="2">
        <row r="2">
          <cell r="C2">
            <v>65</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A PERFORM (2)"/>
      <sheetName val="NPA PERFORM (3)"/>
      <sheetName val="NPA PERFORM"/>
      <sheetName val="NPS OVERVIEW"/>
      <sheetName val="Sheet1"/>
      <sheetName val="Sheet2"/>
      <sheetName val="Sheet4"/>
    </sheetNames>
    <sheetDataSet>
      <sheetData sheetId="0" refreshError="1"/>
      <sheetData sheetId="1" refreshError="1"/>
      <sheetData sheetId="2" refreshError="1">
        <row r="7">
          <cell r="B7">
            <v>0</v>
          </cell>
          <cell r="C7">
            <v>0</v>
          </cell>
          <cell r="D7">
            <v>0</v>
          </cell>
          <cell r="E7">
            <v>0</v>
          </cell>
          <cell r="I7">
            <v>0</v>
          </cell>
          <cell r="J7">
            <v>15393</v>
          </cell>
          <cell r="K7">
            <v>38029</v>
          </cell>
          <cell r="L7">
            <v>68270</v>
          </cell>
        </row>
        <row r="8">
          <cell r="B8">
            <v>14808</v>
          </cell>
          <cell r="C8">
            <v>17952</v>
          </cell>
          <cell r="D8">
            <v>18946</v>
          </cell>
          <cell r="E8">
            <v>37422</v>
          </cell>
          <cell r="I8">
            <v>44483</v>
          </cell>
          <cell r="J8">
            <v>46445</v>
          </cell>
          <cell r="K8">
            <v>43728</v>
          </cell>
          <cell r="L8">
            <v>50361</v>
          </cell>
        </row>
        <row r="9">
          <cell r="B9">
            <v>407530</v>
          </cell>
          <cell r="C9">
            <v>396536</v>
          </cell>
          <cell r="D9">
            <v>381020</v>
          </cell>
          <cell r="E9">
            <v>373995</v>
          </cell>
          <cell r="I9">
            <v>334551</v>
          </cell>
          <cell r="J9">
            <v>296391</v>
          </cell>
          <cell r="K9">
            <v>311868</v>
          </cell>
          <cell r="L9">
            <v>350910</v>
          </cell>
        </row>
        <row r="11">
          <cell r="B11">
            <v>1117879</v>
          </cell>
          <cell r="C11">
            <v>1117488</v>
          </cell>
          <cell r="D11">
            <v>1084137</v>
          </cell>
          <cell r="E11">
            <v>1069724</v>
          </cell>
          <cell r="I11">
            <v>1062497</v>
          </cell>
          <cell r="J11">
            <v>1037309</v>
          </cell>
          <cell r="K11">
            <v>1058210</v>
          </cell>
          <cell r="L11">
            <v>1044346</v>
          </cell>
        </row>
      </sheetData>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ges referred to Courts"/>
      <sheetName val="Sheet2"/>
      <sheetName val="Sheet3"/>
    </sheetNames>
    <sheetDataSet>
      <sheetData sheetId="0" refreshError="1">
        <row r="9">
          <cell r="K9">
            <v>962317</v>
          </cell>
        </row>
        <row r="15">
          <cell r="K15">
            <v>331045</v>
          </cell>
        </row>
        <row r="16">
          <cell r="K16">
            <v>293673</v>
          </cell>
        </row>
        <row r="19">
          <cell r="K19">
            <v>129846</v>
          </cell>
        </row>
      </sheetData>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13.14"/>
      <sheetName val="13.14 ALL CRTS"/>
      <sheetName val="13.14 (Q)"/>
      <sheetName val="13.14 LC"/>
      <sheetName val="GRAPHS14.15 (Q1)"/>
      <sheetName val="GRAPHS13.14 (Q2)"/>
      <sheetName val="DOC 13.14"/>
      <sheetName val="GRAPHS13.14 (Q3)"/>
      <sheetName val="GRAPHS13.14 (Q4)"/>
      <sheetName val="14.15 ALL CRTS"/>
      <sheetName val="graphs final"/>
      <sheetName val="14.15 (Q)"/>
      <sheetName val="14.15 LC"/>
      <sheetName val="DOC"/>
      <sheetName val="TRIO"/>
      <sheetName val="SO"/>
      <sheetName val="CYBER CRIME"/>
      <sheetName val="SCCU"/>
      <sheetName val="ENVIRO"/>
      <sheetName val="APPEALS.ORG CRIME.TAX"/>
      <sheetName val="GRAPHS14.15 (Q2)"/>
      <sheetName val="GRAPHS14.15 (Q3)"/>
      <sheetName val="GRAPHS14.15 (Q4)"/>
      <sheetName val="GRAPHS14.15NPA"/>
      <sheetName val="GRAPHS14.15 (Q4)1"/>
      <sheetName val="GRAPHS14.15 NPS"/>
      <sheetName val="Sheet1"/>
    </sheetNames>
    <sheetDataSet>
      <sheetData sheetId="0" refreshError="1"/>
      <sheetData sheetId="1" refreshError="1">
        <row r="77">
          <cell r="AE77">
            <v>182979</v>
          </cell>
        </row>
        <row r="79">
          <cell r="J79">
            <v>931799</v>
          </cell>
          <cell r="T79">
            <v>301798</v>
          </cell>
          <cell r="X79">
            <v>329153</v>
          </cell>
          <cell r="BA79">
            <v>176189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19">
          <cell r="T19">
            <v>292928</v>
          </cell>
        </row>
        <row r="34">
          <cell r="T34">
            <v>890</v>
          </cell>
        </row>
        <row r="64">
          <cell r="T64">
            <v>790</v>
          </cell>
        </row>
        <row r="79">
          <cell r="J79">
            <v>908364</v>
          </cell>
          <cell r="T79">
            <v>294608</v>
          </cell>
          <cell r="X79">
            <v>319149</v>
          </cell>
          <cell r="AA79">
            <v>41126</v>
          </cell>
          <cell r="AB79">
            <v>137306</v>
          </cell>
          <cell r="AX79">
            <v>5882</v>
          </cell>
          <cell r="BA79">
            <v>184314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sheetName val="REG"/>
      <sheetName val="DOC"/>
      <sheetName val="BOP"/>
      <sheetName val="CIS"/>
      <sheetName val="CPD"/>
      <sheetName val="ECD"/>
      <sheetName val="FSD"/>
      <sheetName val="NCD"/>
      <sheetName val="KZN"/>
      <sheetName val="TPD"/>
      <sheetName val="TRA"/>
      <sheetName val="VEN"/>
      <sheetName val="WLD"/>
      <sheetName val="SEXUAL OFFENCES"/>
      <sheetName val="COMM CRIME"/>
      <sheetName val="SAT &amp; ADD"/>
      <sheetName val="REASONS DC"/>
      <sheetName val="REASONS RC"/>
    </sheetNames>
    <sheetDataSet>
      <sheetData sheetId="0" refreshError="1">
        <row r="18">
          <cell r="N18">
            <v>534067</v>
          </cell>
          <cell r="O18">
            <v>330728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IS"/>
      <sheetName val="REG"/>
      <sheetName val="DOC"/>
      <sheetName val="BOP"/>
      <sheetName val="CIS"/>
      <sheetName val="CPD"/>
      <sheetName val="ECD"/>
      <sheetName val="FSD"/>
      <sheetName val="NCD"/>
      <sheetName val="KZN"/>
      <sheetName val="TPD"/>
      <sheetName val="TRA"/>
      <sheetName val="VEN"/>
      <sheetName val="WLD"/>
      <sheetName val="SOCA"/>
      <sheetName val="COMM CRIME"/>
      <sheetName val="SAT &amp; ADD"/>
      <sheetName val="REASONS DC"/>
      <sheetName val="REASONS RC"/>
    </sheetNames>
    <sheetDataSet>
      <sheetData sheetId="0" refreshError="1">
        <row r="19">
          <cell r="N19">
            <v>767588.08333333326</v>
          </cell>
          <cell r="O19">
            <v>328887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IS excl."/>
      <sheetName val="REG excl."/>
      <sheetName val="DOC"/>
      <sheetName val="BOP"/>
      <sheetName val="CIS"/>
      <sheetName val="CPD"/>
      <sheetName val="ECD"/>
      <sheetName val="FSD"/>
      <sheetName val="NCD"/>
      <sheetName val="KZN"/>
      <sheetName val="TPD"/>
      <sheetName val="TRA"/>
      <sheetName val="VEN"/>
      <sheetName val="WLD"/>
      <sheetName val="SCCU"/>
      <sheetName val="COMMUNITY"/>
      <sheetName val="JACT"/>
      <sheetName val="SAT &amp; ADD"/>
    </sheetNames>
    <sheetDataSet>
      <sheetData sheetId="0" refreshError="1">
        <row r="19">
          <cell r="N19">
            <v>729934</v>
          </cell>
          <cell r="O19">
            <v>320938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OC"/>
      <sheetName val="BOP"/>
      <sheetName val="CIS"/>
      <sheetName val="CPD"/>
      <sheetName val="ECD"/>
      <sheetName val="FSD"/>
      <sheetName val="NCD"/>
      <sheetName val="KZN"/>
      <sheetName val="TPD"/>
      <sheetName val="TRA"/>
      <sheetName val="VEN"/>
      <sheetName val="WLD"/>
      <sheetName val="SCCU"/>
      <sheetName val="COMMUNITY"/>
      <sheetName val="ENVIRO"/>
      <sheetName val="Hijacking"/>
      <sheetName val="DRUG"/>
      <sheetName val="SAT &amp; ADD"/>
    </sheetNames>
    <sheetDataSet>
      <sheetData sheetId="0" refreshError="1">
        <row r="19">
          <cell r="N19">
            <v>757376</v>
          </cell>
          <cell r="O19">
            <v>320413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07 (Q)"/>
      <sheetName val="0607"/>
      <sheetName val="Q PROGRESS"/>
      <sheetName val="GRAPHS"/>
      <sheetName val="0708 (Q)"/>
      <sheetName val="0708"/>
      <sheetName val="DIS incl."/>
      <sheetName val="REG incl."/>
      <sheetName val="DOC"/>
      <sheetName val="BOP"/>
      <sheetName val="CPD"/>
      <sheetName val="ECD"/>
      <sheetName val="FSD"/>
      <sheetName val="NCD"/>
      <sheetName val="NPD"/>
      <sheetName val="TPD"/>
      <sheetName val="TRA"/>
      <sheetName val="WLD"/>
      <sheetName val="SCCU"/>
      <sheetName val="COMMUNITY"/>
    </sheetNames>
    <sheetDataSet>
      <sheetData sheetId="0" refreshError="1"/>
      <sheetData sheetId="1" refreshError="1">
        <row r="18">
          <cell r="M18">
            <v>722259</v>
          </cell>
          <cell r="N18">
            <v>284865</v>
          </cell>
        </row>
      </sheetData>
      <sheetData sheetId="2" refreshError="1"/>
      <sheetData sheetId="3" refreshError="1"/>
      <sheetData sheetId="4" refreshError="1"/>
      <sheetData sheetId="5" refreshError="1">
        <row r="19">
          <cell r="P19">
            <v>654902</v>
          </cell>
          <cell r="Q19">
            <v>252605</v>
          </cell>
          <cell r="Y19">
            <v>30115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
      <sheetName val="GDP Capita"/>
      <sheetName val="FDI"/>
      <sheetName val="GFCF"/>
      <sheetName val="B Deficit"/>
      <sheetName val="G debt"/>
      <sheetName val="Interest"/>
      <sheetName val="Inflation"/>
      <sheetName val="BondPointsSpread"/>
      <sheetName val="R&amp;D"/>
      <sheetName val="Foreign Trade"/>
      <sheetName val="Competitiveness"/>
      <sheetName val="Knowledge Based Economy"/>
      <sheetName val="BEE"/>
      <sheetName val="BM"/>
    </sheetNames>
    <sheetDataSet>
      <sheetData sheetId="0"/>
      <sheetData sheetId="1">
        <row r="8">
          <cell r="E8" t="str">
            <v>1994</v>
          </cell>
          <cell r="F8" t="str">
            <v>1995</v>
          </cell>
          <cell r="G8" t="str">
            <v>1996</v>
          </cell>
          <cell r="H8" t="str">
            <v>1997</v>
          </cell>
          <cell r="I8" t="str">
            <v>1998</v>
          </cell>
          <cell r="J8" t="str">
            <v>1999</v>
          </cell>
          <cell r="K8" t="str">
            <v>2000</v>
          </cell>
          <cell r="L8" t="str">
            <v>2001</v>
          </cell>
          <cell r="M8" t="str">
            <v>2002</v>
          </cell>
          <cell r="N8" t="str">
            <v>2003</v>
          </cell>
          <cell r="O8" t="str">
            <v>2004</v>
          </cell>
          <cell r="P8" t="str">
            <v>2005</v>
          </cell>
          <cell r="Q8" t="str">
            <v>2006</v>
          </cell>
        </row>
        <row r="9">
          <cell r="D9" t="str">
            <v>Per Capita GDP</v>
          </cell>
          <cell r="E9">
            <v>1.1000000000000001</v>
          </cell>
          <cell r="F9">
            <v>1</v>
          </cell>
          <cell r="G9">
            <v>2.1</v>
          </cell>
          <cell r="H9">
            <v>0.5</v>
          </cell>
          <cell r="I9">
            <v>-1.6</v>
          </cell>
          <cell r="J9">
            <v>0.2</v>
          </cell>
          <cell r="K9">
            <v>2.1</v>
          </cell>
          <cell r="L9">
            <v>0.8</v>
          </cell>
          <cell r="M9">
            <v>1.9</v>
          </cell>
          <cell r="N9">
            <v>1.5</v>
          </cell>
          <cell r="O9">
            <v>3.4</v>
          </cell>
          <cell r="P9">
            <v>3.6</v>
          </cell>
          <cell r="Q9">
            <v>4</v>
          </cell>
        </row>
      </sheetData>
      <sheetData sheetId="2"/>
      <sheetData sheetId="3"/>
      <sheetData sheetId="4"/>
      <sheetData sheetId="5"/>
      <sheetData sheetId="6">
        <row r="2">
          <cell r="C2">
            <v>7</v>
          </cell>
        </row>
      </sheetData>
      <sheetData sheetId="7">
        <row r="45">
          <cell r="D45">
            <v>1994</v>
          </cell>
          <cell r="H45">
            <v>1995</v>
          </cell>
          <cell r="L45">
            <v>1996</v>
          </cell>
          <cell r="P45">
            <v>1997</v>
          </cell>
          <cell r="T45">
            <v>1998</v>
          </cell>
          <cell r="X45">
            <v>1999</v>
          </cell>
          <cell r="AB45">
            <v>2000</v>
          </cell>
          <cell r="AF45">
            <v>2001</v>
          </cell>
          <cell r="AJ45">
            <v>2002</v>
          </cell>
          <cell r="AN45">
            <v>2003</v>
          </cell>
          <cell r="AR45">
            <v>2004</v>
          </cell>
          <cell r="AV45">
            <v>2005</v>
          </cell>
          <cell r="AZ45">
            <v>2006</v>
          </cell>
          <cell r="BD45">
            <v>2007</v>
          </cell>
          <cell r="BH45" t="str">
            <v>2008</v>
          </cell>
          <cell r="BL45">
            <v>2009</v>
          </cell>
        </row>
        <row r="46">
          <cell r="D46" t="str">
            <v>M</v>
          </cell>
          <cell r="E46" t="str">
            <v>J</v>
          </cell>
          <cell r="F46" t="str">
            <v>S</v>
          </cell>
          <cell r="G46" t="str">
            <v>D</v>
          </cell>
          <cell r="H46" t="str">
            <v>M</v>
          </cell>
          <cell r="I46" t="str">
            <v>J</v>
          </cell>
          <cell r="J46" t="str">
            <v>S</v>
          </cell>
          <cell r="K46" t="str">
            <v>D</v>
          </cell>
          <cell r="L46" t="str">
            <v>M</v>
          </cell>
          <cell r="M46" t="str">
            <v>J</v>
          </cell>
          <cell r="N46" t="str">
            <v>S</v>
          </cell>
          <cell r="O46" t="str">
            <v>D</v>
          </cell>
          <cell r="P46" t="str">
            <v>M</v>
          </cell>
          <cell r="Q46" t="str">
            <v>J</v>
          </cell>
          <cell r="R46" t="str">
            <v>S</v>
          </cell>
          <cell r="S46" t="str">
            <v>D</v>
          </cell>
          <cell r="T46" t="str">
            <v>M</v>
          </cell>
          <cell r="U46" t="str">
            <v>J</v>
          </cell>
          <cell r="V46" t="str">
            <v>S</v>
          </cell>
          <cell r="W46" t="str">
            <v>D</v>
          </cell>
          <cell r="X46" t="str">
            <v>M</v>
          </cell>
          <cell r="Y46" t="str">
            <v>J</v>
          </cell>
          <cell r="Z46" t="str">
            <v>S</v>
          </cell>
          <cell r="AA46" t="str">
            <v>D</v>
          </cell>
          <cell r="AB46" t="str">
            <v>M</v>
          </cell>
          <cell r="AC46" t="str">
            <v>J</v>
          </cell>
          <cell r="AD46" t="str">
            <v>S</v>
          </cell>
          <cell r="AE46" t="str">
            <v>D</v>
          </cell>
          <cell r="AF46" t="str">
            <v>M</v>
          </cell>
          <cell r="AG46" t="str">
            <v>J</v>
          </cell>
          <cell r="AH46" t="str">
            <v>S</v>
          </cell>
          <cell r="AI46" t="str">
            <v>D</v>
          </cell>
          <cell r="AJ46" t="str">
            <v>M</v>
          </cell>
          <cell r="AK46" t="str">
            <v>J</v>
          </cell>
          <cell r="AL46" t="str">
            <v>S</v>
          </cell>
          <cell r="AM46" t="str">
            <v>D</v>
          </cell>
          <cell r="AN46" t="str">
            <v>M</v>
          </cell>
          <cell r="AO46" t="str">
            <v>J</v>
          </cell>
          <cell r="AP46" t="str">
            <v>S</v>
          </cell>
          <cell r="AQ46" t="str">
            <v>D</v>
          </cell>
          <cell r="AR46" t="str">
            <v>M</v>
          </cell>
          <cell r="AS46" t="str">
            <v>J</v>
          </cell>
          <cell r="AT46" t="str">
            <v>S</v>
          </cell>
          <cell r="AU46" t="str">
            <v>D</v>
          </cell>
          <cell r="AV46" t="str">
            <v>M</v>
          </cell>
          <cell r="AW46" t="str">
            <v>J</v>
          </cell>
          <cell r="AX46" t="str">
            <v>S</v>
          </cell>
          <cell r="AY46" t="str">
            <v>D</v>
          </cell>
          <cell r="AZ46" t="str">
            <v>M</v>
          </cell>
          <cell r="BA46" t="str">
            <v>J</v>
          </cell>
          <cell r="BB46" t="str">
            <v>S</v>
          </cell>
          <cell r="BC46" t="str">
            <v>D</v>
          </cell>
          <cell r="BD46" t="str">
            <v>M</v>
          </cell>
          <cell r="BE46" t="str">
            <v>J</v>
          </cell>
          <cell r="BF46" t="str">
            <v>S</v>
          </cell>
          <cell r="BG46" t="str">
            <v>D</v>
          </cell>
          <cell r="BH46" t="str">
            <v>M</v>
          </cell>
          <cell r="BI46" t="str">
            <v>J</v>
          </cell>
          <cell r="BJ46" t="str">
            <v>S</v>
          </cell>
          <cell r="BK46" t="str">
            <v>D</v>
          </cell>
          <cell r="BL46" t="str">
            <v>M</v>
          </cell>
        </row>
        <row r="47">
          <cell r="C47" t="str">
            <v xml:space="preserve">CPI </v>
          </cell>
          <cell r="D47">
            <v>9.6700796359499392</v>
          </cell>
          <cell r="E47">
            <v>7.1545603495357799</v>
          </cell>
          <cell r="F47">
            <v>9.1299677765843299</v>
          </cell>
          <cell r="G47">
            <v>9.7987288135593307</v>
          </cell>
          <cell r="H47">
            <v>9.9585062240664008</v>
          </cell>
          <cell r="I47">
            <v>10.6523955147808</v>
          </cell>
          <cell r="J47">
            <v>7.72637795275591</v>
          </cell>
          <cell r="K47">
            <v>6.5605402797877401</v>
          </cell>
          <cell r="L47">
            <v>6.50943396226414</v>
          </cell>
          <cell r="M47">
            <v>6.0801473975126799</v>
          </cell>
          <cell r="N47">
            <v>7.6290543627226999</v>
          </cell>
          <cell r="O47">
            <v>9.1444092349479202</v>
          </cell>
          <cell r="P47">
            <v>9.6102745792736908</v>
          </cell>
          <cell r="Q47">
            <v>9.3790707772470601</v>
          </cell>
          <cell r="R47">
            <v>8.6162988115449899</v>
          </cell>
          <cell r="S47">
            <v>6.8851099128992104</v>
          </cell>
          <cell r="T47">
            <v>5.4949494949495099</v>
          </cell>
          <cell r="U47">
            <v>5.1210797935688896</v>
          </cell>
          <cell r="V47">
            <v>7.73739742086752</v>
          </cell>
          <cell r="W47">
            <v>9.0803259604191098</v>
          </cell>
          <cell r="X47">
            <v>8.4641899655304194</v>
          </cell>
          <cell r="Y47">
            <v>7.2885196374622403</v>
          </cell>
          <cell r="Z47">
            <v>3.3369604642727602</v>
          </cell>
          <cell r="AA47">
            <v>1.9565990750622699</v>
          </cell>
          <cell r="AB47">
            <v>2.7895480225988898</v>
          </cell>
          <cell r="AC47">
            <v>4.9278423090461203</v>
          </cell>
          <cell r="AD47">
            <v>6.5988065988066102</v>
          </cell>
          <cell r="AE47">
            <v>7.0132588974179901</v>
          </cell>
          <cell r="AF47">
            <v>7.4201305393335497</v>
          </cell>
          <cell r="AG47">
            <v>6.4072458906407199</v>
          </cell>
          <cell r="AH47">
            <v>4.7744484688837598</v>
          </cell>
          <cell r="AI47">
            <v>4.3038800130420496</v>
          </cell>
          <cell r="AJ47">
            <v>5.6923568915893901</v>
          </cell>
          <cell r="AK47">
            <v>7.7238335435056698</v>
          </cell>
          <cell r="AL47">
            <v>10.4022627278441</v>
          </cell>
          <cell r="AM47">
            <v>12.7539856205064</v>
          </cell>
          <cell r="AN47">
            <v>10.680786686838101</v>
          </cell>
          <cell r="AO47">
            <v>7.7846063798653802</v>
          </cell>
          <cell r="AP47">
            <v>4.6968403074295502</v>
          </cell>
          <cell r="AQ47">
            <v>0.74854449681173596</v>
          </cell>
          <cell r="AR47">
            <v>0.43739748496444802</v>
          </cell>
          <cell r="AS47">
            <v>0.67879446103720598</v>
          </cell>
          <cell r="AT47">
            <v>1.2778684067427899</v>
          </cell>
          <cell r="AU47">
            <v>3.1645569620253098</v>
          </cell>
          <cell r="AV47">
            <v>2.8579205225911801</v>
          </cell>
          <cell r="AW47">
            <v>3.1823085221143299</v>
          </cell>
          <cell r="AX47">
            <v>3.8926174496644199</v>
          </cell>
          <cell r="AY47">
            <v>3.6543078154174502</v>
          </cell>
          <cell r="AZ47">
            <v>3.75760783275999</v>
          </cell>
          <cell r="BA47">
            <v>4.02509147935183</v>
          </cell>
          <cell r="BB47">
            <v>5.2196382428940504</v>
          </cell>
          <cell r="BC47">
            <v>5.4554812146165697</v>
          </cell>
          <cell r="BD47">
            <v>5.9</v>
          </cell>
          <cell r="BE47">
            <v>7</v>
          </cell>
          <cell r="BF47">
            <v>7</v>
          </cell>
          <cell r="BG47">
            <v>8.4</v>
          </cell>
          <cell r="BH47">
            <v>9.1999999999999993</v>
          </cell>
          <cell r="BI47">
            <v>11.648661343354183</v>
          </cell>
          <cell r="BJ47">
            <v>13.429752066115697</v>
          </cell>
          <cell r="BK47">
            <v>11.13109961771983</v>
          </cell>
          <cell r="BL47">
            <v>8.4</v>
          </cell>
        </row>
        <row r="48">
          <cell r="C48" t="str">
            <v>CPIX</v>
          </cell>
          <cell r="T48">
            <v>6.6</v>
          </cell>
          <cell r="U48">
            <v>7</v>
          </cell>
          <cell r="V48">
            <v>7.2</v>
          </cell>
          <cell r="W48">
            <v>7.4</v>
          </cell>
          <cell r="X48">
            <v>7.3</v>
          </cell>
          <cell r="Y48">
            <v>7</v>
          </cell>
          <cell r="Z48">
            <v>6.8</v>
          </cell>
          <cell r="AA48">
            <v>6.7</v>
          </cell>
          <cell r="AB48">
            <v>7.2</v>
          </cell>
          <cell r="AC48">
            <v>7.9</v>
          </cell>
          <cell r="AD48">
            <v>8</v>
          </cell>
          <cell r="AE48">
            <v>7.8</v>
          </cell>
          <cell r="AF48">
            <v>7.6</v>
          </cell>
          <cell r="AG48">
            <v>6.5</v>
          </cell>
          <cell r="AH48">
            <v>6.1</v>
          </cell>
          <cell r="AI48">
            <v>6.2</v>
          </cell>
          <cell r="AJ48">
            <v>7.4</v>
          </cell>
          <cell r="AK48">
            <v>8.6999999999999993</v>
          </cell>
          <cell r="AL48">
            <v>9.9</v>
          </cell>
          <cell r="AM48">
            <v>11.1</v>
          </cell>
          <cell r="AN48">
            <v>9.5</v>
          </cell>
          <cell r="AO48">
            <v>7.5</v>
          </cell>
          <cell r="AP48">
            <v>6.1</v>
          </cell>
          <cell r="AQ48">
            <v>4.2</v>
          </cell>
          <cell r="AR48">
            <v>4.5</v>
          </cell>
          <cell r="AS48">
            <v>4.5999999999999996</v>
          </cell>
          <cell r="AT48">
            <v>3.9</v>
          </cell>
          <cell r="AU48">
            <v>4.4000000000000004</v>
          </cell>
          <cell r="AV48">
            <v>3.4</v>
          </cell>
          <cell r="AW48">
            <v>3.7</v>
          </cell>
          <cell r="AX48">
            <v>4.5999999999999996</v>
          </cell>
          <cell r="AY48">
            <v>4.0999999999999996</v>
          </cell>
          <cell r="AZ48">
            <v>4.2</v>
          </cell>
          <cell r="BA48">
            <v>4.2</v>
          </cell>
          <cell r="BB48">
            <v>5</v>
          </cell>
          <cell r="BC48">
            <v>5</v>
          </cell>
          <cell r="BD48">
            <v>5.2</v>
          </cell>
          <cell r="BE48">
            <v>6.4</v>
          </cell>
          <cell r="BF48">
            <v>6.5</v>
          </cell>
          <cell r="BG48">
            <v>7.9</v>
          </cell>
          <cell r="BH48">
            <v>8.6999999999999993</v>
          </cell>
          <cell r="BI48">
            <v>10.971786833855557</v>
          </cell>
          <cell r="BJ48">
            <v>13.217886891714127</v>
          </cell>
          <cell r="BK48">
            <v>11.603875134553521</v>
          </cell>
        </row>
      </sheetData>
      <sheetData sheetId="8"/>
      <sheetData sheetId="9"/>
      <sheetData sheetId="10">
        <row r="52">
          <cell r="B52">
            <v>1992</v>
          </cell>
          <cell r="C52">
            <v>1993</v>
          </cell>
          <cell r="D52">
            <v>1994</v>
          </cell>
          <cell r="E52">
            <v>1995</v>
          </cell>
          <cell r="F52">
            <v>1996</v>
          </cell>
          <cell r="G52">
            <v>1997</v>
          </cell>
          <cell r="H52">
            <v>1998</v>
          </cell>
          <cell r="I52">
            <v>1999</v>
          </cell>
          <cell r="J52">
            <v>2000</v>
          </cell>
          <cell r="K52">
            <v>2001</v>
          </cell>
          <cell r="L52">
            <v>2002</v>
          </cell>
          <cell r="M52">
            <v>2003</v>
          </cell>
          <cell r="N52">
            <v>2004</v>
          </cell>
          <cell r="O52">
            <v>2005</v>
          </cell>
          <cell r="P52">
            <v>2006</v>
          </cell>
        </row>
        <row r="53">
          <cell r="A53" t="str">
            <v>Exports (constant 2000 prices) R'billions</v>
          </cell>
          <cell r="B53">
            <v>160.21498</v>
          </cell>
          <cell r="C53">
            <v>176.84388000000001</v>
          </cell>
          <cell r="D53">
            <v>181.23876999999999</v>
          </cell>
          <cell r="E53">
            <v>201.06291000000002</v>
          </cell>
          <cell r="F53">
            <v>215.54748000000001</v>
          </cell>
          <cell r="G53">
            <v>226.96107999999998</v>
          </cell>
          <cell r="H53">
            <v>234.32900000000001</v>
          </cell>
          <cell r="I53">
            <v>237.28399999999999</v>
          </cell>
          <cell r="J53">
            <v>257.01100000000002</v>
          </cell>
          <cell r="K53">
            <v>263.161</v>
          </cell>
          <cell r="L53">
            <v>265.76400000000001</v>
          </cell>
          <cell r="M53">
            <v>266.05500000000001</v>
          </cell>
          <cell r="N53">
            <v>273.69400000000002</v>
          </cell>
          <cell r="O53">
            <v>295.58</v>
          </cell>
          <cell r="P53">
            <v>312.173</v>
          </cell>
        </row>
        <row r="54">
          <cell r="A54" t="str">
            <v xml:space="preserve">Ratio of exports to GDP </v>
          </cell>
          <cell r="B54">
            <v>21.34</v>
          </cell>
          <cell r="C54">
            <v>22.48</v>
          </cell>
          <cell r="D54">
            <v>22.1</v>
          </cell>
          <cell r="E54">
            <v>22.77</v>
          </cell>
          <cell r="F54">
            <v>24.73</v>
          </cell>
          <cell r="G54">
            <v>24.6</v>
          </cell>
          <cell r="H54">
            <v>25.65</v>
          </cell>
          <cell r="I54">
            <v>25.33</v>
          </cell>
          <cell r="J54">
            <v>27.87</v>
          </cell>
          <cell r="K54">
            <v>30.13</v>
          </cell>
          <cell r="L54">
            <v>32.99</v>
          </cell>
          <cell r="M54">
            <v>28.06</v>
          </cell>
          <cell r="N54">
            <v>26.71</v>
          </cell>
          <cell r="O54">
            <v>27.45</v>
          </cell>
          <cell r="P54">
            <v>29.63</v>
          </cell>
        </row>
        <row r="55">
          <cell r="A55" t="str">
            <v>Volume of Trade (2000=base)</v>
          </cell>
          <cell r="B55">
            <v>62.34</v>
          </cell>
          <cell r="C55">
            <v>68.81</v>
          </cell>
          <cell r="D55">
            <v>70.52</v>
          </cell>
          <cell r="E55">
            <v>78.23</v>
          </cell>
          <cell r="F55">
            <v>83.87</v>
          </cell>
          <cell r="G55">
            <v>87.14</v>
          </cell>
          <cell r="H55">
            <v>91.17</v>
          </cell>
          <cell r="I55">
            <v>85.65</v>
          </cell>
          <cell r="J55">
            <v>100</v>
          </cell>
          <cell r="K55">
            <v>102.31</v>
          </cell>
          <cell r="L55">
            <v>103.41</v>
          </cell>
          <cell r="M55">
            <v>103.52</v>
          </cell>
          <cell r="N55">
            <v>106.49</v>
          </cell>
          <cell r="O55">
            <v>115.01</v>
          </cell>
          <cell r="P55">
            <v>121.46</v>
          </cell>
        </row>
        <row r="73">
          <cell r="C73">
            <v>1992</v>
          </cell>
          <cell r="D73">
            <v>1993</v>
          </cell>
          <cell r="E73">
            <v>1994</v>
          </cell>
          <cell r="F73">
            <v>1995</v>
          </cell>
          <cell r="G73">
            <v>1996</v>
          </cell>
          <cell r="H73">
            <v>1997</v>
          </cell>
          <cell r="I73">
            <v>1998</v>
          </cell>
          <cell r="J73">
            <v>1999</v>
          </cell>
          <cell r="K73">
            <v>2000</v>
          </cell>
          <cell r="L73">
            <v>2001</v>
          </cell>
          <cell r="M73">
            <v>2002</v>
          </cell>
          <cell r="N73">
            <v>2003</v>
          </cell>
          <cell r="O73">
            <v>2004</v>
          </cell>
          <cell r="P73">
            <v>2005</v>
          </cell>
          <cell r="Q73">
            <v>2006</v>
          </cell>
        </row>
        <row r="74">
          <cell r="B74" t="str">
            <v>Ratio of exports to GDP (%)</v>
          </cell>
          <cell r="C74">
            <v>21.34</v>
          </cell>
          <cell r="D74">
            <v>22.48</v>
          </cell>
          <cell r="E74">
            <v>22.1</v>
          </cell>
          <cell r="F74">
            <v>22.77</v>
          </cell>
          <cell r="G74">
            <v>24.73</v>
          </cell>
          <cell r="H74">
            <v>24.6</v>
          </cell>
          <cell r="I74">
            <v>25.65</v>
          </cell>
          <cell r="J74">
            <v>25.33</v>
          </cell>
          <cell r="K74">
            <v>27.87</v>
          </cell>
          <cell r="L74">
            <v>30.13</v>
          </cell>
          <cell r="M74">
            <v>32.99</v>
          </cell>
          <cell r="N74">
            <v>28.06</v>
          </cell>
          <cell r="O74">
            <v>26.71</v>
          </cell>
          <cell r="P74">
            <v>27.45</v>
          </cell>
          <cell r="Q74">
            <v>29.63</v>
          </cell>
        </row>
        <row r="75">
          <cell r="B75" t="str">
            <v>Trade balance to GDP ratio</v>
          </cell>
          <cell r="C75">
            <v>1.5</v>
          </cell>
          <cell r="D75">
            <v>2.13</v>
          </cell>
          <cell r="E75">
            <v>0.01</v>
          </cell>
          <cell r="F75">
            <v>-1.65</v>
          </cell>
          <cell r="G75">
            <v>-1.1499999999999999</v>
          </cell>
          <cell r="H75">
            <v>-1.49</v>
          </cell>
          <cell r="I75">
            <v>-1.76</v>
          </cell>
          <cell r="J75">
            <v>-0.51</v>
          </cell>
          <cell r="K75">
            <v>-0.13</v>
          </cell>
          <cell r="L75">
            <v>0.28000000000000003</v>
          </cell>
          <cell r="M75">
            <v>0.83</v>
          </cell>
          <cell r="N75">
            <v>-1.08</v>
          </cell>
          <cell r="O75">
            <v>-3.2</v>
          </cell>
          <cell r="P75">
            <v>-4.03</v>
          </cell>
          <cell r="Q75">
            <v>-6.45</v>
          </cell>
        </row>
        <row r="76">
          <cell r="B76" t="str">
            <v>ZAR/US$</v>
          </cell>
          <cell r="C76">
            <v>2.8516000000000004</v>
          </cell>
          <cell r="D76">
            <v>3.2667000000000002</v>
          </cell>
          <cell r="E76">
            <v>3.5497000000000001</v>
          </cell>
          <cell r="F76">
            <v>3.6269999999999998</v>
          </cell>
          <cell r="G76">
            <v>4.2964000000000002</v>
          </cell>
          <cell r="H76">
            <v>4.6073000000000004</v>
          </cell>
          <cell r="I76">
            <v>5.5316000000000001</v>
          </cell>
          <cell r="J76">
            <v>6.1130999999999993</v>
          </cell>
          <cell r="K76">
            <v>6.9352999999999998</v>
          </cell>
          <cell r="L76">
            <v>8.6030999999999995</v>
          </cell>
          <cell r="M76">
            <v>10.516500000000001</v>
          </cell>
          <cell r="N76">
            <v>7.5647000000000002</v>
          </cell>
          <cell r="O76">
            <v>6.4499000000000004</v>
          </cell>
          <cell r="P76">
            <v>6.3623000000000003</v>
          </cell>
          <cell r="Q76">
            <v>6.7671999999999999</v>
          </cell>
        </row>
      </sheetData>
      <sheetData sheetId="11">
        <row r="8">
          <cell r="E8" t="str">
            <v xml:space="preserve">2005-2006 </v>
          </cell>
          <cell r="F8" t="str">
            <v xml:space="preserve">2006-2007 </v>
          </cell>
          <cell r="G8" t="str">
            <v>2007-2008</v>
          </cell>
        </row>
        <row r="9">
          <cell r="D9" t="str">
            <v>Malaysia</v>
          </cell>
          <cell r="E9">
            <v>26</v>
          </cell>
          <cell r="F9">
            <v>19</v>
          </cell>
          <cell r="G9">
            <v>21</v>
          </cell>
        </row>
        <row r="10">
          <cell r="D10" t="str">
            <v>Chile</v>
          </cell>
          <cell r="E10">
            <v>27</v>
          </cell>
          <cell r="F10">
            <v>27</v>
          </cell>
          <cell r="G10">
            <v>26</v>
          </cell>
        </row>
        <row r="11">
          <cell r="D11" t="str">
            <v>Estonia</v>
          </cell>
          <cell r="E11">
            <v>25</v>
          </cell>
          <cell r="F11">
            <v>26</v>
          </cell>
          <cell r="G11">
            <v>27</v>
          </cell>
        </row>
        <row r="12">
          <cell r="D12" t="str">
            <v>Lithuania</v>
          </cell>
          <cell r="E12">
            <v>40</v>
          </cell>
          <cell r="F12">
            <v>39</v>
          </cell>
          <cell r="G12">
            <v>38</v>
          </cell>
        </row>
        <row r="13">
          <cell r="D13" t="str">
            <v>Slovakia</v>
          </cell>
          <cell r="E13">
            <v>37</v>
          </cell>
          <cell r="F13">
            <v>37</v>
          </cell>
          <cell r="G13">
            <v>41</v>
          </cell>
        </row>
        <row r="14">
          <cell r="D14" t="str">
            <v>South Africa</v>
          </cell>
          <cell r="E14">
            <v>45</v>
          </cell>
          <cell r="F14">
            <v>36</v>
          </cell>
          <cell r="G14">
            <v>44</v>
          </cell>
        </row>
        <row r="15">
          <cell r="D15" t="str">
            <v>Latvia</v>
          </cell>
          <cell r="E15">
            <v>36</v>
          </cell>
          <cell r="F15">
            <v>44</v>
          </cell>
          <cell r="G15">
            <v>45</v>
          </cell>
        </row>
        <row r="16">
          <cell r="D16" t="str">
            <v>Hungary</v>
          </cell>
          <cell r="E16">
            <v>41</v>
          </cell>
          <cell r="F16">
            <v>38</v>
          </cell>
          <cell r="G16">
            <v>47</v>
          </cell>
        </row>
        <row r="17">
          <cell r="D17" t="str">
            <v>Poland</v>
          </cell>
          <cell r="E17">
            <v>48</v>
          </cell>
          <cell r="F17">
            <v>45</v>
          </cell>
          <cell r="G17">
            <v>51</v>
          </cell>
        </row>
        <row r="18">
          <cell r="D18" t="str">
            <v>Mexico</v>
          </cell>
          <cell r="E18">
            <v>58</v>
          </cell>
          <cell r="F18">
            <v>52</v>
          </cell>
          <cell r="G18">
            <v>52</v>
          </cell>
        </row>
        <row r="19">
          <cell r="D19" t="str">
            <v>Mauritius</v>
          </cell>
          <cell r="E19">
            <v>55</v>
          </cell>
          <cell r="F19">
            <v>55</v>
          </cell>
          <cell r="G19">
            <v>60</v>
          </cell>
        </row>
        <row r="20">
          <cell r="D20" t="str">
            <v>Brazil</v>
          </cell>
          <cell r="E20">
            <v>66</v>
          </cell>
          <cell r="F20">
            <v>66</v>
          </cell>
          <cell r="G20">
            <v>72</v>
          </cell>
        </row>
        <row r="21">
          <cell r="D21" t="str">
            <v>Romania</v>
          </cell>
          <cell r="E21">
            <v>68</v>
          </cell>
          <cell r="F21">
            <v>73</v>
          </cell>
          <cell r="G21">
            <v>74</v>
          </cell>
        </row>
        <row r="22">
          <cell r="D22" t="str">
            <v>Botswana</v>
          </cell>
          <cell r="E22">
            <v>81</v>
          </cell>
          <cell r="F22">
            <v>57</v>
          </cell>
          <cell r="G22">
            <v>76</v>
          </cell>
        </row>
      </sheetData>
      <sheetData sheetId="12"/>
      <sheetData sheetId="13"/>
      <sheetData sheetId="1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09 ALL CRTS"/>
      <sheetName val="0809 (Q)"/>
      <sheetName val="0809"/>
      <sheetName val="graphs"/>
      <sheetName val="0910 ALL CRTS"/>
      <sheetName val="0910 (Q)"/>
      <sheetName val="0910"/>
      <sheetName val="DIS incl."/>
      <sheetName val="REG incl."/>
      <sheetName val="DOC"/>
      <sheetName val="BOP"/>
      <sheetName val="CPD"/>
      <sheetName val="ECD"/>
      <sheetName val="FSD"/>
      <sheetName val="NCD"/>
      <sheetName val="NPD"/>
      <sheetName val="TPD"/>
      <sheetName val="TRA"/>
      <sheetName val="WLD"/>
      <sheetName val="SCCU"/>
    </sheetNames>
    <sheetDataSet>
      <sheetData sheetId="0" refreshError="1">
        <row r="19">
          <cell r="P19">
            <v>638699</v>
          </cell>
          <cell r="Q19">
            <v>267613</v>
          </cell>
          <cell r="Y19">
            <v>38015</v>
          </cell>
        </row>
      </sheetData>
      <sheetData sheetId="1" refreshError="1"/>
      <sheetData sheetId="2" refreshError="1"/>
      <sheetData sheetId="3" refreshError="1"/>
      <sheetData sheetId="4" refreshError="1">
        <row r="19">
          <cell r="Q19">
            <v>595623</v>
          </cell>
          <cell r="T19">
            <v>309868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A PERFORM (2)"/>
      <sheetName val="NPA PERFORM (3)"/>
      <sheetName val="NPA PERFORM"/>
      <sheetName val="NPS OVERVIEW"/>
      <sheetName val="Sheet1"/>
      <sheetName val="Sheet2"/>
      <sheetName val="Sheet4"/>
    </sheetNames>
    <sheetDataSet>
      <sheetData sheetId="0" refreshError="1"/>
      <sheetData sheetId="1" refreshError="1"/>
      <sheetData sheetId="2" refreshError="1">
        <row r="7">
          <cell r="B7">
            <v>0</v>
          </cell>
          <cell r="J7">
            <v>15393</v>
          </cell>
          <cell r="K7">
            <v>38029</v>
          </cell>
          <cell r="L7">
            <v>68270</v>
          </cell>
        </row>
        <row r="8">
          <cell r="B8">
            <v>14808</v>
          </cell>
          <cell r="C8">
            <v>17952</v>
          </cell>
          <cell r="D8">
            <v>18946</v>
          </cell>
          <cell r="E8">
            <v>37422</v>
          </cell>
          <cell r="I8">
            <v>44483</v>
          </cell>
          <cell r="J8">
            <v>46445</v>
          </cell>
          <cell r="K8">
            <v>43728</v>
          </cell>
          <cell r="L8">
            <v>50361</v>
          </cell>
        </row>
        <row r="15">
          <cell r="B15">
            <v>188691</v>
          </cell>
          <cell r="C15">
            <v>185423</v>
          </cell>
          <cell r="D15">
            <v>206005</v>
          </cell>
          <cell r="E15">
            <v>198990</v>
          </cell>
          <cell r="I15">
            <v>206508</v>
          </cell>
          <cell r="J15">
            <v>232518</v>
          </cell>
          <cell r="K15">
            <v>234606</v>
          </cell>
          <cell r="L15">
            <v>230477</v>
          </cell>
        </row>
      </sheetData>
      <sheetData sheetId="3" refreshError="1"/>
      <sheetData sheetId="4" refreshError="1"/>
      <sheetData sheetId="5" refreshError="1"/>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ges referred to Courts"/>
      <sheetName val="Sheet2"/>
      <sheetName val="Sheet3"/>
    </sheetNames>
    <sheetDataSet>
      <sheetData sheetId="0" refreshError="1">
        <row r="9">
          <cell r="K9">
            <v>962317</v>
          </cell>
        </row>
        <row r="23">
          <cell r="K23">
            <v>218660</v>
          </cell>
        </row>
        <row r="27">
          <cell r="K27">
            <v>0.88710900330770737</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13.14"/>
      <sheetName val="13.14 ALL CRTS"/>
      <sheetName val="13.14 (Q)"/>
      <sheetName val="13.14 LC"/>
      <sheetName val="GRAPHS14.15 (Q1)"/>
      <sheetName val="GRAPHS13.14 (Q2)"/>
      <sheetName val="DOC 13.14"/>
      <sheetName val="GRAPHS13.14 (Q3)"/>
      <sheetName val="GRAPHS13.14 (Q4)"/>
      <sheetName val="14.15 ALL CRTS"/>
      <sheetName val="graphs final"/>
      <sheetName val="14.15 (Q)"/>
      <sheetName val="14.15 LC"/>
      <sheetName val="DOC"/>
      <sheetName val="TRIO"/>
      <sheetName val="SO"/>
      <sheetName val="CYBER CRIME"/>
      <sheetName val="SCCU"/>
      <sheetName val="ENVIRO"/>
      <sheetName val="APPEALS.ORG CRIME.TAX"/>
    </sheetNames>
    <sheetDataSet>
      <sheetData sheetId="0" refreshError="1"/>
      <sheetData sheetId="1" refreshError="1">
        <row r="77">
          <cell r="AE77">
            <v>182979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ntribution to Employ..."/>
      <sheetName val="Total contribution to GDP"/>
    </sheetNames>
    <sheetDataSet>
      <sheetData sheetId="0" refreshError="1"/>
      <sheetData sheetId="1" refreshError="1">
        <row r="3">
          <cell r="L3">
            <v>147.042</v>
          </cell>
          <cell r="M3">
            <v>177.94800000000001</v>
          </cell>
          <cell r="N3">
            <v>204.46799999999999</v>
          </cell>
          <cell r="O3">
            <v>219.995</v>
          </cell>
          <cell r="P3">
            <v>232.16800000000001</v>
          </cell>
          <cell r="Q3">
            <v>243.84899999999999</v>
          </cell>
          <cell r="R3">
            <v>260.34899999999999</v>
          </cell>
          <cell r="S3">
            <v>297.31400000000002</v>
          </cell>
          <cell r="T3">
            <v>328.44099999999997</v>
          </cell>
          <cell r="U3">
            <v>358.78300000000002</v>
          </cell>
          <cell r="V3">
            <v>375.50200000000001</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ce operations"/>
      <sheetName val="Democracy in Africa"/>
      <sheetName val="Ecomonic performance of Africa"/>
      <sheetName val="Tourism"/>
      <sheetName val="Missions"/>
      <sheetName val="International agreements"/>
    </sheetNames>
    <sheetDataSet>
      <sheetData sheetId="0"/>
      <sheetData sheetId="1"/>
      <sheetData sheetId="2"/>
      <sheetData sheetId="3">
        <row r="60">
          <cell r="E60">
            <v>2002</v>
          </cell>
          <cell r="F60">
            <v>2003</v>
          </cell>
          <cell r="G60">
            <v>2004</v>
          </cell>
          <cell r="H60">
            <v>2005</v>
          </cell>
          <cell r="I60">
            <v>2006</v>
          </cell>
          <cell r="J60">
            <v>2007</v>
          </cell>
        </row>
      </sheetData>
      <sheetData sheetId="4"/>
      <sheetData sheetId="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
      <sheetName val="Content"/>
      <sheetName val="GDP "/>
      <sheetName val="GDP per Capita "/>
      <sheetName val="NFDI "/>
      <sheetName val="GFCF "/>
      <sheetName val="B deficit "/>
      <sheetName val="G debt "/>
      <sheetName val="Interest "/>
      <sheetName val="Inflation "/>
      <sheetName val="Bondpoints Spread "/>
      <sheetName val="R&amp;D "/>
      <sheetName val="ICT"/>
      <sheetName val="Patents"/>
      <sheetName val="Foreign Trade"/>
      <sheetName val="Competitiveness "/>
      <sheetName val="Knowledge Based Economy "/>
      <sheetName val="BM "/>
      <sheetName val="Employed "/>
      <sheetName val="Unempl"/>
      <sheetName val="EPWP"/>
      <sheetName val="CWP "/>
      <sheetName val="Income"/>
      <sheetName val="LSM"/>
      <sheetName val="Inequality"/>
      <sheetName val="Poverty Headcount"/>
      <sheetName val="Poverty Gap indices  "/>
      <sheetName val="Grants"/>
      <sheetName val="People with disability "/>
      <sheetName val="Dwellings"/>
      <sheetName val="Rental"/>
      <sheetName val="Gap market"/>
      <sheetName val="Water"/>
      <sheetName val="Sanitation"/>
      <sheetName val="Electricity"/>
      <sheetName val="Land restitution"/>
      <sheetName val="Land redistribution "/>
      <sheetName val="Life Expectancy "/>
      <sheetName val="Infant &amp; Child mortality"/>
      <sheetName val="Stunting "/>
      <sheetName val="Immunization"/>
      <sheetName val="Martenal mortality"/>
      <sheetName val="HIV Prevalance "/>
      <sheetName val="ART new TROA"/>
      <sheetName val="TB"/>
      <sheetName val="Malaria"/>
      <sheetName val="ECD"/>
      <sheetName val="Educator Learner ratio"/>
      <sheetName val="Gender parity index"/>
      <sheetName val="Matric pass rate"/>
      <sheetName val="Mathematics pass rate"/>
      <sheetName val="Literacy rate "/>
      <sheetName val="SET Uni"/>
      <sheetName val="Educational Perfomance  "/>
      <sheetName val="Maths, science perf"/>
      <sheetName val="Skills and training"/>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Property crime"/>
      <sheetName val="Contact crime"/>
      <sheetName val="Serious robberies"/>
      <sheetName val="Drug-Related Crime"/>
      <sheetName val="Sexual offences"/>
      <sheetName val="Charges to court"/>
      <sheetName val="Cases in court"/>
      <sheetName val="Detainees"/>
      <sheetName val="Rehabilitation"/>
      <sheetName val="Parolees"/>
      <sheetName val="Road Accidents"/>
      <sheetName val="Peace Operations"/>
      <sheetName val="Development cooperation"/>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Transport"/>
      <sheetName val="Energy"/>
      <sheetName val="Demographic tre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2">
          <cell r="C2">
            <v>79</v>
          </cell>
        </row>
      </sheetData>
      <sheetData sheetId="83"/>
      <sheetData sheetId="84"/>
      <sheetData sheetId="85"/>
      <sheetData sheetId="86"/>
      <sheetData sheetId="87">
        <row r="54">
          <cell r="D54" t="str">
            <v>Performing well</v>
          </cell>
          <cell r="E54">
            <v>70</v>
          </cell>
          <cell r="F54">
            <v>64</v>
          </cell>
          <cell r="G54">
            <v>73</v>
          </cell>
          <cell r="H54">
            <v>74</v>
          </cell>
          <cell r="I54">
            <v>79</v>
          </cell>
          <cell r="J54">
            <v>73</v>
          </cell>
          <cell r="K54">
            <v>74</v>
          </cell>
          <cell r="L54">
            <v>65</v>
          </cell>
          <cell r="M54">
            <v>58</v>
          </cell>
          <cell r="N54">
            <v>59</v>
          </cell>
          <cell r="O54">
            <v>55</v>
          </cell>
          <cell r="P54">
            <v>50</v>
          </cell>
          <cell r="Q54">
            <v>52</v>
          </cell>
          <cell r="R54">
            <v>53</v>
          </cell>
          <cell r="S54">
            <v>56</v>
          </cell>
        </row>
        <row r="55">
          <cell r="D55" t="str">
            <v>Major service protests</v>
          </cell>
          <cell r="I55">
            <v>10</v>
          </cell>
          <cell r="J55">
            <v>34</v>
          </cell>
          <cell r="K55">
            <v>2</v>
          </cell>
          <cell r="L55">
            <v>32</v>
          </cell>
          <cell r="M55">
            <v>27</v>
          </cell>
          <cell r="N55">
            <v>107</v>
          </cell>
          <cell r="O55">
            <v>111</v>
          </cell>
          <cell r="P55">
            <v>82</v>
          </cell>
          <cell r="Q55">
            <v>173</v>
          </cell>
          <cell r="R55">
            <v>155</v>
          </cell>
          <cell r="S55">
            <v>134</v>
          </cell>
        </row>
      </sheetData>
      <sheetData sheetId="88"/>
      <sheetData sheetId="89"/>
      <sheetData sheetId="90"/>
      <sheetData sheetId="91"/>
      <sheetData sheetId="9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Indicators"/>
      <sheetName val="Voting"/>
      <sheetName val="Voters prov"/>
      <sheetName val="Women"/>
      <sheetName val="Civil society"/>
      <sheetName val="Revised Tax return"/>
      <sheetName val="Audits"/>
      <sheetName val="A-Corruption"/>
      <sheetName val="A-Corruption (2)"/>
      <sheetName val="Bugdet"/>
      <sheetName val="Opinion"/>
      <sheetName val="Red Tape B"/>
    </sheetNames>
    <sheetDataSet>
      <sheetData sheetId="0"/>
      <sheetData sheetId="1"/>
      <sheetData sheetId="2"/>
      <sheetData sheetId="3"/>
      <sheetData sheetId="4"/>
      <sheetData sheetId="5">
        <row r="8">
          <cell r="E8">
            <v>1996</v>
          </cell>
          <cell r="F8">
            <v>1997</v>
          </cell>
          <cell r="G8">
            <v>1998</v>
          </cell>
          <cell r="H8">
            <v>1999</v>
          </cell>
          <cell r="I8">
            <v>2000</v>
          </cell>
          <cell r="J8">
            <v>2001</v>
          </cell>
          <cell r="K8">
            <v>2002</v>
          </cell>
          <cell r="L8">
            <v>2003</v>
          </cell>
          <cell r="M8">
            <v>2004</v>
          </cell>
          <cell r="N8">
            <v>2005</v>
          </cell>
          <cell r="O8">
            <v>2006</v>
          </cell>
        </row>
        <row r="9">
          <cell r="C9" t="str">
            <v>Revenue collection</v>
          </cell>
          <cell r="E9">
            <v>147.30000000000001</v>
          </cell>
          <cell r="F9">
            <v>165.3</v>
          </cell>
          <cell r="G9">
            <v>184.8</v>
          </cell>
          <cell r="H9">
            <v>201.4</v>
          </cell>
          <cell r="I9">
            <v>220.3</v>
          </cell>
          <cell r="J9">
            <v>252.3</v>
          </cell>
          <cell r="K9">
            <v>282.2</v>
          </cell>
          <cell r="L9">
            <v>302.5</v>
          </cell>
          <cell r="M9">
            <v>355</v>
          </cell>
          <cell r="N9">
            <v>417.3</v>
          </cell>
          <cell r="O9">
            <v>486.4</v>
          </cell>
        </row>
        <row r="10">
          <cell r="C10" t="str">
            <v>Annual tax relief</v>
          </cell>
          <cell r="D10" t="str">
            <v>R'billion</v>
          </cell>
          <cell r="E10">
            <v>2.4</v>
          </cell>
          <cell r="F10">
            <v>0.90800000000000003</v>
          </cell>
          <cell r="H10">
            <v>3.57</v>
          </cell>
          <cell r="I10">
            <v>8.48</v>
          </cell>
          <cell r="J10">
            <v>9.06</v>
          </cell>
          <cell r="K10">
            <v>15.17</v>
          </cell>
          <cell r="L10">
            <v>15.06</v>
          </cell>
          <cell r="M10">
            <v>2.2999999999999998</v>
          </cell>
          <cell r="N10">
            <v>9.3800000000000008</v>
          </cell>
          <cell r="O10">
            <v>19.3</v>
          </cell>
        </row>
        <row r="11">
          <cell r="C11" t="str">
            <v>Tax register</v>
          </cell>
          <cell r="D11" t="str">
            <v>no</v>
          </cell>
          <cell r="E11">
            <v>3166795</v>
          </cell>
          <cell r="F11">
            <v>3568089</v>
          </cell>
          <cell r="G11">
            <v>3671130</v>
          </cell>
          <cell r="H11">
            <v>3941375</v>
          </cell>
          <cell r="I11">
            <v>4094271</v>
          </cell>
          <cell r="J11">
            <v>4623870</v>
          </cell>
          <cell r="K11">
            <v>5102227</v>
          </cell>
          <cell r="L11">
            <v>5608223</v>
          </cell>
          <cell r="M11">
            <v>6085436</v>
          </cell>
          <cell r="N11">
            <v>6624767</v>
          </cell>
          <cell r="O11">
            <v>7277006</v>
          </cell>
        </row>
      </sheetData>
      <sheetData sheetId="6"/>
      <sheetData sheetId="7"/>
      <sheetData sheetId="8"/>
      <sheetData sheetId="9"/>
      <sheetData sheetId="10"/>
      <sheetData sheetId="1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Admin"/>
      <sheetName val="Qualified Audits"/>
      <sheetName val="Corruption"/>
      <sheetName val="Budget process"/>
      <sheetName val="Public opinion"/>
      <sheetName val="Doing Business"/>
      <sheetName val="Gas emissions"/>
    </sheetNames>
    <sheetDataSet>
      <sheetData sheetId="0">
        <row r="8">
          <cell r="F8" t="str">
            <v>1996/97</v>
          </cell>
          <cell r="G8" t="str">
            <v>1997/98</v>
          </cell>
          <cell r="H8" t="str">
            <v>1998/99</v>
          </cell>
          <cell r="I8" t="str">
            <v>1999/00</v>
          </cell>
          <cell r="J8" t="str">
            <v>2000/01</v>
          </cell>
          <cell r="K8" t="str">
            <v>2001/02</v>
          </cell>
          <cell r="L8" t="str">
            <v>2002/03</v>
          </cell>
          <cell r="M8" t="str">
            <v>2003/04</v>
          </cell>
          <cell r="N8" t="str">
            <v>2004/05</v>
          </cell>
          <cell r="O8" t="str">
            <v>2005/06</v>
          </cell>
          <cell r="P8" t="str">
            <v>2006/07</v>
          </cell>
          <cell r="Q8" t="str">
            <v>2007/08</v>
          </cell>
          <cell r="R8" t="str">
            <v>2008/09</v>
          </cell>
        </row>
        <row r="11">
          <cell r="D11" t="str">
            <v>Tax register</v>
          </cell>
          <cell r="F11">
            <v>3166795</v>
          </cell>
          <cell r="G11">
            <v>3568089</v>
          </cell>
          <cell r="H11">
            <v>3671130</v>
          </cell>
          <cell r="I11">
            <v>3941375</v>
          </cell>
          <cell r="J11">
            <v>4094271</v>
          </cell>
          <cell r="K11">
            <v>4623870</v>
          </cell>
          <cell r="L11">
            <v>5102227</v>
          </cell>
          <cell r="M11">
            <v>5608223</v>
          </cell>
          <cell r="N11">
            <v>6085436</v>
          </cell>
          <cell r="O11">
            <v>6624767</v>
          </cell>
          <cell r="P11">
            <v>7221932</v>
          </cell>
          <cell r="Q11">
            <v>7895468</v>
          </cell>
          <cell r="R11">
            <v>8487502</v>
          </cell>
        </row>
        <row r="18">
          <cell r="D18" t="str">
            <v>Total</v>
          </cell>
          <cell r="F18">
            <v>147.30000000000001</v>
          </cell>
          <cell r="G18">
            <v>165.3</v>
          </cell>
          <cell r="H18">
            <v>184.8</v>
          </cell>
          <cell r="I18">
            <v>201.4</v>
          </cell>
          <cell r="J18">
            <v>220.3</v>
          </cell>
          <cell r="K18">
            <v>252.3</v>
          </cell>
          <cell r="L18">
            <v>282.2</v>
          </cell>
          <cell r="M18">
            <v>302.5</v>
          </cell>
          <cell r="N18">
            <v>355</v>
          </cell>
          <cell r="O18">
            <v>417.3</v>
          </cell>
          <cell r="P18">
            <v>493.5</v>
          </cell>
          <cell r="Q18">
            <v>572.9</v>
          </cell>
          <cell r="R18">
            <v>625.1</v>
          </cell>
        </row>
      </sheetData>
      <sheetData sheetId="1"/>
      <sheetData sheetId="2"/>
      <sheetData sheetId="3" refreshError="1"/>
      <sheetData sheetId="4"/>
      <sheetData sheetId="5"/>
      <sheetData sheetId="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lified Audits"/>
      <sheetName val="AGSA Data - 2008-09 Gen Report"/>
    </sheetNames>
    <sheetDataSet>
      <sheetData sheetId="0" refreshError="1"/>
      <sheetData sheetId="1" refreshError="1">
        <row r="17">
          <cell r="I17">
            <v>33</v>
          </cell>
        </row>
        <row r="18">
          <cell r="I18">
            <v>12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sheetName val="FDI"/>
      <sheetName val="GFCF"/>
      <sheetName val="B deficit"/>
      <sheetName val="G debt"/>
      <sheetName val="Interest"/>
      <sheetName val="Inflation"/>
      <sheetName val="Bondpoints Spread"/>
      <sheetName val="Foreign 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C2">
            <v>9</v>
          </cell>
        </row>
      </sheetData>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
      <sheetName val="NFDI"/>
      <sheetName val="GFCF "/>
      <sheetName val="B deficit "/>
      <sheetName val="G debt "/>
      <sheetName val="Interest "/>
      <sheetName val="Inflation"/>
      <sheetName val="Bondpoints Spread"/>
      <sheetName val="R&amp;D"/>
      <sheetName val="ICT"/>
      <sheetName val="Patents"/>
      <sheetName val="Foreign Trade"/>
      <sheetName val="Competitiveness"/>
      <sheetName val="Knowledge Based Economy"/>
      <sheetName val="BM"/>
      <sheetName val="Employed"/>
      <sheetName val="Unempl"/>
      <sheetName val="EPWP"/>
      <sheetName val="CWP"/>
      <sheetName val="Income"/>
      <sheetName val="LSM"/>
      <sheetName val="Inequality"/>
      <sheetName val="Poverty Headcount"/>
      <sheetName val="Poverty Gap indices"/>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ses"/>
      <sheetName val="Property crime"/>
      <sheetName val="Serious robberies"/>
      <sheetName val="Detection rate"/>
      <sheetName val="Charges to court"/>
      <sheetName val="Cases in court"/>
      <sheetName val="Detainees"/>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Demographic trends"/>
      <sheetName val="Links to Outcomes"/>
    </sheetNames>
    <sheetDataSet>
      <sheetData sheetId="0"/>
      <sheetData sheetId="1"/>
      <sheetData sheetId="2"/>
      <sheetData sheetId="3"/>
      <sheetData sheetId="4"/>
      <sheetData sheetId="5"/>
      <sheetData sheetId="6"/>
      <sheetData sheetId="7"/>
      <sheetData sheetId="8"/>
      <sheetData sheetId="9"/>
      <sheetData sheetId="10">
        <row r="2">
          <cell r="C2">
            <v>11</v>
          </cell>
        </row>
      </sheetData>
      <sheetData sheetId="11">
        <row r="8">
          <cell r="E8">
            <v>2002</v>
          </cell>
        </row>
      </sheetData>
      <sheetData sheetId="12"/>
      <sheetData sheetId="13"/>
      <sheetData sheetId="14"/>
      <sheetData sheetId="15">
        <row r="2">
          <cell r="C2">
            <v>16</v>
          </cell>
        </row>
      </sheetData>
      <sheetData sheetId="16">
        <row r="8">
          <cell r="E8">
            <v>2001</v>
          </cell>
        </row>
      </sheetData>
      <sheetData sheetId="17">
        <row r="2">
          <cell r="C2">
            <v>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C2">
            <v>41</v>
          </cell>
        </row>
      </sheetData>
      <sheetData sheetId="41">
        <row r="2">
          <cell r="C2">
            <v>42</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2">
          <cell r="C2">
            <v>71</v>
          </cell>
        </row>
      </sheetData>
      <sheetData sheetId="71"/>
      <sheetData sheetId="72">
        <row r="2">
          <cell r="C2">
            <v>73</v>
          </cell>
        </row>
      </sheetData>
      <sheetData sheetId="73">
        <row r="2">
          <cell r="C2">
            <v>74</v>
          </cell>
        </row>
      </sheetData>
      <sheetData sheetId="74">
        <row r="2">
          <cell r="C2">
            <v>75</v>
          </cell>
        </row>
      </sheetData>
      <sheetData sheetId="75">
        <row r="2">
          <cell r="C2">
            <v>76</v>
          </cell>
        </row>
      </sheetData>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
      <sheetName val="NFDI"/>
      <sheetName val="GFCF "/>
      <sheetName val="B deficit "/>
      <sheetName val="G debt "/>
      <sheetName val="Interest "/>
      <sheetName val="Inflation"/>
      <sheetName val="Bondpoints Spread"/>
      <sheetName val="R&amp;D"/>
      <sheetName val="Patents"/>
      <sheetName val="ICT"/>
      <sheetName val="Foreign Trade"/>
      <sheetName val="Competitiveness"/>
      <sheetName val="Knowledge Based Economy"/>
      <sheetName val="BM"/>
      <sheetName val="Employed"/>
      <sheetName val="Unempl"/>
      <sheetName val="EPWP"/>
      <sheetName val="CWP"/>
      <sheetName val="Income"/>
      <sheetName val="LSM"/>
      <sheetName val="Inequality"/>
      <sheetName val="Poverty Headcount"/>
      <sheetName val="Poverty Gap indices"/>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ses"/>
      <sheetName val="Property crime"/>
      <sheetName val="Serious robberies"/>
      <sheetName val="Detection rate"/>
      <sheetName val="Charges to court"/>
      <sheetName val="Cases in court"/>
      <sheetName val="Detainees"/>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Demographic trends"/>
      <sheetName val="Links to Outco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C2">
            <v>12</v>
          </cell>
        </row>
      </sheetData>
      <sheetData sheetId="12" refreshError="1">
        <row r="2">
          <cell r="C2">
            <v>13</v>
          </cell>
        </row>
      </sheetData>
      <sheetData sheetId="13" refreshError="1">
        <row r="2">
          <cell r="C2">
            <v>14</v>
          </cell>
        </row>
      </sheetData>
      <sheetData sheetId="14" refreshError="1">
        <row r="2">
          <cell r="C2">
            <v>15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
      <sheetName val="Content"/>
      <sheetName val="GDP "/>
      <sheetName val="GDP per Capita "/>
      <sheetName val="NFDI "/>
      <sheetName val="GFCF "/>
      <sheetName val="B deficit "/>
      <sheetName val="G debt "/>
      <sheetName val="Interest "/>
      <sheetName val="Inflation "/>
      <sheetName val="Bondpoints Spread "/>
      <sheetName val="R&amp;D "/>
      <sheetName val="ICT"/>
      <sheetName val="Patents"/>
      <sheetName val="Foreign Trade"/>
      <sheetName val="Competitiveness "/>
      <sheetName val="Knowledge Based Economy "/>
      <sheetName val="BM "/>
      <sheetName val="Employed "/>
      <sheetName val="Unempl"/>
      <sheetName val="EPWP"/>
      <sheetName val="CWP "/>
      <sheetName val="Income"/>
      <sheetName val="LSM"/>
      <sheetName val="Inequality"/>
      <sheetName val="Poverty Headcount"/>
      <sheetName val="Poverty Gap indices  "/>
      <sheetName val="Grants"/>
      <sheetName val="People with disability "/>
      <sheetName val="Dwellings"/>
      <sheetName val="Rental"/>
      <sheetName val="Gap market"/>
      <sheetName val="Water"/>
      <sheetName val="Sanitation"/>
      <sheetName val="Electricity"/>
      <sheetName val="Land restitution"/>
      <sheetName val="Land redistribution "/>
      <sheetName val="Life Expectancy "/>
      <sheetName val="Infant &amp; Child mortality"/>
      <sheetName val="Stunting "/>
      <sheetName val="Immunization"/>
      <sheetName val="Martenal mortality"/>
      <sheetName val="HIV Prevalance "/>
      <sheetName val="ART new TROA"/>
      <sheetName val="TB"/>
      <sheetName val="Malaria"/>
      <sheetName val="ECD"/>
      <sheetName val="Educator Learner ratio"/>
      <sheetName val="Gender parity index"/>
      <sheetName val="Matric pass rate"/>
      <sheetName val="Mathematics pass rate"/>
      <sheetName val="Literacy rate "/>
      <sheetName val="SET Uni"/>
      <sheetName val="Educational Perfomance  "/>
      <sheetName val="Maths, science perf"/>
      <sheetName val="Skills and training"/>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Property crime"/>
      <sheetName val="Contact crime"/>
      <sheetName val="Serious robberies"/>
      <sheetName val="Drug-Related Crime"/>
      <sheetName val="Sexual offences"/>
      <sheetName val="Charges to court"/>
      <sheetName val="Cases in court"/>
      <sheetName val="Detainees"/>
      <sheetName val="Rehabilitation"/>
      <sheetName val="Parolees"/>
      <sheetName val="Road Accidents"/>
      <sheetName val="Peace Operations"/>
      <sheetName val="Development cooperation"/>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Transport"/>
      <sheetName val="Energy"/>
      <sheetName val="Demographic tre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C2">
            <v>16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
          <cell r="C2">
            <v>42</v>
          </cell>
        </row>
      </sheetData>
      <sheetData sheetId="46"/>
      <sheetData sheetId="47"/>
      <sheetData sheetId="48"/>
      <sheetData sheetId="49"/>
      <sheetData sheetId="50"/>
      <sheetData sheetId="51"/>
      <sheetData sheetId="52"/>
      <sheetData sheetId="53"/>
      <sheetData sheetId="54"/>
      <sheetData sheetId="55">
        <row r="2">
          <cell r="C2">
            <v>52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2">
          <cell r="C2">
            <v>74</v>
          </cell>
        </row>
      </sheetData>
      <sheetData sheetId="78"/>
      <sheetData sheetId="79"/>
      <sheetData sheetId="80"/>
      <sheetData sheetId="81"/>
      <sheetData sheetId="82">
        <row r="2">
          <cell r="C2">
            <v>79</v>
          </cell>
        </row>
      </sheetData>
      <sheetData sheetId="83">
        <row r="10">
          <cell r="F10" t="str">
            <v>1996/97</v>
          </cell>
        </row>
      </sheetData>
      <sheetData sheetId="84">
        <row r="8">
          <cell r="D8" t="str">
            <v>National depts.</v>
          </cell>
        </row>
      </sheetData>
      <sheetData sheetId="85">
        <row r="8">
          <cell r="E8">
            <v>1997</v>
          </cell>
        </row>
      </sheetData>
      <sheetData sheetId="86"/>
      <sheetData sheetId="87">
        <row r="8">
          <cell r="E8">
            <v>2000</v>
          </cell>
        </row>
      </sheetData>
      <sheetData sheetId="88"/>
      <sheetData sheetId="89">
        <row r="8">
          <cell r="E8">
            <v>1990</v>
          </cell>
        </row>
      </sheetData>
      <sheetData sheetId="90"/>
      <sheetData sheetId="91"/>
      <sheetData sheetId="9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empl"/>
      <sheetName val="Employed "/>
      <sheetName val="EPWP "/>
      <sheetName val="CWP "/>
    </sheetNames>
    <sheetDataSet>
      <sheetData sheetId="0"/>
      <sheetData sheetId="1">
        <row r="102">
          <cell r="E102">
            <v>2001</v>
          </cell>
          <cell r="F102">
            <v>2001</v>
          </cell>
          <cell r="G102">
            <v>2001</v>
          </cell>
          <cell r="H102">
            <v>2001</v>
          </cell>
          <cell r="I102">
            <v>2001</v>
          </cell>
          <cell r="J102">
            <v>2001</v>
          </cell>
          <cell r="K102">
            <v>2001</v>
          </cell>
          <cell r="L102">
            <v>2001</v>
          </cell>
          <cell r="M102">
            <v>2001</v>
          </cell>
          <cell r="N102">
            <v>2001</v>
          </cell>
          <cell r="O102">
            <v>2001</v>
          </cell>
          <cell r="P102">
            <v>2001</v>
          </cell>
          <cell r="Q102">
            <v>2001</v>
          </cell>
          <cell r="R102">
            <v>2001</v>
          </cell>
          <cell r="S102">
            <v>2001</v>
          </cell>
        </row>
        <row r="103">
          <cell r="E103" t="str">
            <v>S</v>
          </cell>
          <cell r="F103">
            <v>2001</v>
          </cell>
          <cell r="G103">
            <v>2001</v>
          </cell>
          <cell r="H103">
            <v>2001</v>
          </cell>
          <cell r="I103">
            <v>2001</v>
          </cell>
          <cell r="J103">
            <v>2001</v>
          </cell>
          <cell r="K103">
            <v>2001</v>
          </cell>
          <cell r="L103">
            <v>2001</v>
          </cell>
          <cell r="M103">
            <v>2001</v>
          </cell>
          <cell r="N103">
            <v>2001</v>
          </cell>
          <cell r="O103">
            <v>2001</v>
          </cell>
          <cell r="P103">
            <v>2001</v>
          </cell>
          <cell r="Q103">
            <v>2001</v>
          </cell>
          <cell r="R103">
            <v>2001</v>
          </cell>
          <cell r="S103">
            <v>2001</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dev ind line graph">
    <a:dk1>
      <a:sysClr val="windowText" lastClr="000000"/>
    </a:dk1>
    <a:lt1>
      <a:sysClr val="window" lastClr="FFFFFF"/>
    </a:lt1>
    <a:dk2>
      <a:srgbClr val="1F497D"/>
    </a:dk2>
    <a:lt2>
      <a:srgbClr val="EEECE1"/>
    </a:lt2>
    <a:accent1>
      <a:srgbClr val="FF6600"/>
    </a:accent1>
    <a:accent2>
      <a:srgbClr val="BE4B48"/>
    </a:accent2>
    <a:accent3>
      <a:srgbClr val="FFC000"/>
    </a:accent3>
    <a:accent4>
      <a:srgbClr val="00B050"/>
    </a:accent4>
    <a:accent5>
      <a:srgbClr val="3D96AE"/>
    </a:accent5>
    <a:accent6>
      <a:srgbClr val="FBC69B"/>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79.bin"/><Relationship Id="rId1" Type="http://schemas.openxmlformats.org/officeDocument/2006/relationships/hyperlink" Target="http://www.transparency.org/"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openbudgetindex.org/" TargetMode="Externa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BK52"/>
  <sheetViews>
    <sheetView showGridLines="0" view="pageBreakPreview" zoomScaleNormal="100" zoomScaleSheetLayoutView="100" workbookViewId="0">
      <selection sqref="A1:XFD1048576"/>
    </sheetView>
  </sheetViews>
  <sheetFormatPr defaultRowHeight="15" x14ac:dyDescent="0.25"/>
  <cols>
    <col min="1" max="1" width="3.7109375" style="45" customWidth="1"/>
    <col min="2" max="2" width="14.42578125" style="46" customWidth="1"/>
    <col min="3" max="3" width="3.7109375" style="47" customWidth="1"/>
    <col min="4" max="4" width="9.5703125" style="5" customWidth="1"/>
    <col min="5" max="5" width="8.140625" style="5" customWidth="1"/>
    <col min="6" max="6" width="9.42578125" style="5" bestFit="1" customWidth="1"/>
    <col min="7" max="7" width="12.42578125" style="5" customWidth="1"/>
    <col min="8" max="8" width="16" style="5" customWidth="1"/>
    <col min="9" max="9" width="12.42578125" style="5" customWidth="1"/>
    <col min="10" max="10" width="16" style="5" customWidth="1"/>
    <col min="11" max="11" width="18.7109375" style="5" customWidth="1"/>
    <col min="12" max="17" width="8.140625" style="5" customWidth="1"/>
    <col min="18" max="18" width="10" style="5" customWidth="1"/>
    <col min="19" max="19" width="9.85546875" style="5" bestFit="1" customWidth="1"/>
    <col min="20" max="20" width="9.7109375" style="5" customWidth="1"/>
    <col min="21" max="22" width="10" style="5" customWidth="1"/>
    <col min="23" max="23" width="9.85546875" style="5" bestFit="1" customWidth="1"/>
    <col min="24" max="24" width="9.7109375" style="5" customWidth="1"/>
    <col min="25" max="26" width="10" style="5" customWidth="1"/>
    <col min="27" max="27" width="9.85546875" style="5" bestFit="1" customWidth="1"/>
    <col min="28" max="28" width="9.42578125" style="5" customWidth="1"/>
    <col min="29" max="30" width="10" style="5" customWidth="1"/>
    <col min="31" max="31" width="9.85546875" style="5" bestFit="1" customWidth="1"/>
    <col min="32" max="32" width="9.7109375" style="5" customWidth="1"/>
    <col min="33" max="34" width="10" style="5" customWidth="1"/>
    <col min="35" max="35" width="9.85546875" style="5" bestFit="1" customWidth="1"/>
    <col min="36" max="36" width="9.7109375" style="5" customWidth="1"/>
    <col min="37" max="38" width="10" style="5" customWidth="1"/>
    <col min="39" max="39" width="9.85546875" style="5" bestFit="1" customWidth="1"/>
    <col min="40" max="40" width="9.7109375" style="5" customWidth="1"/>
    <col min="41" max="42" width="10" style="5" customWidth="1"/>
    <col min="43" max="43" width="9.85546875" style="5" bestFit="1" customWidth="1"/>
    <col min="44" max="44" width="9.7109375" style="5" customWidth="1"/>
    <col min="45" max="46" width="10" style="5" customWidth="1"/>
    <col min="47" max="47" width="9.85546875" style="5" bestFit="1" customWidth="1"/>
    <col min="48" max="48" width="9.7109375" style="5" customWidth="1"/>
    <col min="49" max="50" width="10" style="5" customWidth="1"/>
    <col min="51" max="51" width="9.85546875" style="5" bestFit="1" customWidth="1"/>
    <col min="52" max="52" width="10.7109375" style="5" customWidth="1"/>
    <col min="53" max="53" width="13.140625" style="5" customWidth="1"/>
    <col min="54" max="54" width="10" style="5" bestFit="1" customWidth="1"/>
    <col min="55" max="55" width="9.85546875" style="5" bestFit="1" customWidth="1"/>
    <col min="56" max="56" width="9.7109375" style="5" bestFit="1" customWidth="1"/>
    <col min="57" max="58" width="10" style="5" bestFit="1" customWidth="1"/>
    <col min="59" max="254" width="9.140625" style="5"/>
    <col min="255" max="255" width="3.7109375" style="5" customWidth="1"/>
    <col min="256" max="256" width="14.42578125" style="5" customWidth="1"/>
    <col min="257" max="257" width="3.7109375" style="5" customWidth="1"/>
    <col min="258" max="258" width="9.5703125" style="5" customWidth="1"/>
    <col min="259" max="259" width="8.140625" style="5" customWidth="1"/>
    <col min="260" max="260" width="9.42578125" style="5" bestFit="1" customWidth="1"/>
    <col min="261" max="261" width="12.42578125" style="5" customWidth="1"/>
    <col min="262" max="262" width="4.140625" style="5" customWidth="1"/>
    <col min="263" max="263" width="16" style="5" customWidth="1"/>
    <col min="264" max="264" width="4" style="5" customWidth="1"/>
    <col min="265" max="273" width="8.140625" style="5" customWidth="1"/>
    <col min="274" max="274" width="10" style="5" customWidth="1"/>
    <col min="275" max="275" width="9.85546875" style="5" bestFit="1" customWidth="1"/>
    <col min="276" max="276" width="9.7109375" style="5" customWidth="1"/>
    <col min="277" max="278" width="10" style="5" customWidth="1"/>
    <col min="279" max="279" width="9.85546875" style="5" bestFit="1" customWidth="1"/>
    <col min="280" max="280" width="9.7109375" style="5" customWidth="1"/>
    <col min="281" max="282" width="10" style="5" customWidth="1"/>
    <col min="283" max="283" width="9.85546875" style="5" bestFit="1" customWidth="1"/>
    <col min="284" max="284" width="9.42578125" style="5" customWidth="1"/>
    <col min="285" max="286" width="10" style="5" customWidth="1"/>
    <col min="287" max="287" width="9.85546875" style="5" bestFit="1" customWidth="1"/>
    <col min="288" max="288" width="9.7109375" style="5" customWidth="1"/>
    <col min="289" max="290" width="10" style="5" customWidth="1"/>
    <col min="291" max="291" width="9.85546875" style="5" bestFit="1" customWidth="1"/>
    <col min="292" max="292" width="9.7109375" style="5" customWidth="1"/>
    <col min="293" max="294" width="10" style="5" customWidth="1"/>
    <col min="295" max="295" width="9.85546875" style="5" bestFit="1" customWidth="1"/>
    <col min="296" max="296" width="9.7109375" style="5" customWidth="1"/>
    <col min="297" max="298" width="10" style="5" customWidth="1"/>
    <col min="299" max="299" width="9.85546875" style="5" bestFit="1" customWidth="1"/>
    <col min="300" max="300" width="9.7109375" style="5" customWidth="1"/>
    <col min="301" max="302" width="10" style="5" customWidth="1"/>
    <col min="303" max="303" width="9.85546875" style="5" bestFit="1" customWidth="1"/>
    <col min="304" max="304" width="9.7109375" style="5" customWidth="1"/>
    <col min="305" max="306" width="10" style="5" customWidth="1"/>
    <col min="307" max="307" width="9.85546875" style="5" bestFit="1" customWidth="1"/>
    <col min="308" max="308" width="10.7109375" style="5" customWidth="1"/>
    <col min="309" max="309" width="13.140625" style="5" customWidth="1"/>
    <col min="310" max="310" width="10" style="5" bestFit="1" customWidth="1"/>
    <col min="311" max="311" width="9.85546875" style="5" bestFit="1" customWidth="1"/>
    <col min="312" max="312" width="9.7109375" style="5" bestFit="1" customWidth="1"/>
    <col min="313" max="314" width="10" style="5" bestFit="1" customWidth="1"/>
    <col min="315" max="510" width="9.140625" style="5"/>
    <col min="511" max="511" width="3.7109375" style="5" customWidth="1"/>
    <col min="512" max="512" width="14.42578125" style="5" customWidth="1"/>
    <col min="513" max="513" width="3.7109375" style="5" customWidth="1"/>
    <col min="514" max="514" width="9.5703125" style="5" customWidth="1"/>
    <col min="515" max="515" width="8.140625" style="5" customWidth="1"/>
    <col min="516" max="516" width="9.42578125" style="5" bestFit="1" customWidth="1"/>
    <col min="517" max="517" width="12.42578125" style="5" customWidth="1"/>
    <col min="518" max="518" width="4.140625" style="5" customWidth="1"/>
    <col min="519" max="519" width="16" style="5" customWidth="1"/>
    <col min="520" max="520" width="4" style="5" customWidth="1"/>
    <col min="521" max="529" width="8.140625" style="5" customWidth="1"/>
    <col min="530" max="530" width="10" style="5" customWidth="1"/>
    <col min="531" max="531" width="9.85546875" style="5" bestFit="1" customWidth="1"/>
    <col min="532" max="532" width="9.7109375" style="5" customWidth="1"/>
    <col min="533" max="534" width="10" style="5" customWidth="1"/>
    <col min="535" max="535" width="9.85546875" style="5" bestFit="1" customWidth="1"/>
    <col min="536" max="536" width="9.7109375" style="5" customWidth="1"/>
    <col min="537" max="538" width="10" style="5" customWidth="1"/>
    <col min="539" max="539" width="9.85546875" style="5" bestFit="1" customWidth="1"/>
    <col min="540" max="540" width="9.42578125" style="5" customWidth="1"/>
    <col min="541" max="542" width="10" style="5" customWidth="1"/>
    <col min="543" max="543" width="9.85546875" style="5" bestFit="1" customWidth="1"/>
    <col min="544" max="544" width="9.7109375" style="5" customWidth="1"/>
    <col min="545" max="546" width="10" style="5" customWidth="1"/>
    <col min="547" max="547" width="9.85546875" style="5" bestFit="1" customWidth="1"/>
    <col min="548" max="548" width="9.7109375" style="5" customWidth="1"/>
    <col min="549" max="550" width="10" style="5" customWidth="1"/>
    <col min="551" max="551" width="9.85546875" style="5" bestFit="1" customWidth="1"/>
    <col min="552" max="552" width="9.7109375" style="5" customWidth="1"/>
    <col min="553" max="554" width="10" style="5" customWidth="1"/>
    <col min="555" max="555" width="9.85546875" style="5" bestFit="1" customWidth="1"/>
    <col min="556" max="556" width="9.7109375" style="5" customWidth="1"/>
    <col min="557" max="558" width="10" style="5" customWidth="1"/>
    <col min="559" max="559" width="9.85546875" style="5" bestFit="1" customWidth="1"/>
    <col min="560" max="560" width="9.7109375" style="5" customWidth="1"/>
    <col min="561" max="562" width="10" style="5" customWidth="1"/>
    <col min="563" max="563" width="9.85546875" style="5" bestFit="1" customWidth="1"/>
    <col min="564" max="564" width="10.7109375" style="5" customWidth="1"/>
    <col min="565" max="565" width="13.140625" style="5" customWidth="1"/>
    <col min="566" max="566" width="10" style="5" bestFit="1" customWidth="1"/>
    <col min="567" max="567" width="9.85546875" style="5" bestFit="1" customWidth="1"/>
    <col min="568" max="568" width="9.7109375" style="5" bestFit="1" customWidth="1"/>
    <col min="569" max="570" width="10" style="5" bestFit="1" customWidth="1"/>
    <col min="571" max="766" width="9.140625" style="5"/>
    <col min="767" max="767" width="3.7109375" style="5" customWidth="1"/>
    <col min="768" max="768" width="14.42578125" style="5" customWidth="1"/>
    <col min="769" max="769" width="3.7109375" style="5" customWidth="1"/>
    <col min="770" max="770" width="9.5703125" style="5" customWidth="1"/>
    <col min="771" max="771" width="8.140625" style="5" customWidth="1"/>
    <col min="772" max="772" width="9.42578125" style="5" bestFit="1" customWidth="1"/>
    <col min="773" max="773" width="12.42578125" style="5" customWidth="1"/>
    <col min="774" max="774" width="4.140625" style="5" customWidth="1"/>
    <col min="775" max="775" width="16" style="5" customWidth="1"/>
    <col min="776" max="776" width="4" style="5" customWidth="1"/>
    <col min="777" max="785" width="8.140625" style="5" customWidth="1"/>
    <col min="786" max="786" width="10" style="5" customWidth="1"/>
    <col min="787" max="787" width="9.85546875" style="5" bestFit="1" customWidth="1"/>
    <col min="788" max="788" width="9.7109375" style="5" customWidth="1"/>
    <col min="789" max="790" width="10" style="5" customWidth="1"/>
    <col min="791" max="791" width="9.85546875" style="5" bestFit="1" customWidth="1"/>
    <col min="792" max="792" width="9.7109375" style="5" customWidth="1"/>
    <col min="793" max="794" width="10" style="5" customWidth="1"/>
    <col min="795" max="795" width="9.85546875" style="5" bestFit="1" customWidth="1"/>
    <col min="796" max="796" width="9.42578125" style="5" customWidth="1"/>
    <col min="797" max="798" width="10" style="5" customWidth="1"/>
    <col min="799" max="799" width="9.85546875" style="5" bestFit="1" customWidth="1"/>
    <col min="800" max="800" width="9.7109375" style="5" customWidth="1"/>
    <col min="801" max="802" width="10" style="5" customWidth="1"/>
    <col min="803" max="803" width="9.85546875" style="5" bestFit="1" customWidth="1"/>
    <col min="804" max="804" width="9.7109375" style="5" customWidth="1"/>
    <col min="805" max="806" width="10" style="5" customWidth="1"/>
    <col min="807" max="807" width="9.85546875" style="5" bestFit="1" customWidth="1"/>
    <col min="808" max="808" width="9.7109375" style="5" customWidth="1"/>
    <col min="809" max="810" width="10" style="5" customWidth="1"/>
    <col min="811" max="811" width="9.85546875" style="5" bestFit="1" customWidth="1"/>
    <col min="812" max="812" width="9.7109375" style="5" customWidth="1"/>
    <col min="813" max="814" width="10" style="5" customWidth="1"/>
    <col min="815" max="815" width="9.85546875" style="5" bestFit="1" customWidth="1"/>
    <col min="816" max="816" width="9.7109375" style="5" customWidth="1"/>
    <col min="817" max="818" width="10" style="5" customWidth="1"/>
    <col min="819" max="819" width="9.85546875" style="5" bestFit="1" customWidth="1"/>
    <col min="820" max="820" width="10.7109375" style="5" customWidth="1"/>
    <col min="821" max="821" width="13.140625" style="5" customWidth="1"/>
    <col min="822" max="822" width="10" style="5" bestFit="1" customWidth="1"/>
    <col min="823" max="823" width="9.85546875" style="5" bestFit="1" customWidth="1"/>
    <col min="824" max="824" width="9.7109375" style="5" bestFit="1" customWidth="1"/>
    <col min="825" max="826" width="10" style="5" bestFit="1" customWidth="1"/>
    <col min="827" max="1022" width="9.140625" style="5"/>
    <col min="1023" max="1023" width="3.7109375" style="5" customWidth="1"/>
    <col min="1024" max="1024" width="14.42578125" style="5" customWidth="1"/>
    <col min="1025" max="1025" width="3.7109375" style="5" customWidth="1"/>
    <col min="1026" max="1026" width="9.5703125" style="5" customWidth="1"/>
    <col min="1027" max="1027" width="8.140625" style="5" customWidth="1"/>
    <col min="1028" max="1028" width="9.42578125" style="5" bestFit="1" customWidth="1"/>
    <col min="1029" max="1029" width="12.42578125" style="5" customWidth="1"/>
    <col min="1030" max="1030" width="4.140625" style="5" customWidth="1"/>
    <col min="1031" max="1031" width="16" style="5" customWidth="1"/>
    <col min="1032" max="1032" width="4" style="5" customWidth="1"/>
    <col min="1033" max="1041" width="8.140625" style="5" customWidth="1"/>
    <col min="1042" max="1042" width="10" style="5" customWidth="1"/>
    <col min="1043" max="1043" width="9.85546875" style="5" bestFit="1" customWidth="1"/>
    <col min="1044" max="1044" width="9.7109375" style="5" customWidth="1"/>
    <col min="1045" max="1046" width="10" style="5" customWidth="1"/>
    <col min="1047" max="1047" width="9.85546875" style="5" bestFit="1" customWidth="1"/>
    <col min="1048" max="1048" width="9.7109375" style="5" customWidth="1"/>
    <col min="1049" max="1050" width="10" style="5" customWidth="1"/>
    <col min="1051" max="1051" width="9.85546875" style="5" bestFit="1" customWidth="1"/>
    <col min="1052" max="1052" width="9.42578125" style="5" customWidth="1"/>
    <col min="1053" max="1054" width="10" style="5" customWidth="1"/>
    <col min="1055" max="1055" width="9.85546875" style="5" bestFit="1" customWidth="1"/>
    <col min="1056" max="1056" width="9.7109375" style="5" customWidth="1"/>
    <col min="1057" max="1058" width="10" style="5" customWidth="1"/>
    <col min="1059" max="1059" width="9.85546875" style="5" bestFit="1" customWidth="1"/>
    <col min="1060" max="1060" width="9.7109375" style="5" customWidth="1"/>
    <col min="1061" max="1062" width="10" style="5" customWidth="1"/>
    <col min="1063" max="1063" width="9.85546875" style="5" bestFit="1" customWidth="1"/>
    <col min="1064" max="1064" width="9.7109375" style="5" customWidth="1"/>
    <col min="1065" max="1066" width="10" style="5" customWidth="1"/>
    <col min="1067" max="1067" width="9.85546875" style="5" bestFit="1" customWidth="1"/>
    <col min="1068" max="1068" width="9.7109375" style="5" customWidth="1"/>
    <col min="1069" max="1070" width="10" style="5" customWidth="1"/>
    <col min="1071" max="1071" width="9.85546875" style="5" bestFit="1" customWidth="1"/>
    <col min="1072" max="1072" width="9.7109375" style="5" customWidth="1"/>
    <col min="1073" max="1074" width="10" style="5" customWidth="1"/>
    <col min="1075" max="1075" width="9.85546875" style="5" bestFit="1" customWidth="1"/>
    <col min="1076" max="1076" width="10.7109375" style="5" customWidth="1"/>
    <col min="1077" max="1077" width="13.140625" style="5" customWidth="1"/>
    <col min="1078" max="1078" width="10" style="5" bestFit="1" customWidth="1"/>
    <col min="1079" max="1079" width="9.85546875" style="5" bestFit="1" customWidth="1"/>
    <col min="1080" max="1080" width="9.7109375" style="5" bestFit="1" customWidth="1"/>
    <col min="1081" max="1082" width="10" style="5" bestFit="1" customWidth="1"/>
    <col min="1083" max="1278" width="9.140625" style="5"/>
    <col min="1279" max="1279" width="3.7109375" style="5" customWidth="1"/>
    <col min="1280" max="1280" width="14.42578125" style="5" customWidth="1"/>
    <col min="1281" max="1281" width="3.7109375" style="5" customWidth="1"/>
    <col min="1282" max="1282" width="9.5703125" style="5" customWidth="1"/>
    <col min="1283" max="1283" width="8.140625" style="5" customWidth="1"/>
    <col min="1284" max="1284" width="9.42578125" style="5" bestFit="1" customWidth="1"/>
    <col min="1285" max="1285" width="12.42578125" style="5" customWidth="1"/>
    <col min="1286" max="1286" width="4.140625" style="5" customWidth="1"/>
    <col min="1287" max="1287" width="16" style="5" customWidth="1"/>
    <col min="1288" max="1288" width="4" style="5" customWidth="1"/>
    <col min="1289" max="1297" width="8.140625" style="5" customWidth="1"/>
    <col min="1298" max="1298" width="10" style="5" customWidth="1"/>
    <col min="1299" max="1299" width="9.85546875" style="5" bestFit="1" customWidth="1"/>
    <col min="1300" max="1300" width="9.7109375" style="5" customWidth="1"/>
    <col min="1301" max="1302" width="10" style="5" customWidth="1"/>
    <col min="1303" max="1303" width="9.85546875" style="5" bestFit="1" customWidth="1"/>
    <col min="1304" max="1304" width="9.7109375" style="5" customWidth="1"/>
    <col min="1305" max="1306" width="10" style="5" customWidth="1"/>
    <col min="1307" max="1307" width="9.85546875" style="5" bestFit="1" customWidth="1"/>
    <col min="1308" max="1308" width="9.42578125" style="5" customWidth="1"/>
    <col min="1309" max="1310" width="10" style="5" customWidth="1"/>
    <col min="1311" max="1311" width="9.85546875" style="5" bestFit="1" customWidth="1"/>
    <col min="1312" max="1312" width="9.7109375" style="5" customWidth="1"/>
    <col min="1313" max="1314" width="10" style="5" customWidth="1"/>
    <col min="1315" max="1315" width="9.85546875" style="5" bestFit="1" customWidth="1"/>
    <col min="1316" max="1316" width="9.7109375" style="5" customWidth="1"/>
    <col min="1317" max="1318" width="10" style="5" customWidth="1"/>
    <col min="1319" max="1319" width="9.85546875" style="5" bestFit="1" customWidth="1"/>
    <col min="1320" max="1320" width="9.7109375" style="5" customWidth="1"/>
    <col min="1321" max="1322" width="10" style="5" customWidth="1"/>
    <col min="1323" max="1323" width="9.85546875" style="5" bestFit="1" customWidth="1"/>
    <col min="1324" max="1324" width="9.7109375" style="5" customWidth="1"/>
    <col min="1325" max="1326" width="10" style="5" customWidth="1"/>
    <col min="1327" max="1327" width="9.85546875" style="5" bestFit="1" customWidth="1"/>
    <col min="1328" max="1328" width="9.7109375" style="5" customWidth="1"/>
    <col min="1329" max="1330" width="10" style="5" customWidth="1"/>
    <col min="1331" max="1331" width="9.85546875" style="5" bestFit="1" customWidth="1"/>
    <col min="1332" max="1332" width="10.7109375" style="5" customWidth="1"/>
    <col min="1333" max="1333" width="13.140625" style="5" customWidth="1"/>
    <col min="1334" max="1334" width="10" style="5" bestFit="1" customWidth="1"/>
    <col min="1335" max="1335" width="9.85546875" style="5" bestFit="1" customWidth="1"/>
    <col min="1336" max="1336" width="9.7109375" style="5" bestFit="1" customWidth="1"/>
    <col min="1337" max="1338" width="10" style="5" bestFit="1" customWidth="1"/>
    <col min="1339" max="1534" width="9.140625" style="5"/>
    <col min="1535" max="1535" width="3.7109375" style="5" customWidth="1"/>
    <col min="1536" max="1536" width="14.42578125" style="5" customWidth="1"/>
    <col min="1537" max="1537" width="3.7109375" style="5" customWidth="1"/>
    <col min="1538" max="1538" width="9.5703125" style="5" customWidth="1"/>
    <col min="1539" max="1539" width="8.140625" style="5" customWidth="1"/>
    <col min="1540" max="1540" width="9.42578125" style="5" bestFit="1" customWidth="1"/>
    <col min="1541" max="1541" width="12.42578125" style="5" customWidth="1"/>
    <col min="1542" max="1542" width="4.140625" style="5" customWidth="1"/>
    <col min="1543" max="1543" width="16" style="5" customWidth="1"/>
    <col min="1544" max="1544" width="4" style="5" customWidth="1"/>
    <col min="1545" max="1553" width="8.140625" style="5" customWidth="1"/>
    <col min="1554" max="1554" width="10" style="5" customWidth="1"/>
    <col min="1555" max="1555" width="9.85546875" style="5" bestFit="1" customWidth="1"/>
    <col min="1556" max="1556" width="9.7109375" style="5" customWidth="1"/>
    <col min="1557" max="1558" width="10" style="5" customWidth="1"/>
    <col min="1559" max="1559" width="9.85546875" style="5" bestFit="1" customWidth="1"/>
    <col min="1560" max="1560" width="9.7109375" style="5" customWidth="1"/>
    <col min="1561" max="1562" width="10" style="5" customWidth="1"/>
    <col min="1563" max="1563" width="9.85546875" style="5" bestFit="1" customWidth="1"/>
    <col min="1564" max="1564" width="9.42578125" style="5" customWidth="1"/>
    <col min="1565" max="1566" width="10" style="5" customWidth="1"/>
    <col min="1567" max="1567" width="9.85546875" style="5" bestFit="1" customWidth="1"/>
    <col min="1568" max="1568" width="9.7109375" style="5" customWidth="1"/>
    <col min="1569" max="1570" width="10" style="5" customWidth="1"/>
    <col min="1571" max="1571" width="9.85546875" style="5" bestFit="1" customWidth="1"/>
    <col min="1572" max="1572" width="9.7109375" style="5" customWidth="1"/>
    <col min="1573" max="1574" width="10" style="5" customWidth="1"/>
    <col min="1575" max="1575" width="9.85546875" style="5" bestFit="1" customWidth="1"/>
    <col min="1576" max="1576" width="9.7109375" style="5" customWidth="1"/>
    <col min="1577" max="1578" width="10" style="5" customWidth="1"/>
    <col min="1579" max="1579" width="9.85546875" style="5" bestFit="1" customWidth="1"/>
    <col min="1580" max="1580" width="9.7109375" style="5" customWidth="1"/>
    <col min="1581" max="1582" width="10" style="5" customWidth="1"/>
    <col min="1583" max="1583" width="9.85546875" style="5" bestFit="1" customWidth="1"/>
    <col min="1584" max="1584" width="9.7109375" style="5" customWidth="1"/>
    <col min="1585" max="1586" width="10" style="5" customWidth="1"/>
    <col min="1587" max="1587" width="9.85546875" style="5" bestFit="1" customWidth="1"/>
    <col min="1588" max="1588" width="10.7109375" style="5" customWidth="1"/>
    <col min="1589" max="1589" width="13.140625" style="5" customWidth="1"/>
    <col min="1590" max="1590" width="10" style="5" bestFit="1" customWidth="1"/>
    <col min="1591" max="1591" width="9.85546875" style="5" bestFit="1" customWidth="1"/>
    <col min="1592" max="1592" width="9.7109375" style="5" bestFit="1" customWidth="1"/>
    <col min="1593" max="1594" width="10" style="5" bestFit="1" customWidth="1"/>
    <col min="1595" max="1790" width="9.140625" style="5"/>
    <col min="1791" max="1791" width="3.7109375" style="5" customWidth="1"/>
    <col min="1792" max="1792" width="14.42578125" style="5" customWidth="1"/>
    <col min="1793" max="1793" width="3.7109375" style="5" customWidth="1"/>
    <col min="1794" max="1794" width="9.5703125" style="5" customWidth="1"/>
    <col min="1795" max="1795" width="8.140625" style="5" customWidth="1"/>
    <col min="1796" max="1796" width="9.42578125" style="5" bestFit="1" customWidth="1"/>
    <col min="1797" max="1797" width="12.42578125" style="5" customWidth="1"/>
    <col min="1798" max="1798" width="4.140625" style="5" customWidth="1"/>
    <col min="1799" max="1799" width="16" style="5" customWidth="1"/>
    <col min="1800" max="1800" width="4" style="5" customWidth="1"/>
    <col min="1801" max="1809" width="8.140625" style="5" customWidth="1"/>
    <col min="1810" max="1810" width="10" style="5" customWidth="1"/>
    <col min="1811" max="1811" width="9.85546875" style="5" bestFit="1" customWidth="1"/>
    <col min="1812" max="1812" width="9.7109375" style="5" customWidth="1"/>
    <col min="1813" max="1814" width="10" style="5" customWidth="1"/>
    <col min="1815" max="1815" width="9.85546875" style="5" bestFit="1" customWidth="1"/>
    <col min="1816" max="1816" width="9.7109375" style="5" customWidth="1"/>
    <col min="1817" max="1818" width="10" style="5" customWidth="1"/>
    <col min="1819" max="1819" width="9.85546875" style="5" bestFit="1" customWidth="1"/>
    <col min="1820" max="1820" width="9.42578125" style="5" customWidth="1"/>
    <col min="1821" max="1822" width="10" style="5" customWidth="1"/>
    <col min="1823" max="1823" width="9.85546875" style="5" bestFit="1" customWidth="1"/>
    <col min="1824" max="1824" width="9.7109375" style="5" customWidth="1"/>
    <col min="1825" max="1826" width="10" style="5" customWidth="1"/>
    <col min="1827" max="1827" width="9.85546875" style="5" bestFit="1" customWidth="1"/>
    <col min="1828" max="1828" width="9.7109375" style="5" customWidth="1"/>
    <col min="1829" max="1830" width="10" style="5" customWidth="1"/>
    <col min="1831" max="1831" width="9.85546875" style="5" bestFit="1" customWidth="1"/>
    <col min="1832" max="1832" width="9.7109375" style="5" customWidth="1"/>
    <col min="1833" max="1834" width="10" style="5" customWidth="1"/>
    <col min="1835" max="1835" width="9.85546875" style="5" bestFit="1" customWidth="1"/>
    <col min="1836" max="1836" width="9.7109375" style="5" customWidth="1"/>
    <col min="1837" max="1838" width="10" style="5" customWidth="1"/>
    <col min="1839" max="1839" width="9.85546875" style="5" bestFit="1" customWidth="1"/>
    <col min="1840" max="1840" width="9.7109375" style="5" customWidth="1"/>
    <col min="1841" max="1842" width="10" style="5" customWidth="1"/>
    <col min="1843" max="1843" width="9.85546875" style="5" bestFit="1" customWidth="1"/>
    <col min="1844" max="1844" width="10.7109375" style="5" customWidth="1"/>
    <col min="1845" max="1845" width="13.140625" style="5" customWidth="1"/>
    <col min="1846" max="1846" width="10" style="5" bestFit="1" customWidth="1"/>
    <col min="1847" max="1847" width="9.85546875" style="5" bestFit="1" customWidth="1"/>
    <col min="1848" max="1848" width="9.7109375" style="5" bestFit="1" customWidth="1"/>
    <col min="1849" max="1850" width="10" style="5" bestFit="1" customWidth="1"/>
    <col min="1851" max="2046" width="9.140625" style="5"/>
    <col min="2047" max="2047" width="3.7109375" style="5" customWidth="1"/>
    <col min="2048" max="2048" width="14.42578125" style="5" customWidth="1"/>
    <col min="2049" max="2049" width="3.7109375" style="5" customWidth="1"/>
    <col min="2050" max="2050" width="9.5703125" style="5" customWidth="1"/>
    <col min="2051" max="2051" width="8.140625" style="5" customWidth="1"/>
    <col min="2052" max="2052" width="9.42578125" style="5" bestFit="1" customWidth="1"/>
    <col min="2053" max="2053" width="12.42578125" style="5" customWidth="1"/>
    <col min="2054" max="2054" width="4.140625" style="5" customWidth="1"/>
    <col min="2055" max="2055" width="16" style="5" customWidth="1"/>
    <col min="2056" max="2056" width="4" style="5" customWidth="1"/>
    <col min="2057" max="2065" width="8.140625" style="5" customWidth="1"/>
    <col min="2066" max="2066" width="10" style="5" customWidth="1"/>
    <col min="2067" max="2067" width="9.85546875" style="5" bestFit="1" customWidth="1"/>
    <col min="2068" max="2068" width="9.7109375" style="5" customWidth="1"/>
    <col min="2069" max="2070" width="10" style="5" customWidth="1"/>
    <col min="2071" max="2071" width="9.85546875" style="5" bestFit="1" customWidth="1"/>
    <col min="2072" max="2072" width="9.7109375" style="5" customWidth="1"/>
    <col min="2073" max="2074" width="10" style="5" customWidth="1"/>
    <col min="2075" max="2075" width="9.85546875" style="5" bestFit="1" customWidth="1"/>
    <col min="2076" max="2076" width="9.42578125" style="5" customWidth="1"/>
    <col min="2077" max="2078" width="10" style="5" customWidth="1"/>
    <col min="2079" max="2079" width="9.85546875" style="5" bestFit="1" customWidth="1"/>
    <col min="2080" max="2080" width="9.7109375" style="5" customWidth="1"/>
    <col min="2081" max="2082" width="10" style="5" customWidth="1"/>
    <col min="2083" max="2083" width="9.85546875" style="5" bestFit="1" customWidth="1"/>
    <col min="2084" max="2084" width="9.7109375" style="5" customWidth="1"/>
    <col min="2085" max="2086" width="10" style="5" customWidth="1"/>
    <col min="2087" max="2087" width="9.85546875" style="5" bestFit="1" customWidth="1"/>
    <col min="2088" max="2088" width="9.7109375" style="5" customWidth="1"/>
    <col min="2089" max="2090" width="10" style="5" customWidth="1"/>
    <col min="2091" max="2091" width="9.85546875" style="5" bestFit="1" customWidth="1"/>
    <col min="2092" max="2092" width="9.7109375" style="5" customWidth="1"/>
    <col min="2093" max="2094" width="10" style="5" customWidth="1"/>
    <col min="2095" max="2095" width="9.85546875" style="5" bestFit="1" customWidth="1"/>
    <col min="2096" max="2096" width="9.7109375" style="5" customWidth="1"/>
    <col min="2097" max="2098" width="10" style="5" customWidth="1"/>
    <col min="2099" max="2099" width="9.85546875" style="5" bestFit="1" customWidth="1"/>
    <col min="2100" max="2100" width="10.7109375" style="5" customWidth="1"/>
    <col min="2101" max="2101" width="13.140625" style="5" customWidth="1"/>
    <col min="2102" max="2102" width="10" style="5" bestFit="1" customWidth="1"/>
    <col min="2103" max="2103" width="9.85546875" style="5" bestFit="1" customWidth="1"/>
    <col min="2104" max="2104" width="9.7109375" style="5" bestFit="1" customWidth="1"/>
    <col min="2105" max="2106" width="10" style="5" bestFit="1" customWidth="1"/>
    <col min="2107" max="2302" width="9.140625" style="5"/>
    <col min="2303" max="2303" width="3.7109375" style="5" customWidth="1"/>
    <col min="2304" max="2304" width="14.42578125" style="5" customWidth="1"/>
    <col min="2305" max="2305" width="3.7109375" style="5" customWidth="1"/>
    <col min="2306" max="2306" width="9.5703125" style="5" customWidth="1"/>
    <col min="2307" max="2307" width="8.140625" style="5" customWidth="1"/>
    <col min="2308" max="2308" width="9.42578125" style="5" bestFit="1" customWidth="1"/>
    <col min="2309" max="2309" width="12.42578125" style="5" customWidth="1"/>
    <col min="2310" max="2310" width="4.140625" style="5" customWidth="1"/>
    <col min="2311" max="2311" width="16" style="5" customWidth="1"/>
    <col min="2312" max="2312" width="4" style="5" customWidth="1"/>
    <col min="2313" max="2321" width="8.140625" style="5" customWidth="1"/>
    <col min="2322" max="2322" width="10" style="5" customWidth="1"/>
    <col min="2323" max="2323" width="9.85546875" style="5" bestFit="1" customWidth="1"/>
    <col min="2324" max="2324" width="9.7109375" style="5" customWidth="1"/>
    <col min="2325" max="2326" width="10" style="5" customWidth="1"/>
    <col min="2327" max="2327" width="9.85546875" style="5" bestFit="1" customWidth="1"/>
    <col min="2328" max="2328" width="9.7109375" style="5" customWidth="1"/>
    <col min="2329" max="2330" width="10" style="5" customWidth="1"/>
    <col min="2331" max="2331" width="9.85546875" style="5" bestFit="1" customWidth="1"/>
    <col min="2332" max="2332" width="9.42578125" style="5" customWidth="1"/>
    <col min="2333" max="2334" width="10" style="5" customWidth="1"/>
    <col min="2335" max="2335" width="9.85546875" style="5" bestFit="1" customWidth="1"/>
    <col min="2336" max="2336" width="9.7109375" style="5" customWidth="1"/>
    <col min="2337" max="2338" width="10" style="5" customWidth="1"/>
    <col min="2339" max="2339" width="9.85546875" style="5" bestFit="1" customWidth="1"/>
    <col min="2340" max="2340" width="9.7109375" style="5" customWidth="1"/>
    <col min="2341" max="2342" width="10" style="5" customWidth="1"/>
    <col min="2343" max="2343" width="9.85546875" style="5" bestFit="1" customWidth="1"/>
    <col min="2344" max="2344" width="9.7109375" style="5" customWidth="1"/>
    <col min="2345" max="2346" width="10" style="5" customWidth="1"/>
    <col min="2347" max="2347" width="9.85546875" style="5" bestFit="1" customWidth="1"/>
    <col min="2348" max="2348" width="9.7109375" style="5" customWidth="1"/>
    <col min="2349" max="2350" width="10" style="5" customWidth="1"/>
    <col min="2351" max="2351" width="9.85546875" style="5" bestFit="1" customWidth="1"/>
    <col min="2352" max="2352" width="9.7109375" style="5" customWidth="1"/>
    <col min="2353" max="2354" width="10" style="5" customWidth="1"/>
    <col min="2355" max="2355" width="9.85546875" style="5" bestFit="1" customWidth="1"/>
    <col min="2356" max="2356" width="10.7109375" style="5" customWidth="1"/>
    <col min="2357" max="2357" width="13.140625" style="5" customWidth="1"/>
    <col min="2358" max="2358" width="10" style="5" bestFit="1" customWidth="1"/>
    <col min="2359" max="2359" width="9.85546875" style="5" bestFit="1" customWidth="1"/>
    <col min="2360" max="2360" width="9.7109375" style="5" bestFit="1" customWidth="1"/>
    <col min="2361" max="2362" width="10" style="5" bestFit="1" customWidth="1"/>
    <col min="2363" max="2558" width="9.140625" style="5"/>
    <col min="2559" max="2559" width="3.7109375" style="5" customWidth="1"/>
    <col min="2560" max="2560" width="14.42578125" style="5" customWidth="1"/>
    <col min="2561" max="2561" width="3.7109375" style="5" customWidth="1"/>
    <col min="2562" max="2562" width="9.5703125" style="5" customWidth="1"/>
    <col min="2563" max="2563" width="8.140625" style="5" customWidth="1"/>
    <col min="2564" max="2564" width="9.42578125" style="5" bestFit="1" customWidth="1"/>
    <col min="2565" max="2565" width="12.42578125" style="5" customWidth="1"/>
    <col min="2566" max="2566" width="4.140625" style="5" customWidth="1"/>
    <col min="2567" max="2567" width="16" style="5" customWidth="1"/>
    <col min="2568" max="2568" width="4" style="5" customWidth="1"/>
    <col min="2569" max="2577" width="8.140625" style="5" customWidth="1"/>
    <col min="2578" max="2578" width="10" style="5" customWidth="1"/>
    <col min="2579" max="2579" width="9.85546875" style="5" bestFit="1" customWidth="1"/>
    <col min="2580" max="2580" width="9.7109375" style="5" customWidth="1"/>
    <col min="2581" max="2582" width="10" style="5" customWidth="1"/>
    <col min="2583" max="2583" width="9.85546875" style="5" bestFit="1" customWidth="1"/>
    <col min="2584" max="2584" width="9.7109375" style="5" customWidth="1"/>
    <col min="2585" max="2586" width="10" style="5" customWidth="1"/>
    <col min="2587" max="2587" width="9.85546875" style="5" bestFit="1" customWidth="1"/>
    <col min="2588" max="2588" width="9.42578125" style="5" customWidth="1"/>
    <col min="2589" max="2590" width="10" style="5" customWidth="1"/>
    <col min="2591" max="2591" width="9.85546875" style="5" bestFit="1" customWidth="1"/>
    <col min="2592" max="2592" width="9.7109375" style="5" customWidth="1"/>
    <col min="2593" max="2594" width="10" style="5" customWidth="1"/>
    <col min="2595" max="2595" width="9.85546875" style="5" bestFit="1" customWidth="1"/>
    <col min="2596" max="2596" width="9.7109375" style="5" customWidth="1"/>
    <col min="2597" max="2598" width="10" style="5" customWidth="1"/>
    <col min="2599" max="2599" width="9.85546875" style="5" bestFit="1" customWidth="1"/>
    <col min="2600" max="2600" width="9.7109375" style="5" customWidth="1"/>
    <col min="2601" max="2602" width="10" style="5" customWidth="1"/>
    <col min="2603" max="2603" width="9.85546875" style="5" bestFit="1" customWidth="1"/>
    <col min="2604" max="2604" width="9.7109375" style="5" customWidth="1"/>
    <col min="2605" max="2606" width="10" style="5" customWidth="1"/>
    <col min="2607" max="2607" width="9.85546875" style="5" bestFit="1" customWidth="1"/>
    <col min="2608" max="2608" width="9.7109375" style="5" customWidth="1"/>
    <col min="2609" max="2610" width="10" style="5" customWidth="1"/>
    <col min="2611" max="2611" width="9.85546875" style="5" bestFit="1" customWidth="1"/>
    <col min="2612" max="2612" width="10.7109375" style="5" customWidth="1"/>
    <col min="2613" max="2613" width="13.140625" style="5" customWidth="1"/>
    <col min="2614" max="2614" width="10" style="5" bestFit="1" customWidth="1"/>
    <col min="2615" max="2615" width="9.85546875" style="5" bestFit="1" customWidth="1"/>
    <col min="2616" max="2616" width="9.7109375" style="5" bestFit="1" customWidth="1"/>
    <col min="2617" max="2618" width="10" style="5" bestFit="1" customWidth="1"/>
    <col min="2619" max="2814" width="9.140625" style="5"/>
    <col min="2815" max="2815" width="3.7109375" style="5" customWidth="1"/>
    <col min="2816" max="2816" width="14.42578125" style="5" customWidth="1"/>
    <col min="2817" max="2817" width="3.7109375" style="5" customWidth="1"/>
    <col min="2818" max="2818" width="9.5703125" style="5" customWidth="1"/>
    <col min="2819" max="2819" width="8.140625" style="5" customWidth="1"/>
    <col min="2820" max="2820" width="9.42578125" style="5" bestFit="1" customWidth="1"/>
    <col min="2821" max="2821" width="12.42578125" style="5" customWidth="1"/>
    <col min="2822" max="2822" width="4.140625" style="5" customWidth="1"/>
    <col min="2823" max="2823" width="16" style="5" customWidth="1"/>
    <col min="2824" max="2824" width="4" style="5" customWidth="1"/>
    <col min="2825" max="2833" width="8.140625" style="5" customWidth="1"/>
    <col min="2834" max="2834" width="10" style="5" customWidth="1"/>
    <col min="2835" max="2835" width="9.85546875" style="5" bestFit="1" customWidth="1"/>
    <col min="2836" max="2836" width="9.7109375" style="5" customWidth="1"/>
    <col min="2837" max="2838" width="10" style="5" customWidth="1"/>
    <col min="2839" max="2839" width="9.85546875" style="5" bestFit="1" customWidth="1"/>
    <col min="2840" max="2840" width="9.7109375" style="5" customWidth="1"/>
    <col min="2841" max="2842" width="10" style="5" customWidth="1"/>
    <col min="2843" max="2843" width="9.85546875" style="5" bestFit="1" customWidth="1"/>
    <col min="2844" max="2844" width="9.42578125" style="5" customWidth="1"/>
    <col min="2845" max="2846" width="10" style="5" customWidth="1"/>
    <col min="2847" max="2847" width="9.85546875" style="5" bestFit="1" customWidth="1"/>
    <col min="2848" max="2848" width="9.7109375" style="5" customWidth="1"/>
    <col min="2849" max="2850" width="10" style="5" customWidth="1"/>
    <col min="2851" max="2851" width="9.85546875" style="5" bestFit="1" customWidth="1"/>
    <col min="2852" max="2852" width="9.7109375" style="5" customWidth="1"/>
    <col min="2853" max="2854" width="10" style="5" customWidth="1"/>
    <col min="2855" max="2855" width="9.85546875" style="5" bestFit="1" customWidth="1"/>
    <col min="2856" max="2856" width="9.7109375" style="5" customWidth="1"/>
    <col min="2857" max="2858" width="10" style="5" customWidth="1"/>
    <col min="2859" max="2859" width="9.85546875" style="5" bestFit="1" customWidth="1"/>
    <col min="2860" max="2860" width="9.7109375" style="5" customWidth="1"/>
    <col min="2861" max="2862" width="10" style="5" customWidth="1"/>
    <col min="2863" max="2863" width="9.85546875" style="5" bestFit="1" customWidth="1"/>
    <col min="2864" max="2864" width="9.7109375" style="5" customWidth="1"/>
    <col min="2865" max="2866" width="10" style="5" customWidth="1"/>
    <col min="2867" max="2867" width="9.85546875" style="5" bestFit="1" customWidth="1"/>
    <col min="2868" max="2868" width="10.7109375" style="5" customWidth="1"/>
    <col min="2869" max="2869" width="13.140625" style="5" customWidth="1"/>
    <col min="2870" max="2870" width="10" style="5" bestFit="1" customWidth="1"/>
    <col min="2871" max="2871" width="9.85546875" style="5" bestFit="1" customWidth="1"/>
    <col min="2872" max="2872" width="9.7109375" style="5" bestFit="1" customWidth="1"/>
    <col min="2873" max="2874" width="10" style="5" bestFit="1" customWidth="1"/>
    <col min="2875" max="3070" width="9.140625" style="5"/>
    <col min="3071" max="3071" width="3.7109375" style="5" customWidth="1"/>
    <col min="3072" max="3072" width="14.42578125" style="5" customWidth="1"/>
    <col min="3073" max="3073" width="3.7109375" style="5" customWidth="1"/>
    <col min="3074" max="3074" width="9.5703125" style="5" customWidth="1"/>
    <col min="3075" max="3075" width="8.140625" style="5" customWidth="1"/>
    <col min="3076" max="3076" width="9.42578125" style="5" bestFit="1" customWidth="1"/>
    <col min="3077" max="3077" width="12.42578125" style="5" customWidth="1"/>
    <col min="3078" max="3078" width="4.140625" style="5" customWidth="1"/>
    <col min="3079" max="3079" width="16" style="5" customWidth="1"/>
    <col min="3080" max="3080" width="4" style="5" customWidth="1"/>
    <col min="3081" max="3089" width="8.140625" style="5" customWidth="1"/>
    <col min="3090" max="3090" width="10" style="5" customWidth="1"/>
    <col min="3091" max="3091" width="9.85546875" style="5" bestFit="1" customWidth="1"/>
    <col min="3092" max="3092" width="9.7109375" style="5" customWidth="1"/>
    <col min="3093" max="3094" width="10" style="5" customWidth="1"/>
    <col min="3095" max="3095" width="9.85546875" style="5" bestFit="1" customWidth="1"/>
    <col min="3096" max="3096" width="9.7109375" style="5" customWidth="1"/>
    <col min="3097" max="3098" width="10" style="5" customWidth="1"/>
    <col min="3099" max="3099" width="9.85546875" style="5" bestFit="1" customWidth="1"/>
    <col min="3100" max="3100" width="9.42578125" style="5" customWidth="1"/>
    <col min="3101" max="3102" width="10" style="5" customWidth="1"/>
    <col min="3103" max="3103" width="9.85546875" style="5" bestFit="1" customWidth="1"/>
    <col min="3104" max="3104" width="9.7109375" style="5" customWidth="1"/>
    <col min="3105" max="3106" width="10" style="5" customWidth="1"/>
    <col min="3107" max="3107" width="9.85546875" style="5" bestFit="1" customWidth="1"/>
    <col min="3108" max="3108" width="9.7109375" style="5" customWidth="1"/>
    <col min="3109" max="3110" width="10" style="5" customWidth="1"/>
    <col min="3111" max="3111" width="9.85546875" style="5" bestFit="1" customWidth="1"/>
    <col min="3112" max="3112" width="9.7109375" style="5" customWidth="1"/>
    <col min="3113" max="3114" width="10" style="5" customWidth="1"/>
    <col min="3115" max="3115" width="9.85546875" style="5" bestFit="1" customWidth="1"/>
    <col min="3116" max="3116" width="9.7109375" style="5" customWidth="1"/>
    <col min="3117" max="3118" width="10" style="5" customWidth="1"/>
    <col min="3119" max="3119" width="9.85546875" style="5" bestFit="1" customWidth="1"/>
    <col min="3120" max="3120" width="9.7109375" style="5" customWidth="1"/>
    <col min="3121" max="3122" width="10" style="5" customWidth="1"/>
    <col min="3123" max="3123" width="9.85546875" style="5" bestFit="1" customWidth="1"/>
    <col min="3124" max="3124" width="10.7109375" style="5" customWidth="1"/>
    <col min="3125" max="3125" width="13.140625" style="5" customWidth="1"/>
    <col min="3126" max="3126" width="10" style="5" bestFit="1" customWidth="1"/>
    <col min="3127" max="3127" width="9.85546875" style="5" bestFit="1" customWidth="1"/>
    <col min="3128" max="3128" width="9.7109375" style="5" bestFit="1" customWidth="1"/>
    <col min="3129" max="3130" width="10" style="5" bestFit="1" customWidth="1"/>
    <col min="3131" max="3326" width="9.140625" style="5"/>
    <col min="3327" max="3327" width="3.7109375" style="5" customWidth="1"/>
    <col min="3328" max="3328" width="14.42578125" style="5" customWidth="1"/>
    <col min="3329" max="3329" width="3.7109375" style="5" customWidth="1"/>
    <col min="3330" max="3330" width="9.5703125" style="5" customWidth="1"/>
    <col min="3331" max="3331" width="8.140625" style="5" customWidth="1"/>
    <col min="3332" max="3332" width="9.42578125" style="5" bestFit="1" customWidth="1"/>
    <col min="3333" max="3333" width="12.42578125" style="5" customWidth="1"/>
    <col min="3334" max="3334" width="4.140625" style="5" customWidth="1"/>
    <col min="3335" max="3335" width="16" style="5" customWidth="1"/>
    <col min="3336" max="3336" width="4" style="5" customWidth="1"/>
    <col min="3337" max="3345" width="8.140625" style="5" customWidth="1"/>
    <col min="3346" max="3346" width="10" style="5" customWidth="1"/>
    <col min="3347" max="3347" width="9.85546875" style="5" bestFit="1" customWidth="1"/>
    <col min="3348" max="3348" width="9.7109375" style="5" customWidth="1"/>
    <col min="3349" max="3350" width="10" style="5" customWidth="1"/>
    <col min="3351" max="3351" width="9.85546875" style="5" bestFit="1" customWidth="1"/>
    <col min="3352" max="3352" width="9.7109375" style="5" customWidth="1"/>
    <col min="3353" max="3354" width="10" style="5" customWidth="1"/>
    <col min="3355" max="3355" width="9.85546875" style="5" bestFit="1" customWidth="1"/>
    <col min="3356" max="3356" width="9.42578125" style="5" customWidth="1"/>
    <col min="3357" max="3358" width="10" style="5" customWidth="1"/>
    <col min="3359" max="3359" width="9.85546875" style="5" bestFit="1" customWidth="1"/>
    <col min="3360" max="3360" width="9.7109375" style="5" customWidth="1"/>
    <col min="3361" max="3362" width="10" style="5" customWidth="1"/>
    <col min="3363" max="3363" width="9.85546875" style="5" bestFit="1" customWidth="1"/>
    <col min="3364" max="3364" width="9.7109375" style="5" customWidth="1"/>
    <col min="3365" max="3366" width="10" style="5" customWidth="1"/>
    <col min="3367" max="3367" width="9.85546875" style="5" bestFit="1" customWidth="1"/>
    <col min="3368" max="3368" width="9.7109375" style="5" customWidth="1"/>
    <col min="3369" max="3370" width="10" style="5" customWidth="1"/>
    <col min="3371" max="3371" width="9.85546875" style="5" bestFit="1" customWidth="1"/>
    <col min="3372" max="3372" width="9.7109375" style="5" customWidth="1"/>
    <col min="3373" max="3374" width="10" style="5" customWidth="1"/>
    <col min="3375" max="3375" width="9.85546875" style="5" bestFit="1" customWidth="1"/>
    <col min="3376" max="3376" width="9.7109375" style="5" customWidth="1"/>
    <col min="3377" max="3378" width="10" style="5" customWidth="1"/>
    <col min="3379" max="3379" width="9.85546875" style="5" bestFit="1" customWidth="1"/>
    <col min="3380" max="3380" width="10.7109375" style="5" customWidth="1"/>
    <col min="3381" max="3381" width="13.140625" style="5" customWidth="1"/>
    <col min="3382" max="3382" width="10" style="5" bestFit="1" customWidth="1"/>
    <col min="3383" max="3383" width="9.85546875" style="5" bestFit="1" customWidth="1"/>
    <col min="3384" max="3384" width="9.7109375" style="5" bestFit="1" customWidth="1"/>
    <col min="3385" max="3386" width="10" style="5" bestFit="1" customWidth="1"/>
    <col min="3387" max="3582" width="9.140625" style="5"/>
    <col min="3583" max="3583" width="3.7109375" style="5" customWidth="1"/>
    <col min="3584" max="3584" width="14.42578125" style="5" customWidth="1"/>
    <col min="3585" max="3585" width="3.7109375" style="5" customWidth="1"/>
    <col min="3586" max="3586" width="9.5703125" style="5" customWidth="1"/>
    <col min="3587" max="3587" width="8.140625" style="5" customWidth="1"/>
    <col min="3588" max="3588" width="9.42578125" style="5" bestFit="1" customWidth="1"/>
    <col min="3589" max="3589" width="12.42578125" style="5" customWidth="1"/>
    <col min="3590" max="3590" width="4.140625" style="5" customWidth="1"/>
    <col min="3591" max="3591" width="16" style="5" customWidth="1"/>
    <col min="3592" max="3592" width="4" style="5" customWidth="1"/>
    <col min="3593" max="3601" width="8.140625" style="5" customWidth="1"/>
    <col min="3602" max="3602" width="10" style="5" customWidth="1"/>
    <col min="3603" max="3603" width="9.85546875" style="5" bestFit="1" customWidth="1"/>
    <col min="3604" max="3604" width="9.7109375" style="5" customWidth="1"/>
    <col min="3605" max="3606" width="10" style="5" customWidth="1"/>
    <col min="3607" max="3607" width="9.85546875" style="5" bestFit="1" customWidth="1"/>
    <col min="3608" max="3608" width="9.7109375" style="5" customWidth="1"/>
    <col min="3609" max="3610" width="10" style="5" customWidth="1"/>
    <col min="3611" max="3611" width="9.85546875" style="5" bestFit="1" customWidth="1"/>
    <col min="3612" max="3612" width="9.42578125" style="5" customWidth="1"/>
    <col min="3613" max="3614" width="10" style="5" customWidth="1"/>
    <col min="3615" max="3615" width="9.85546875" style="5" bestFit="1" customWidth="1"/>
    <col min="3616" max="3616" width="9.7109375" style="5" customWidth="1"/>
    <col min="3617" max="3618" width="10" style="5" customWidth="1"/>
    <col min="3619" max="3619" width="9.85546875" style="5" bestFit="1" customWidth="1"/>
    <col min="3620" max="3620" width="9.7109375" style="5" customWidth="1"/>
    <col min="3621" max="3622" width="10" style="5" customWidth="1"/>
    <col min="3623" max="3623" width="9.85546875" style="5" bestFit="1" customWidth="1"/>
    <col min="3624" max="3624" width="9.7109375" style="5" customWidth="1"/>
    <col min="3625" max="3626" width="10" style="5" customWidth="1"/>
    <col min="3627" max="3627" width="9.85546875" style="5" bestFit="1" customWidth="1"/>
    <col min="3628" max="3628" width="9.7109375" style="5" customWidth="1"/>
    <col min="3629" max="3630" width="10" style="5" customWidth="1"/>
    <col min="3631" max="3631" width="9.85546875" style="5" bestFit="1" customWidth="1"/>
    <col min="3632" max="3632" width="9.7109375" style="5" customWidth="1"/>
    <col min="3633" max="3634" width="10" style="5" customWidth="1"/>
    <col min="3635" max="3635" width="9.85546875" style="5" bestFit="1" customWidth="1"/>
    <col min="3636" max="3636" width="10.7109375" style="5" customWidth="1"/>
    <col min="3637" max="3637" width="13.140625" style="5" customWidth="1"/>
    <col min="3638" max="3638" width="10" style="5" bestFit="1" customWidth="1"/>
    <col min="3639" max="3639" width="9.85546875" style="5" bestFit="1" customWidth="1"/>
    <col min="3640" max="3640" width="9.7109375" style="5" bestFit="1" customWidth="1"/>
    <col min="3641" max="3642" width="10" style="5" bestFit="1" customWidth="1"/>
    <col min="3643" max="3838" width="9.140625" style="5"/>
    <col min="3839" max="3839" width="3.7109375" style="5" customWidth="1"/>
    <col min="3840" max="3840" width="14.42578125" style="5" customWidth="1"/>
    <col min="3841" max="3841" width="3.7109375" style="5" customWidth="1"/>
    <col min="3842" max="3842" width="9.5703125" style="5" customWidth="1"/>
    <col min="3843" max="3843" width="8.140625" style="5" customWidth="1"/>
    <col min="3844" max="3844" width="9.42578125" style="5" bestFit="1" customWidth="1"/>
    <col min="3845" max="3845" width="12.42578125" style="5" customWidth="1"/>
    <col min="3846" max="3846" width="4.140625" style="5" customWidth="1"/>
    <col min="3847" max="3847" width="16" style="5" customWidth="1"/>
    <col min="3848" max="3848" width="4" style="5" customWidth="1"/>
    <col min="3849" max="3857" width="8.140625" style="5" customWidth="1"/>
    <col min="3858" max="3858" width="10" style="5" customWidth="1"/>
    <col min="3859" max="3859" width="9.85546875" style="5" bestFit="1" customWidth="1"/>
    <col min="3860" max="3860" width="9.7109375" style="5" customWidth="1"/>
    <col min="3861" max="3862" width="10" style="5" customWidth="1"/>
    <col min="3863" max="3863" width="9.85546875" style="5" bestFit="1" customWidth="1"/>
    <col min="3864" max="3864" width="9.7109375" style="5" customWidth="1"/>
    <col min="3865" max="3866" width="10" style="5" customWidth="1"/>
    <col min="3867" max="3867" width="9.85546875" style="5" bestFit="1" customWidth="1"/>
    <col min="3868" max="3868" width="9.42578125" style="5" customWidth="1"/>
    <col min="3869" max="3870" width="10" style="5" customWidth="1"/>
    <col min="3871" max="3871" width="9.85546875" style="5" bestFit="1" customWidth="1"/>
    <col min="3872" max="3872" width="9.7109375" style="5" customWidth="1"/>
    <col min="3873" max="3874" width="10" style="5" customWidth="1"/>
    <col min="3875" max="3875" width="9.85546875" style="5" bestFit="1" customWidth="1"/>
    <col min="3876" max="3876" width="9.7109375" style="5" customWidth="1"/>
    <col min="3877" max="3878" width="10" style="5" customWidth="1"/>
    <col min="3879" max="3879" width="9.85546875" style="5" bestFit="1" customWidth="1"/>
    <col min="3880" max="3880" width="9.7109375" style="5" customWidth="1"/>
    <col min="3881" max="3882" width="10" style="5" customWidth="1"/>
    <col min="3883" max="3883" width="9.85546875" style="5" bestFit="1" customWidth="1"/>
    <col min="3884" max="3884" width="9.7109375" style="5" customWidth="1"/>
    <col min="3885" max="3886" width="10" style="5" customWidth="1"/>
    <col min="3887" max="3887" width="9.85546875" style="5" bestFit="1" customWidth="1"/>
    <col min="3888" max="3888" width="9.7109375" style="5" customWidth="1"/>
    <col min="3889" max="3890" width="10" style="5" customWidth="1"/>
    <col min="3891" max="3891" width="9.85546875" style="5" bestFit="1" customWidth="1"/>
    <col min="3892" max="3892" width="10.7109375" style="5" customWidth="1"/>
    <col min="3893" max="3893" width="13.140625" style="5" customWidth="1"/>
    <col min="3894" max="3894" width="10" style="5" bestFit="1" customWidth="1"/>
    <col min="3895" max="3895" width="9.85546875" style="5" bestFit="1" customWidth="1"/>
    <col min="3896" max="3896" width="9.7109375" style="5" bestFit="1" customWidth="1"/>
    <col min="3897" max="3898" width="10" style="5" bestFit="1" customWidth="1"/>
    <col min="3899" max="4094" width="9.140625" style="5"/>
    <col min="4095" max="4095" width="3.7109375" style="5" customWidth="1"/>
    <col min="4096" max="4096" width="14.42578125" style="5" customWidth="1"/>
    <col min="4097" max="4097" width="3.7109375" style="5" customWidth="1"/>
    <col min="4098" max="4098" width="9.5703125" style="5" customWidth="1"/>
    <col min="4099" max="4099" width="8.140625" style="5" customWidth="1"/>
    <col min="4100" max="4100" width="9.42578125" style="5" bestFit="1" customWidth="1"/>
    <col min="4101" max="4101" width="12.42578125" style="5" customWidth="1"/>
    <col min="4102" max="4102" width="4.140625" style="5" customWidth="1"/>
    <col min="4103" max="4103" width="16" style="5" customWidth="1"/>
    <col min="4104" max="4104" width="4" style="5" customWidth="1"/>
    <col min="4105" max="4113" width="8.140625" style="5" customWidth="1"/>
    <col min="4114" max="4114" width="10" style="5" customWidth="1"/>
    <col min="4115" max="4115" width="9.85546875" style="5" bestFit="1" customWidth="1"/>
    <col min="4116" max="4116" width="9.7109375" style="5" customWidth="1"/>
    <col min="4117" max="4118" width="10" style="5" customWidth="1"/>
    <col min="4119" max="4119" width="9.85546875" style="5" bestFit="1" customWidth="1"/>
    <col min="4120" max="4120" width="9.7109375" style="5" customWidth="1"/>
    <col min="4121" max="4122" width="10" style="5" customWidth="1"/>
    <col min="4123" max="4123" width="9.85546875" style="5" bestFit="1" customWidth="1"/>
    <col min="4124" max="4124" width="9.42578125" style="5" customWidth="1"/>
    <col min="4125" max="4126" width="10" style="5" customWidth="1"/>
    <col min="4127" max="4127" width="9.85546875" style="5" bestFit="1" customWidth="1"/>
    <col min="4128" max="4128" width="9.7109375" style="5" customWidth="1"/>
    <col min="4129" max="4130" width="10" style="5" customWidth="1"/>
    <col min="4131" max="4131" width="9.85546875" style="5" bestFit="1" customWidth="1"/>
    <col min="4132" max="4132" width="9.7109375" style="5" customWidth="1"/>
    <col min="4133" max="4134" width="10" style="5" customWidth="1"/>
    <col min="4135" max="4135" width="9.85546875" style="5" bestFit="1" customWidth="1"/>
    <col min="4136" max="4136" width="9.7109375" style="5" customWidth="1"/>
    <col min="4137" max="4138" width="10" style="5" customWidth="1"/>
    <col min="4139" max="4139" width="9.85546875" style="5" bestFit="1" customWidth="1"/>
    <col min="4140" max="4140" width="9.7109375" style="5" customWidth="1"/>
    <col min="4141" max="4142" width="10" style="5" customWidth="1"/>
    <col min="4143" max="4143" width="9.85546875" style="5" bestFit="1" customWidth="1"/>
    <col min="4144" max="4144" width="9.7109375" style="5" customWidth="1"/>
    <col min="4145" max="4146" width="10" style="5" customWidth="1"/>
    <col min="4147" max="4147" width="9.85546875" style="5" bestFit="1" customWidth="1"/>
    <col min="4148" max="4148" width="10.7109375" style="5" customWidth="1"/>
    <col min="4149" max="4149" width="13.140625" style="5" customWidth="1"/>
    <col min="4150" max="4150" width="10" style="5" bestFit="1" customWidth="1"/>
    <col min="4151" max="4151" width="9.85546875" style="5" bestFit="1" customWidth="1"/>
    <col min="4152" max="4152" width="9.7109375" style="5" bestFit="1" customWidth="1"/>
    <col min="4153" max="4154" width="10" style="5" bestFit="1" customWidth="1"/>
    <col min="4155" max="4350" width="9.140625" style="5"/>
    <col min="4351" max="4351" width="3.7109375" style="5" customWidth="1"/>
    <col min="4352" max="4352" width="14.42578125" style="5" customWidth="1"/>
    <col min="4353" max="4353" width="3.7109375" style="5" customWidth="1"/>
    <col min="4354" max="4354" width="9.5703125" style="5" customWidth="1"/>
    <col min="4355" max="4355" width="8.140625" style="5" customWidth="1"/>
    <col min="4356" max="4356" width="9.42578125" style="5" bestFit="1" customWidth="1"/>
    <col min="4357" max="4357" width="12.42578125" style="5" customWidth="1"/>
    <col min="4358" max="4358" width="4.140625" style="5" customWidth="1"/>
    <col min="4359" max="4359" width="16" style="5" customWidth="1"/>
    <col min="4360" max="4360" width="4" style="5" customWidth="1"/>
    <col min="4361" max="4369" width="8.140625" style="5" customWidth="1"/>
    <col min="4370" max="4370" width="10" style="5" customWidth="1"/>
    <col min="4371" max="4371" width="9.85546875" style="5" bestFit="1" customWidth="1"/>
    <col min="4372" max="4372" width="9.7109375" style="5" customWidth="1"/>
    <col min="4373" max="4374" width="10" style="5" customWidth="1"/>
    <col min="4375" max="4375" width="9.85546875" style="5" bestFit="1" customWidth="1"/>
    <col min="4376" max="4376" width="9.7109375" style="5" customWidth="1"/>
    <col min="4377" max="4378" width="10" style="5" customWidth="1"/>
    <col min="4379" max="4379" width="9.85546875" style="5" bestFit="1" customWidth="1"/>
    <col min="4380" max="4380" width="9.42578125" style="5" customWidth="1"/>
    <col min="4381" max="4382" width="10" style="5" customWidth="1"/>
    <col min="4383" max="4383" width="9.85546875" style="5" bestFit="1" customWidth="1"/>
    <col min="4384" max="4384" width="9.7109375" style="5" customWidth="1"/>
    <col min="4385" max="4386" width="10" style="5" customWidth="1"/>
    <col min="4387" max="4387" width="9.85546875" style="5" bestFit="1" customWidth="1"/>
    <col min="4388" max="4388" width="9.7109375" style="5" customWidth="1"/>
    <col min="4389" max="4390" width="10" style="5" customWidth="1"/>
    <col min="4391" max="4391" width="9.85546875" style="5" bestFit="1" customWidth="1"/>
    <col min="4392" max="4392" width="9.7109375" style="5" customWidth="1"/>
    <col min="4393" max="4394" width="10" style="5" customWidth="1"/>
    <col min="4395" max="4395" width="9.85546875" style="5" bestFit="1" customWidth="1"/>
    <col min="4396" max="4396" width="9.7109375" style="5" customWidth="1"/>
    <col min="4397" max="4398" width="10" style="5" customWidth="1"/>
    <col min="4399" max="4399" width="9.85546875" style="5" bestFit="1" customWidth="1"/>
    <col min="4400" max="4400" width="9.7109375" style="5" customWidth="1"/>
    <col min="4401" max="4402" width="10" style="5" customWidth="1"/>
    <col min="4403" max="4403" width="9.85546875" style="5" bestFit="1" customWidth="1"/>
    <col min="4404" max="4404" width="10.7109375" style="5" customWidth="1"/>
    <col min="4405" max="4405" width="13.140625" style="5" customWidth="1"/>
    <col min="4406" max="4406" width="10" style="5" bestFit="1" customWidth="1"/>
    <col min="4407" max="4407" width="9.85546875" style="5" bestFit="1" customWidth="1"/>
    <col min="4408" max="4408" width="9.7109375" style="5" bestFit="1" customWidth="1"/>
    <col min="4409" max="4410" width="10" style="5" bestFit="1" customWidth="1"/>
    <col min="4411" max="4606" width="9.140625" style="5"/>
    <col min="4607" max="4607" width="3.7109375" style="5" customWidth="1"/>
    <col min="4608" max="4608" width="14.42578125" style="5" customWidth="1"/>
    <col min="4609" max="4609" width="3.7109375" style="5" customWidth="1"/>
    <col min="4610" max="4610" width="9.5703125" style="5" customWidth="1"/>
    <col min="4611" max="4611" width="8.140625" style="5" customWidth="1"/>
    <col min="4612" max="4612" width="9.42578125" style="5" bestFit="1" customWidth="1"/>
    <col min="4613" max="4613" width="12.42578125" style="5" customWidth="1"/>
    <col min="4614" max="4614" width="4.140625" style="5" customWidth="1"/>
    <col min="4615" max="4615" width="16" style="5" customWidth="1"/>
    <col min="4616" max="4616" width="4" style="5" customWidth="1"/>
    <col min="4617" max="4625" width="8.140625" style="5" customWidth="1"/>
    <col min="4626" max="4626" width="10" style="5" customWidth="1"/>
    <col min="4627" max="4627" width="9.85546875" style="5" bestFit="1" customWidth="1"/>
    <col min="4628" max="4628" width="9.7109375" style="5" customWidth="1"/>
    <col min="4629" max="4630" width="10" style="5" customWidth="1"/>
    <col min="4631" max="4631" width="9.85546875" style="5" bestFit="1" customWidth="1"/>
    <col min="4632" max="4632" width="9.7109375" style="5" customWidth="1"/>
    <col min="4633" max="4634" width="10" style="5" customWidth="1"/>
    <col min="4635" max="4635" width="9.85546875" style="5" bestFit="1" customWidth="1"/>
    <col min="4636" max="4636" width="9.42578125" style="5" customWidth="1"/>
    <col min="4637" max="4638" width="10" style="5" customWidth="1"/>
    <col min="4639" max="4639" width="9.85546875" style="5" bestFit="1" customWidth="1"/>
    <col min="4640" max="4640" width="9.7109375" style="5" customWidth="1"/>
    <col min="4641" max="4642" width="10" style="5" customWidth="1"/>
    <col min="4643" max="4643" width="9.85546875" style="5" bestFit="1" customWidth="1"/>
    <col min="4644" max="4644" width="9.7109375" style="5" customWidth="1"/>
    <col min="4645" max="4646" width="10" style="5" customWidth="1"/>
    <col min="4647" max="4647" width="9.85546875" style="5" bestFit="1" customWidth="1"/>
    <col min="4648" max="4648" width="9.7109375" style="5" customWidth="1"/>
    <col min="4649" max="4650" width="10" style="5" customWidth="1"/>
    <col min="4651" max="4651" width="9.85546875" style="5" bestFit="1" customWidth="1"/>
    <col min="4652" max="4652" width="9.7109375" style="5" customWidth="1"/>
    <col min="4653" max="4654" width="10" style="5" customWidth="1"/>
    <col min="4655" max="4655" width="9.85546875" style="5" bestFit="1" customWidth="1"/>
    <col min="4656" max="4656" width="9.7109375" style="5" customWidth="1"/>
    <col min="4657" max="4658" width="10" style="5" customWidth="1"/>
    <col min="4659" max="4659" width="9.85546875" style="5" bestFit="1" customWidth="1"/>
    <col min="4660" max="4660" width="10.7109375" style="5" customWidth="1"/>
    <col min="4661" max="4661" width="13.140625" style="5" customWidth="1"/>
    <col min="4662" max="4662" width="10" style="5" bestFit="1" customWidth="1"/>
    <col min="4663" max="4663" width="9.85546875" style="5" bestFit="1" customWidth="1"/>
    <col min="4664" max="4664" width="9.7109375" style="5" bestFit="1" customWidth="1"/>
    <col min="4665" max="4666" width="10" style="5" bestFit="1" customWidth="1"/>
    <col min="4667" max="4862" width="9.140625" style="5"/>
    <col min="4863" max="4863" width="3.7109375" style="5" customWidth="1"/>
    <col min="4864" max="4864" width="14.42578125" style="5" customWidth="1"/>
    <col min="4865" max="4865" width="3.7109375" style="5" customWidth="1"/>
    <col min="4866" max="4866" width="9.5703125" style="5" customWidth="1"/>
    <col min="4867" max="4867" width="8.140625" style="5" customWidth="1"/>
    <col min="4868" max="4868" width="9.42578125" style="5" bestFit="1" customWidth="1"/>
    <col min="4869" max="4869" width="12.42578125" style="5" customWidth="1"/>
    <col min="4870" max="4870" width="4.140625" style="5" customWidth="1"/>
    <col min="4871" max="4871" width="16" style="5" customWidth="1"/>
    <col min="4872" max="4872" width="4" style="5" customWidth="1"/>
    <col min="4873" max="4881" width="8.140625" style="5" customWidth="1"/>
    <col min="4882" max="4882" width="10" style="5" customWidth="1"/>
    <col min="4883" max="4883" width="9.85546875" style="5" bestFit="1" customWidth="1"/>
    <col min="4884" max="4884" width="9.7109375" style="5" customWidth="1"/>
    <col min="4885" max="4886" width="10" style="5" customWidth="1"/>
    <col min="4887" max="4887" width="9.85546875" style="5" bestFit="1" customWidth="1"/>
    <col min="4888" max="4888" width="9.7109375" style="5" customWidth="1"/>
    <col min="4889" max="4890" width="10" style="5" customWidth="1"/>
    <col min="4891" max="4891" width="9.85546875" style="5" bestFit="1" customWidth="1"/>
    <col min="4892" max="4892" width="9.42578125" style="5" customWidth="1"/>
    <col min="4893" max="4894" width="10" style="5" customWidth="1"/>
    <col min="4895" max="4895" width="9.85546875" style="5" bestFit="1" customWidth="1"/>
    <col min="4896" max="4896" width="9.7109375" style="5" customWidth="1"/>
    <col min="4897" max="4898" width="10" style="5" customWidth="1"/>
    <col min="4899" max="4899" width="9.85546875" style="5" bestFit="1" customWidth="1"/>
    <col min="4900" max="4900" width="9.7109375" style="5" customWidth="1"/>
    <col min="4901" max="4902" width="10" style="5" customWidth="1"/>
    <col min="4903" max="4903" width="9.85546875" style="5" bestFit="1" customWidth="1"/>
    <col min="4904" max="4904" width="9.7109375" style="5" customWidth="1"/>
    <col min="4905" max="4906" width="10" style="5" customWidth="1"/>
    <col min="4907" max="4907" width="9.85546875" style="5" bestFit="1" customWidth="1"/>
    <col min="4908" max="4908" width="9.7109375" style="5" customWidth="1"/>
    <col min="4909" max="4910" width="10" style="5" customWidth="1"/>
    <col min="4911" max="4911" width="9.85546875" style="5" bestFit="1" customWidth="1"/>
    <col min="4912" max="4912" width="9.7109375" style="5" customWidth="1"/>
    <col min="4913" max="4914" width="10" style="5" customWidth="1"/>
    <col min="4915" max="4915" width="9.85546875" style="5" bestFit="1" customWidth="1"/>
    <col min="4916" max="4916" width="10.7109375" style="5" customWidth="1"/>
    <col min="4917" max="4917" width="13.140625" style="5" customWidth="1"/>
    <col min="4918" max="4918" width="10" style="5" bestFit="1" customWidth="1"/>
    <col min="4919" max="4919" width="9.85546875" style="5" bestFit="1" customWidth="1"/>
    <col min="4920" max="4920" width="9.7109375" style="5" bestFit="1" customWidth="1"/>
    <col min="4921" max="4922" width="10" style="5" bestFit="1" customWidth="1"/>
    <col min="4923" max="5118" width="9.140625" style="5"/>
    <col min="5119" max="5119" width="3.7109375" style="5" customWidth="1"/>
    <col min="5120" max="5120" width="14.42578125" style="5" customWidth="1"/>
    <col min="5121" max="5121" width="3.7109375" style="5" customWidth="1"/>
    <col min="5122" max="5122" width="9.5703125" style="5" customWidth="1"/>
    <col min="5123" max="5123" width="8.140625" style="5" customWidth="1"/>
    <col min="5124" max="5124" width="9.42578125" style="5" bestFit="1" customWidth="1"/>
    <col min="5125" max="5125" width="12.42578125" style="5" customWidth="1"/>
    <col min="5126" max="5126" width="4.140625" style="5" customWidth="1"/>
    <col min="5127" max="5127" width="16" style="5" customWidth="1"/>
    <col min="5128" max="5128" width="4" style="5" customWidth="1"/>
    <col min="5129" max="5137" width="8.140625" style="5" customWidth="1"/>
    <col min="5138" max="5138" width="10" style="5" customWidth="1"/>
    <col min="5139" max="5139" width="9.85546875" style="5" bestFit="1" customWidth="1"/>
    <col min="5140" max="5140" width="9.7109375" style="5" customWidth="1"/>
    <col min="5141" max="5142" width="10" style="5" customWidth="1"/>
    <col min="5143" max="5143" width="9.85546875" style="5" bestFit="1" customWidth="1"/>
    <col min="5144" max="5144" width="9.7109375" style="5" customWidth="1"/>
    <col min="5145" max="5146" width="10" style="5" customWidth="1"/>
    <col min="5147" max="5147" width="9.85546875" style="5" bestFit="1" customWidth="1"/>
    <col min="5148" max="5148" width="9.42578125" style="5" customWidth="1"/>
    <col min="5149" max="5150" width="10" style="5" customWidth="1"/>
    <col min="5151" max="5151" width="9.85546875" style="5" bestFit="1" customWidth="1"/>
    <col min="5152" max="5152" width="9.7109375" style="5" customWidth="1"/>
    <col min="5153" max="5154" width="10" style="5" customWidth="1"/>
    <col min="5155" max="5155" width="9.85546875" style="5" bestFit="1" customWidth="1"/>
    <col min="5156" max="5156" width="9.7109375" style="5" customWidth="1"/>
    <col min="5157" max="5158" width="10" style="5" customWidth="1"/>
    <col min="5159" max="5159" width="9.85546875" style="5" bestFit="1" customWidth="1"/>
    <col min="5160" max="5160" width="9.7109375" style="5" customWidth="1"/>
    <col min="5161" max="5162" width="10" style="5" customWidth="1"/>
    <col min="5163" max="5163" width="9.85546875" style="5" bestFit="1" customWidth="1"/>
    <col min="5164" max="5164" width="9.7109375" style="5" customWidth="1"/>
    <col min="5165" max="5166" width="10" style="5" customWidth="1"/>
    <col min="5167" max="5167" width="9.85546875" style="5" bestFit="1" customWidth="1"/>
    <col min="5168" max="5168" width="9.7109375" style="5" customWidth="1"/>
    <col min="5169" max="5170" width="10" style="5" customWidth="1"/>
    <col min="5171" max="5171" width="9.85546875" style="5" bestFit="1" customWidth="1"/>
    <col min="5172" max="5172" width="10.7109375" style="5" customWidth="1"/>
    <col min="5173" max="5173" width="13.140625" style="5" customWidth="1"/>
    <col min="5174" max="5174" width="10" style="5" bestFit="1" customWidth="1"/>
    <col min="5175" max="5175" width="9.85546875" style="5" bestFit="1" customWidth="1"/>
    <col min="5176" max="5176" width="9.7109375" style="5" bestFit="1" customWidth="1"/>
    <col min="5177" max="5178" width="10" style="5" bestFit="1" customWidth="1"/>
    <col min="5179" max="5374" width="9.140625" style="5"/>
    <col min="5375" max="5375" width="3.7109375" style="5" customWidth="1"/>
    <col min="5376" max="5376" width="14.42578125" style="5" customWidth="1"/>
    <col min="5377" max="5377" width="3.7109375" style="5" customWidth="1"/>
    <col min="5378" max="5378" width="9.5703125" style="5" customWidth="1"/>
    <col min="5379" max="5379" width="8.140625" style="5" customWidth="1"/>
    <col min="5380" max="5380" width="9.42578125" style="5" bestFit="1" customWidth="1"/>
    <col min="5381" max="5381" width="12.42578125" style="5" customWidth="1"/>
    <col min="5382" max="5382" width="4.140625" style="5" customWidth="1"/>
    <col min="5383" max="5383" width="16" style="5" customWidth="1"/>
    <col min="5384" max="5384" width="4" style="5" customWidth="1"/>
    <col min="5385" max="5393" width="8.140625" style="5" customWidth="1"/>
    <col min="5394" max="5394" width="10" style="5" customWidth="1"/>
    <col min="5395" max="5395" width="9.85546875" style="5" bestFit="1" customWidth="1"/>
    <col min="5396" max="5396" width="9.7109375" style="5" customWidth="1"/>
    <col min="5397" max="5398" width="10" style="5" customWidth="1"/>
    <col min="5399" max="5399" width="9.85546875" style="5" bestFit="1" customWidth="1"/>
    <col min="5400" max="5400" width="9.7109375" style="5" customWidth="1"/>
    <col min="5401" max="5402" width="10" style="5" customWidth="1"/>
    <col min="5403" max="5403" width="9.85546875" style="5" bestFit="1" customWidth="1"/>
    <col min="5404" max="5404" width="9.42578125" style="5" customWidth="1"/>
    <col min="5405" max="5406" width="10" style="5" customWidth="1"/>
    <col min="5407" max="5407" width="9.85546875" style="5" bestFit="1" customWidth="1"/>
    <col min="5408" max="5408" width="9.7109375" style="5" customWidth="1"/>
    <col min="5409" max="5410" width="10" style="5" customWidth="1"/>
    <col min="5411" max="5411" width="9.85546875" style="5" bestFit="1" customWidth="1"/>
    <col min="5412" max="5412" width="9.7109375" style="5" customWidth="1"/>
    <col min="5413" max="5414" width="10" style="5" customWidth="1"/>
    <col min="5415" max="5415" width="9.85546875" style="5" bestFit="1" customWidth="1"/>
    <col min="5416" max="5416" width="9.7109375" style="5" customWidth="1"/>
    <col min="5417" max="5418" width="10" style="5" customWidth="1"/>
    <col min="5419" max="5419" width="9.85546875" style="5" bestFit="1" customWidth="1"/>
    <col min="5420" max="5420" width="9.7109375" style="5" customWidth="1"/>
    <col min="5421" max="5422" width="10" style="5" customWidth="1"/>
    <col min="5423" max="5423" width="9.85546875" style="5" bestFit="1" customWidth="1"/>
    <col min="5424" max="5424" width="9.7109375" style="5" customWidth="1"/>
    <col min="5425" max="5426" width="10" style="5" customWidth="1"/>
    <col min="5427" max="5427" width="9.85546875" style="5" bestFit="1" customWidth="1"/>
    <col min="5428" max="5428" width="10.7109375" style="5" customWidth="1"/>
    <col min="5429" max="5429" width="13.140625" style="5" customWidth="1"/>
    <col min="5430" max="5430" width="10" style="5" bestFit="1" customWidth="1"/>
    <col min="5431" max="5431" width="9.85546875" style="5" bestFit="1" customWidth="1"/>
    <col min="5432" max="5432" width="9.7109375" style="5" bestFit="1" customWidth="1"/>
    <col min="5433" max="5434" width="10" style="5" bestFit="1" customWidth="1"/>
    <col min="5435" max="5630" width="9.140625" style="5"/>
    <col min="5631" max="5631" width="3.7109375" style="5" customWidth="1"/>
    <col min="5632" max="5632" width="14.42578125" style="5" customWidth="1"/>
    <col min="5633" max="5633" width="3.7109375" style="5" customWidth="1"/>
    <col min="5634" max="5634" width="9.5703125" style="5" customWidth="1"/>
    <col min="5635" max="5635" width="8.140625" style="5" customWidth="1"/>
    <col min="5636" max="5636" width="9.42578125" style="5" bestFit="1" customWidth="1"/>
    <col min="5637" max="5637" width="12.42578125" style="5" customWidth="1"/>
    <col min="5638" max="5638" width="4.140625" style="5" customWidth="1"/>
    <col min="5639" max="5639" width="16" style="5" customWidth="1"/>
    <col min="5640" max="5640" width="4" style="5" customWidth="1"/>
    <col min="5641" max="5649" width="8.140625" style="5" customWidth="1"/>
    <col min="5650" max="5650" width="10" style="5" customWidth="1"/>
    <col min="5651" max="5651" width="9.85546875" style="5" bestFit="1" customWidth="1"/>
    <col min="5652" max="5652" width="9.7109375" style="5" customWidth="1"/>
    <col min="5653" max="5654" width="10" style="5" customWidth="1"/>
    <col min="5655" max="5655" width="9.85546875" style="5" bestFit="1" customWidth="1"/>
    <col min="5656" max="5656" width="9.7109375" style="5" customWidth="1"/>
    <col min="5657" max="5658" width="10" style="5" customWidth="1"/>
    <col min="5659" max="5659" width="9.85546875" style="5" bestFit="1" customWidth="1"/>
    <col min="5660" max="5660" width="9.42578125" style="5" customWidth="1"/>
    <col min="5661" max="5662" width="10" style="5" customWidth="1"/>
    <col min="5663" max="5663" width="9.85546875" style="5" bestFit="1" customWidth="1"/>
    <col min="5664" max="5664" width="9.7109375" style="5" customWidth="1"/>
    <col min="5665" max="5666" width="10" style="5" customWidth="1"/>
    <col min="5667" max="5667" width="9.85546875" style="5" bestFit="1" customWidth="1"/>
    <col min="5668" max="5668" width="9.7109375" style="5" customWidth="1"/>
    <col min="5669" max="5670" width="10" style="5" customWidth="1"/>
    <col min="5671" max="5671" width="9.85546875" style="5" bestFit="1" customWidth="1"/>
    <col min="5672" max="5672" width="9.7109375" style="5" customWidth="1"/>
    <col min="5673" max="5674" width="10" style="5" customWidth="1"/>
    <col min="5675" max="5675" width="9.85546875" style="5" bestFit="1" customWidth="1"/>
    <col min="5676" max="5676" width="9.7109375" style="5" customWidth="1"/>
    <col min="5677" max="5678" width="10" style="5" customWidth="1"/>
    <col min="5679" max="5679" width="9.85546875" style="5" bestFit="1" customWidth="1"/>
    <col min="5680" max="5680" width="9.7109375" style="5" customWidth="1"/>
    <col min="5681" max="5682" width="10" style="5" customWidth="1"/>
    <col min="5683" max="5683" width="9.85546875" style="5" bestFit="1" customWidth="1"/>
    <col min="5684" max="5684" width="10.7109375" style="5" customWidth="1"/>
    <col min="5685" max="5685" width="13.140625" style="5" customWidth="1"/>
    <col min="5686" max="5686" width="10" style="5" bestFit="1" customWidth="1"/>
    <col min="5687" max="5687" width="9.85546875" style="5" bestFit="1" customWidth="1"/>
    <col min="5688" max="5688" width="9.7109375" style="5" bestFit="1" customWidth="1"/>
    <col min="5689" max="5690" width="10" style="5" bestFit="1" customWidth="1"/>
    <col min="5691" max="5886" width="9.140625" style="5"/>
    <col min="5887" max="5887" width="3.7109375" style="5" customWidth="1"/>
    <col min="5888" max="5888" width="14.42578125" style="5" customWidth="1"/>
    <col min="5889" max="5889" width="3.7109375" style="5" customWidth="1"/>
    <col min="5890" max="5890" width="9.5703125" style="5" customWidth="1"/>
    <col min="5891" max="5891" width="8.140625" style="5" customWidth="1"/>
    <col min="5892" max="5892" width="9.42578125" style="5" bestFit="1" customWidth="1"/>
    <col min="5893" max="5893" width="12.42578125" style="5" customWidth="1"/>
    <col min="5894" max="5894" width="4.140625" style="5" customWidth="1"/>
    <col min="5895" max="5895" width="16" style="5" customWidth="1"/>
    <col min="5896" max="5896" width="4" style="5" customWidth="1"/>
    <col min="5897" max="5905" width="8.140625" style="5" customWidth="1"/>
    <col min="5906" max="5906" width="10" style="5" customWidth="1"/>
    <col min="5907" max="5907" width="9.85546875" style="5" bestFit="1" customWidth="1"/>
    <col min="5908" max="5908" width="9.7109375" style="5" customWidth="1"/>
    <col min="5909" max="5910" width="10" style="5" customWidth="1"/>
    <col min="5911" max="5911" width="9.85546875" style="5" bestFit="1" customWidth="1"/>
    <col min="5912" max="5912" width="9.7109375" style="5" customWidth="1"/>
    <col min="5913" max="5914" width="10" style="5" customWidth="1"/>
    <col min="5915" max="5915" width="9.85546875" style="5" bestFit="1" customWidth="1"/>
    <col min="5916" max="5916" width="9.42578125" style="5" customWidth="1"/>
    <col min="5917" max="5918" width="10" style="5" customWidth="1"/>
    <col min="5919" max="5919" width="9.85546875" style="5" bestFit="1" customWidth="1"/>
    <col min="5920" max="5920" width="9.7109375" style="5" customWidth="1"/>
    <col min="5921" max="5922" width="10" style="5" customWidth="1"/>
    <col min="5923" max="5923" width="9.85546875" style="5" bestFit="1" customWidth="1"/>
    <col min="5924" max="5924" width="9.7109375" style="5" customWidth="1"/>
    <col min="5925" max="5926" width="10" style="5" customWidth="1"/>
    <col min="5927" max="5927" width="9.85546875" style="5" bestFit="1" customWidth="1"/>
    <col min="5928" max="5928" width="9.7109375" style="5" customWidth="1"/>
    <col min="5929" max="5930" width="10" style="5" customWidth="1"/>
    <col min="5931" max="5931" width="9.85546875" style="5" bestFit="1" customWidth="1"/>
    <col min="5932" max="5932" width="9.7109375" style="5" customWidth="1"/>
    <col min="5933" max="5934" width="10" style="5" customWidth="1"/>
    <col min="5935" max="5935" width="9.85546875" style="5" bestFit="1" customWidth="1"/>
    <col min="5936" max="5936" width="9.7109375" style="5" customWidth="1"/>
    <col min="5937" max="5938" width="10" style="5" customWidth="1"/>
    <col min="5939" max="5939" width="9.85546875" style="5" bestFit="1" customWidth="1"/>
    <col min="5940" max="5940" width="10.7109375" style="5" customWidth="1"/>
    <col min="5941" max="5941" width="13.140625" style="5" customWidth="1"/>
    <col min="5942" max="5942" width="10" style="5" bestFit="1" customWidth="1"/>
    <col min="5943" max="5943" width="9.85546875" style="5" bestFit="1" customWidth="1"/>
    <col min="5944" max="5944" width="9.7109375" style="5" bestFit="1" customWidth="1"/>
    <col min="5945" max="5946" width="10" style="5" bestFit="1" customWidth="1"/>
    <col min="5947" max="6142" width="9.140625" style="5"/>
    <col min="6143" max="6143" width="3.7109375" style="5" customWidth="1"/>
    <col min="6144" max="6144" width="14.42578125" style="5" customWidth="1"/>
    <col min="6145" max="6145" width="3.7109375" style="5" customWidth="1"/>
    <col min="6146" max="6146" width="9.5703125" style="5" customWidth="1"/>
    <col min="6147" max="6147" width="8.140625" style="5" customWidth="1"/>
    <col min="6148" max="6148" width="9.42578125" style="5" bestFit="1" customWidth="1"/>
    <col min="6149" max="6149" width="12.42578125" style="5" customWidth="1"/>
    <col min="6150" max="6150" width="4.140625" style="5" customWidth="1"/>
    <col min="6151" max="6151" width="16" style="5" customWidth="1"/>
    <col min="6152" max="6152" width="4" style="5" customWidth="1"/>
    <col min="6153" max="6161" width="8.140625" style="5" customWidth="1"/>
    <col min="6162" max="6162" width="10" style="5" customWidth="1"/>
    <col min="6163" max="6163" width="9.85546875" style="5" bestFit="1" customWidth="1"/>
    <col min="6164" max="6164" width="9.7109375" style="5" customWidth="1"/>
    <col min="6165" max="6166" width="10" style="5" customWidth="1"/>
    <col min="6167" max="6167" width="9.85546875" style="5" bestFit="1" customWidth="1"/>
    <col min="6168" max="6168" width="9.7109375" style="5" customWidth="1"/>
    <col min="6169" max="6170" width="10" style="5" customWidth="1"/>
    <col min="6171" max="6171" width="9.85546875" style="5" bestFit="1" customWidth="1"/>
    <col min="6172" max="6172" width="9.42578125" style="5" customWidth="1"/>
    <col min="6173" max="6174" width="10" style="5" customWidth="1"/>
    <col min="6175" max="6175" width="9.85546875" style="5" bestFit="1" customWidth="1"/>
    <col min="6176" max="6176" width="9.7109375" style="5" customWidth="1"/>
    <col min="6177" max="6178" width="10" style="5" customWidth="1"/>
    <col min="6179" max="6179" width="9.85546875" style="5" bestFit="1" customWidth="1"/>
    <col min="6180" max="6180" width="9.7109375" style="5" customWidth="1"/>
    <col min="6181" max="6182" width="10" style="5" customWidth="1"/>
    <col min="6183" max="6183" width="9.85546875" style="5" bestFit="1" customWidth="1"/>
    <col min="6184" max="6184" width="9.7109375" style="5" customWidth="1"/>
    <col min="6185" max="6186" width="10" style="5" customWidth="1"/>
    <col min="6187" max="6187" width="9.85546875" style="5" bestFit="1" customWidth="1"/>
    <col min="6188" max="6188" width="9.7109375" style="5" customWidth="1"/>
    <col min="6189" max="6190" width="10" style="5" customWidth="1"/>
    <col min="6191" max="6191" width="9.85546875" style="5" bestFit="1" customWidth="1"/>
    <col min="6192" max="6192" width="9.7109375" style="5" customWidth="1"/>
    <col min="6193" max="6194" width="10" style="5" customWidth="1"/>
    <col min="6195" max="6195" width="9.85546875" style="5" bestFit="1" customWidth="1"/>
    <col min="6196" max="6196" width="10.7109375" style="5" customWidth="1"/>
    <col min="6197" max="6197" width="13.140625" style="5" customWidth="1"/>
    <col min="6198" max="6198" width="10" style="5" bestFit="1" customWidth="1"/>
    <col min="6199" max="6199" width="9.85546875" style="5" bestFit="1" customWidth="1"/>
    <col min="6200" max="6200" width="9.7109375" style="5" bestFit="1" customWidth="1"/>
    <col min="6201" max="6202" width="10" style="5" bestFit="1" customWidth="1"/>
    <col min="6203" max="6398" width="9.140625" style="5"/>
    <col min="6399" max="6399" width="3.7109375" style="5" customWidth="1"/>
    <col min="6400" max="6400" width="14.42578125" style="5" customWidth="1"/>
    <col min="6401" max="6401" width="3.7109375" style="5" customWidth="1"/>
    <col min="6402" max="6402" width="9.5703125" style="5" customWidth="1"/>
    <col min="6403" max="6403" width="8.140625" style="5" customWidth="1"/>
    <col min="6404" max="6404" width="9.42578125" style="5" bestFit="1" customWidth="1"/>
    <col min="6405" max="6405" width="12.42578125" style="5" customWidth="1"/>
    <col min="6406" max="6406" width="4.140625" style="5" customWidth="1"/>
    <col min="6407" max="6407" width="16" style="5" customWidth="1"/>
    <col min="6408" max="6408" width="4" style="5" customWidth="1"/>
    <col min="6409" max="6417" width="8.140625" style="5" customWidth="1"/>
    <col min="6418" max="6418" width="10" style="5" customWidth="1"/>
    <col min="6419" max="6419" width="9.85546875" style="5" bestFit="1" customWidth="1"/>
    <col min="6420" max="6420" width="9.7109375" style="5" customWidth="1"/>
    <col min="6421" max="6422" width="10" style="5" customWidth="1"/>
    <col min="6423" max="6423" width="9.85546875" style="5" bestFit="1" customWidth="1"/>
    <col min="6424" max="6424" width="9.7109375" style="5" customWidth="1"/>
    <col min="6425" max="6426" width="10" style="5" customWidth="1"/>
    <col min="6427" max="6427" width="9.85546875" style="5" bestFit="1" customWidth="1"/>
    <col min="6428" max="6428" width="9.42578125" style="5" customWidth="1"/>
    <col min="6429" max="6430" width="10" style="5" customWidth="1"/>
    <col min="6431" max="6431" width="9.85546875" style="5" bestFit="1" customWidth="1"/>
    <col min="6432" max="6432" width="9.7109375" style="5" customWidth="1"/>
    <col min="6433" max="6434" width="10" style="5" customWidth="1"/>
    <col min="6435" max="6435" width="9.85546875" style="5" bestFit="1" customWidth="1"/>
    <col min="6436" max="6436" width="9.7109375" style="5" customWidth="1"/>
    <col min="6437" max="6438" width="10" style="5" customWidth="1"/>
    <col min="6439" max="6439" width="9.85546875" style="5" bestFit="1" customWidth="1"/>
    <col min="6440" max="6440" width="9.7109375" style="5" customWidth="1"/>
    <col min="6441" max="6442" width="10" style="5" customWidth="1"/>
    <col min="6443" max="6443" width="9.85546875" style="5" bestFit="1" customWidth="1"/>
    <col min="6444" max="6444" width="9.7109375" style="5" customWidth="1"/>
    <col min="6445" max="6446" width="10" style="5" customWidth="1"/>
    <col min="6447" max="6447" width="9.85546875" style="5" bestFit="1" customWidth="1"/>
    <col min="6448" max="6448" width="9.7109375" style="5" customWidth="1"/>
    <col min="6449" max="6450" width="10" style="5" customWidth="1"/>
    <col min="6451" max="6451" width="9.85546875" style="5" bestFit="1" customWidth="1"/>
    <col min="6452" max="6452" width="10.7109375" style="5" customWidth="1"/>
    <col min="6453" max="6453" width="13.140625" style="5" customWidth="1"/>
    <col min="6454" max="6454" width="10" style="5" bestFit="1" customWidth="1"/>
    <col min="6455" max="6455" width="9.85546875" style="5" bestFit="1" customWidth="1"/>
    <col min="6456" max="6456" width="9.7109375" style="5" bestFit="1" customWidth="1"/>
    <col min="6457" max="6458" width="10" style="5" bestFit="1" customWidth="1"/>
    <col min="6459" max="6654" width="9.140625" style="5"/>
    <col min="6655" max="6655" width="3.7109375" style="5" customWidth="1"/>
    <col min="6656" max="6656" width="14.42578125" style="5" customWidth="1"/>
    <col min="6657" max="6657" width="3.7109375" style="5" customWidth="1"/>
    <col min="6658" max="6658" width="9.5703125" style="5" customWidth="1"/>
    <col min="6659" max="6659" width="8.140625" style="5" customWidth="1"/>
    <col min="6660" max="6660" width="9.42578125" style="5" bestFit="1" customWidth="1"/>
    <col min="6661" max="6661" width="12.42578125" style="5" customWidth="1"/>
    <col min="6662" max="6662" width="4.140625" style="5" customWidth="1"/>
    <col min="6663" max="6663" width="16" style="5" customWidth="1"/>
    <col min="6664" max="6664" width="4" style="5" customWidth="1"/>
    <col min="6665" max="6673" width="8.140625" style="5" customWidth="1"/>
    <col min="6674" max="6674" width="10" style="5" customWidth="1"/>
    <col min="6675" max="6675" width="9.85546875" style="5" bestFit="1" customWidth="1"/>
    <col min="6676" max="6676" width="9.7109375" style="5" customWidth="1"/>
    <col min="6677" max="6678" width="10" style="5" customWidth="1"/>
    <col min="6679" max="6679" width="9.85546875" style="5" bestFit="1" customWidth="1"/>
    <col min="6680" max="6680" width="9.7109375" style="5" customWidth="1"/>
    <col min="6681" max="6682" width="10" style="5" customWidth="1"/>
    <col min="6683" max="6683" width="9.85546875" style="5" bestFit="1" customWidth="1"/>
    <col min="6684" max="6684" width="9.42578125" style="5" customWidth="1"/>
    <col min="6685" max="6686" width="10" style="5" customWidth="1"/>
    <col min="6687" max="6687" width="9.85546875" style="5" bestFit="1" customWidth="1"/>
    <col min="6688" max="6688" width="9.7109375" style="5" customWidth="1"/>
    <col min="6689" max="6690" width="10" style="5" customWidth="1"/>
    <col min="6691" max="6691" width="9.85546875" style="5" bestFit="1" customWidth="1"/>
    <col min="6692" max="6692" width="9.7109375" style="5" customWidth="1"/>
    <col min="6693" max="6694" width="10" style="5" customWidth="1"/>
    <col min="6695" max="6695" width="9.85546875" style="5" bestFit="1" customWidth="1"/>
    <col min="6696" max="6696" width="9.7109375" style="5" customWidth="1"/>
    <col min="6697" max="6698" width="10" style="5" customWidth="1"/>
    <col min="6699" max="6699" width="9.85546875" style="5" bestFit="1" customWidth="1"/>
    <col min="6700" max="6700" width="9.7109375" style="5" customWidth="1"/>
    <col min="6701" max="6702" width="10" style="5" customWidth="1"/>
    <col min="6703" max="6703" width="9.85546875" style="5" bestFit="1" customWidth="1"/>
    <col min="6704" max="6704" width="9.7109375" style="5" customWidth="1"/>
    <col min="6705" max="6706" width="10" style="5" customWidth="1"/>
    <col min="6707" max="6707" width="9.85546875" style="5" bestFit="1" customWidth="1"/>
    <col min="6708" max="6708" width="10.7109375" style="5" customWidth="1"/>
    <col min="6709" max="6709" width="13.140625" style="5" customWidth="1"/>
    <col min="6710" max="6710" width="10" style="5" bestFit="1" customWidth="1"/>
    <col min="6711" max="6711" width="9.85546875" style="5" bestFit="1" customWidth="1"/>
    <col min="6712" max="6712" width="9.7109375" style="5" bestFit="1" customWidth="1"/>
    <col min="6713" max="6714" width="10" style="5" bestFit="1" customWidth="1"/>
    <col min="6715" max="6910" width="9.140625" style="5"/>
    <col min="6911" max="6911" width="3.7109375" style="5" customWidth="1"/>
    <col min="6912" max="6912" width="14.42578125" style="5" customWidth="1"/>
    <col min="6913" max="6913" width="3.7109375" style="5" customWidth="1"/>
    <col min="6914" max="6914" width="9.5703125" style="5" customWidth="1"/>
    <col min="6915" max="6915" width="8.140625" style="5" customWidth="1"/>
    <col min="6916" max="6916" width="9.42578125" style="5" bestFit="1" customWidth="1"/>
    <col min="6917" max="6917" width="12.42578125" style="5" customWidth="1"/>
    <col min="6918" max="6918" width="4.140625" style="5" customWidth="1"/>
    <col min="6919" max="6919" width="16" style="5" customWidth="1"/>
    <col min="6920" max="6920" width="4" style="5" customWidth="1"/>
    <col min="6921" max="6929" width="8.140625" style="5" customWidth="1"/>
    <col min="6930" max="6930" width="10" style="5" customWidth="1"/>
    <col min="6931" max="6931" width="9.85546875" style="5" bestFit="1" customWidth="1"/>
    <col min="6932" max="6932" width="9.7109375" style="5" customWidth="1"/>
    <col min="6933" max="6934" width="10" style="5" customWidth="1"/>
    <col min="6935" max="6935" width="9.85546875" style="5" bestFit="1" customWidth="1"/>
    <col min="6936" max="6936" width="9.7109375" style="5" customWidth="1"/>
    <col min="6937" max="6938" width="10" style="5" customWidth="1"/>
    <col min="6939" max="6939" width="9.85546875" style="5" bestFit="1" customWidth="1"/>
    <col min="6940" max="6940" width="9.42578125" style="5" customWidth="1"/>
    <col min="6941" max="6942" width="10" style="5" customWidth="1"/>
    <col min="6943" max="6943" width="9.85546875" style="5" bestFit="1" customWidth="1"/>
    <col min="6944" max="6944" width="9.7109375" style="5" customWidth="1"/>
    <col min="6945" max="6946" width="10" style="5" customWidth="1"/>
    <col min="6947" max="6947" width="9.85546875" style="5" bestFit="1" customWidth="1"/>
    <col min="6948" max="6948" width="9.7109375" style="5" customWidth="1"/>
    <col min="6949" max="6950" width="10" style="5" customWidth="1"/>
    <col min="6951" max="6951" width="9.85546875" style="5" bestFit="1" customWidth="1"/>
    <col min="6952" max="6952" width="9.7109375" style="5" customWidth="1"/>
    <col min="6953" max="6954" width="10" style="5" customWidth="1"/>
    <col min="6955" max="6955" width="9.85546875" style="5" bestFit="1" customWidth="1"/>
    <col min="6956" max="6956" width="9.7109375" style="5" customWidth="1"/>
    <col min="6957" max="6958" width="10" style="5" customWidth="1"/>
    <col min="6959" max="6959" width="9.85546875" style="5" bestFit="1" customWidth="1"/>
    <col min="6960" max="6960" width="9.7109375" style="5" customWidth="1"/>
    <col min="6961" max="6962" width="10" style="5" customWidth="1"/>
    <col min="6963" max="6963" width="9.85546875" style="5" bestFit="1" customWidth="1"/>
    <col min="6964" max="6964" width="10.7109375" style="5" customWidth="1"/>
    <col min="6965" max="6965" width="13.140625" style="5" customWidth="1"/>
    <col min="6966" max="6966" width="10" style="5" bestFit="1" customWidth="1"/>
    <col min="6967" max="6967" width="9.85546875" style="5" bestFit="1" customWidth="1"/>
    <col min="6968" max="6968" width="9.7109375" style="5" bestFit="1" customWidth="1"/>
    <col min="6969" max="6970" width="10" style="5" bestFit="1" customWidth="1"/>
    <col min="6971" max="7166" width="9.140625" style="5"/>
    <col min="7167" max="7167" width="3.7109375" style="5" customWidth="1"/>
    <col min="7168" max="7168" width="14.42578125" style="5" customWidth="1"/>
    <col min="7169" max="7169" width="3.7109375" style="5" customWidth="1"/>
    <col min="7170" max="7170" width="9.5703125" style="5" customWidth="1"/>
    <col min="7171" max="7171" width="8.140625" style="5" customWidth="1"/>
    <col min="7172" max="7172" width="9.42578125" style="5" bestFit="1" customWidth="1"/>
    <col min="7173" max="7173" width="12.42578125" style="5" customWidth="1"/>
    <col min="7174" max="7174" width="4.140625" style="5" customWidth="1"/>
    <col min="7175" max="7175" width="16" style="5" customWidth="1"/>
    <col min="7176" max="7176" width="4" style="5" customWidth="1"/>
    <col min="7177" max="7185" width="8.140625" style="5" customWidth="1"/>
    <col min="7186" max="7186" width="10" style="5" customWidth="1"/>
    <col min="7187" max="7187" width="9.85546875" style="5" bestFit="1" customWidth="1"/>
    <col min="7188" max="7188" width="9.7109375" style="5" customWidth="1"/>
    <col min="7189" max="7190" width="10" style="5" customWidth="1"/>
    <col min="7191" max="7191" width="9.85546875" style="5" bestFit="1" customWidth="1"/>
    <col min="7192" max="7192" width="9.7109375" style="5" customWidth="1"/>
    <col min="7193" max="7194" width="10" style="5" customWidth="1"/>
    <col min="7195" max="7195" width="9.85546875" style="5" bestFit="1" customWidth="1"/>
    <col min="7196" max="7196" width="9.42578125" style="5" customWidth="1"/>
    <col min="7197" max="7198" width="10" style="5" customWidth="1"/>
    <col min="7199" max="7199" width="9.85546875" style="5" bestFit="1" customWidth="1"/>
    <col min="7200" max="7200" width="9.7109375" style="5" customWidth="1"/>
    <col min="7201" max="7202" width="10" style="5" customWidth="1"/>
    <col min="7203" max="7203" width="9.85546875" style="5" bestFit="1" customWidth="1"/>
    <col min="7204" max="7204" width="9.7109375" style="5" customWidth="1"/>
    <col min="7205" max="7206" width="10" style="5" customWidth="1"/>
    <col min="7207" max="7207" width="9.85546875" style="5" bestFit="1" customWidth="1"/>
    <col min="7208" max="7208" width="9.7109375" style="5" customWidth="1"/>
    <col min="7209" max="7210" width="10" style="5" customWidth="1"/>
    <col min="7211" max="7211" width="9.85546875" style="5" bestFit="1" customWidth="1"/>
    <col min="7212" max="7212" width="9.7109375" style="5" customWidth="1"/>
    <col min="7213" max="7214" width="10" style="5" customWidth="1"/>
    <col min="7215" max="7215" width="9.85546875" style="5" bestFit="1" customWidth="1"/>
    <col min="7216" max="7216" width="9.7109375" style="5" customWidth="1"/>
    <col min="7217" max="7218" width="10" style="5" customWidth="1"/>
    <col min="7219" max="7219" width="9.85546875" style="5" bestFit="1" customWidth="1"/>
    <col min="7220" max="7220" width="10.7109375" style="5" customWidth="1"/>
    <col min="7221" max="7221" width="13.140625" style="5" customWidth="1"/>
    <col min="7222" max="7222" width="10" style="5" bestFit="1" customWidth="1"/>
    <col min="7223" max="7223" width="9.85546875" style="5" bestFit="1" customWidth="1"/>
    <col min="7224" max="7224" width="9.7109375" style="5" bestFit="1" customWidth="1"/>
    <col min="7225" max="7226" width="10" style="5" bestFit="1" customWidth="1"/>
    <col min="7227" max="7422" width="9.140625" style="5"/>
    <col min="7423" max="7423" width="3.7109375" style="5" customWidth="1"/>
    <col min="7424" max="7424" width="14.42578125" style="5" customWidth="1"/>
    <col min="7425" max="7425" width="3.7109375" style="5" customWidth="1"/>
    <col min="7426" max="7426" width="9.5703125" style="5" customWidth="1"/>
    <col min="7427" max="7427" width="8.140625" style="5" customWidth="1"/>
    <col min="7428" max="7428" width="9.42578125" style="5" bestFit="1" customWidth="1"/>
    <col min="7429" max="7429" width="12.42578125" style="5" customWidth="1"/>
    <col min="7430" max="7430" width="4.140625" style="5" customWidth="1"/>
    <col min="7431" max="7431" width="16" style="5" customWidth="1"/>
    <col min="7432" max="7432" width="4" style="5" customWidth="1"/>
    <col min="7433" max="7441" width="8.140625" style="5" customWidth="1"/>
    <col min="7442" max="7442" width="10" style="5" customWidth="1"/>
    <col min="7443" max="7443" width="9.85546875" style="5" bestFit="1" customWidth="1"/>
    <col min="7444" max="7444" width="9.7109375" style="5" customWidth="1"/>
    <col min="7445" max="7446" width="10" style="5" customWidth="1"/>
    <col min="7447" max="7447" width="9.85546875" style="5" bestFit="1" customWidth="1"/>
    <col min="7448" max="7448" width="9.7109375" style="5" customWidth="1"/>
    <col min="7449" max="7450" width="10" style="5" customWidth="1"/>
    <col min="7451" max="7451" width="9.85546875" style="5" bestFit="1" customWidth="1"/>
    <col min="7452" max="7452" width="9.42578125" style="5" customWidth="1"/>
    <col min="7453" max="7454" width="10" style="5" customWidth="1"/>
    <col min="7455" max="7455" width="9.85546875" style="5" bestFit="1" customWidth="1"/>
    <col min="7456" max="7456" width="9.7109375" style="5" customWidth="1"/>
    <col min="7457" max="7458" width="10" style="5" customWidth="1"/>
    <col min="7459" max="7459" width="9.85546875" style="5" bestFit="1" customWidth="1"/>
    <col min="7460" max="7460" width="9.7109375" style="5" customWidth="1"/>
    <col min="7461" max="7462" width="10" style="5" customWidth="1"/>
    <col min="7463" max="7463" width="9.85546875" style="5" bestFit="1" customWidth="1"/>
    <col min="7464" max="7464" width="9.7109375" style="5" customWidth="1"/>
    <col min="7465" max="7466" width="10" style="5" customWidth="1"/>
    <col min="7467" max="7467" width="9.85546875" style="5" bestFit="1" customWidth="1"/>
    <col min="7468" max="7468" width="9.7109375" style="5" customWidth="1"/>
    <col min="7469" max="7470" width="10" style="5" customWidth="1"/>
    <col min="7471" max="7471" width="9.85546875" style="5" bestFit="1" customWidth="1"/>
    <col min="7472" max="7472" width="9.7109375" style="5" customWidth="1"/>
    <col min="7473" max="7474" width="10" style="5" customWidth="1"/>
    <col min="7475" max="7475" width="9.85546875" style="5" bestFit="1" customWidth="1"/>
    <col min="7476" max="7476" width="10.7109375" style="5" customWidth="1"/>
    <col min="7477" max="7477" width="13.140625" style="5" customWidth="1"/>
    <col min="7478" max="7478" width="10" style="5" bestFit="1" customWidth="1"/>
    <col min="7479" max="7479" width="9.85546875" style="5" bestFit="1" customWidth="1"/>
    <col min="7480" max="7480" width="9.7109375" style="5" bestFit="1" customWidth="1"/>
    <col min="7481" max="7482" width="10" style="5" bestFit="1" customWidth="1"/>
    <col min="7483" max="7678" width="9.140625" style="5"/>
    <col min="7679" max="7679" width="3.7109375" style="5" customWidth="1"/>
    <col min="7680" max="7680" width="14.42578125" style="5" customWidth="1"/>
    <col min="7681" max="7681" width="3.7109375" style="5" customWidth="1"/>
    <col min="7682" max="7682" width="9.5703125" style="5" customWidth="1"/>
    <col min="7683" max="7683" width="8.140625" style="5" customWidth="1"/>
    <col min="7684" max="7684" width="9.42578125" style="5" bestFit="1" customWidth="1"/>
    <col min="7685" max="7685" width="12.42578125" style="5" customWidth="1"/>
    <col min="7686" max="7686" width="4.140625" style="5" customWidth="1"/>
    <col min="7687" max="7687" width="16" style="5" customWidth="1"/>
    <col min="7688" max="7688" width="4" style="5" customWidth="1"/>
    <col min="7689" max="7697" width="8.140625" style="5" customWidth="1"/>
    <col min="7698" max="7698" width="10" style="5" customWidth="1"/>
    <col min="7699" max="7699" width="9.85546875" style="5" bestFit="1" customWidth="1"/>
    <col min="7700" max="7700" width="9.7109375" style="5" customWidth="1"/>
    <col min="7701" max="7702" width="10" style="5" customWidth="1"/>
    <col min="7703" max="7703" width="9.85546875" style="5" bestFit="1" customWidth="1"/>
    <col min="7704" max="7704" width="9.7109375" style="5" customWidth="1"/>
    <col min="7705" max="7706" width="10" style="5" customWidth="1"/>
    <col min="7707" max="7707" width="9.85546875" style="5" bestFit="1" customWidth="1"/>
    <col min="7708" max="7708" width="9.42578125" style="5" customWidth="1"/>
    <col min="7709" max="7710" width="10" style="5" customWidth="1"/>
    <col min="7711" max="7711" width="9.85546875" style="5" bestFit="1" customWidth="1"/>
    <col min="7712" max="7712" width="9.7109375" style="5" customWidth="1"/>
    <col min="7713" max="7714" width="10" style="5" customWidth="1"/>
    <col min="7715" max="7715" width="9.85546875" style="5" bestFit="1" customWidth="1"/>
    <col min="7716" max="7716" width="9.7109375" style="5" customWidth="1"/>
    <col min="7717" max="7718" width="10" style="5" customWidth="1"/>
    <col min="7719" max="7719" width="9.85546875" style="5" bestFit="1" customWidth="1"/>
    <col min="7720" max="7720" width="9.7109375" style="5" customWidth="1"/>
    <col min="7721" max="7722" width="10" style="5" customWidth="1"/>
    <col min="7723" max="7723" width="9.85546875" style="5" bestFit="1" customWidth="1"/>
    <col min="7724" max="7724" width="9.7109375" style="5" customWidth="1"/>
    <col min="7725" max="7726" width="10" style="5" customWidth="1"/>
    <col min="7727" max="7727" width="9.85546875" style="5" bestFit="1" customWidth="1"/>
    <col min="7728" max="7728" width="9.7109375" style="5" customWidth="1"/>
    <col min="7729" max="7730" width="10" style="5" customWidth="1"/>
    <col min="7731" max="7731" width="9.85546875" style="5" bestFit="1" customWidth="1"/>
    <col min="7732" max="7732" width="10.7109375" style="5" customWidth="1"/>
    <col min="7733" max="7733" width="13.140625" style="5" customWidth="1"/>
    <col min="7734" max="7734" width="10" style="5" bestFit="1" customWidth="1"/>
    <col min="7735" max="7735" width="9.85546875" style="5" bestFit="1" customWidth="1"/>
    <col min="7736" max="7736" width="9.7109375" style="5" bestFit="1" customWidth="1"/>
    <col min="7737" max="7738" width="10" style="5" bestFit="1" customWidth="1"/>
    <col min="7739" max="7934" width="9.140625" style="5"/>
    <col min="7935" max="7935" width="3.7109375" style="5" customWidth="1"/>
    <col min="7936" max="7936" width="14.42578125" style="5" customWidth="1"/>
    <col min="7937" max="7937" width="3.7109375" style="5" customWidth="1"/>
    <col min="7938" max="7938" width="9.5703125" style="5" customWidth="1"/>
    <col min="7939" max="7939" width="8.140625" style="5" customWidth="1"/>
    <col min="7940" max="7940" width="9.42578125" style="5" bestFit="1" customWidth="1"/>
    <col min="7941" max="7941" width="12.42578125" style="5" customWidth="1"/>
    <col min="7942" max="7942" width="4.140625" style="5" customWidth="1"/>
    <col min="7943" max="7943" width="16" style="5" customWidth="1"/>
    <col min="7944" max="7944" width="4" style="5" customWidth="1"/>
    <col min="7945" max="7953" width="8.140625" style="5" customWidth="1"/>
    <col min="7954" max="7954" width="10" style="5" customWidth="1"/>
    <col min="7955" max="7955" width="9.85546875" style="5" bestFit="1" customWidth="1"/>
    <col min="7956" max="7956" width="9.7109375" style="5" customWidth="1"/>
    <col min="7957" max="7958" width="10" style="5" customWidth="1"/>
    <col min="7959" max="7959" width="9.85546875" style="5" bestFit="1" customWidth="1"/>
    <col min="7960" max="7960" width="9.7109375" style="5" customWidth="1"/>
    <col min="7961" max="7962" width="10" style="5" customWidth="1"/>
    <col min="7963" max="7963" width="9.85546875" style="5" bestFit="1" customWidth="1"/>
    <col min="7964" max="7964" width="9.42578125" style="5" customWidth="1"/>
    <col min="7965" max="7966" width="10" style="5" customWidth="1"/>
    <col min="7967" max="7967" width="9.85546875" style="5" bestFit="1" customWidth="1"/>
    <col min="7968" max="7968" width="9.7109375" style="5" customWidth="1"/>
    <col min="7969" max="7970" width="10" style="5" customWidth="1"/>
    <col min="7971" max="7971" width="9.85546875" style="5" bestFit="1" customWidth="1"/>
    <col min="7972" max="7972" width="9.7109375" style="5" customWidth="1"/>
    <col min="7973" max="7974" width="10" style="5" customWidth="1"/>
    <col min="7975" max="7975" width="9.85546875" style="5" bestFit="1" customWidth="1"/>
    <col min="7976" max="7976" width="9.7109375" style="5" customWidth="1"/>
    <col min="7977" max="7978" width="10" style="5" customWidth="1"/>
    <col min="7979" max="7979" width="9.85546875" style="5" bestFit="1" customWidth="1"/>
    <col min="7980" max="7980" width="9.7109375" style="5" customWidth="1"/>
    <col min="7981" max="7982" width="10" style="5" customWidth="1"/>
    <col min="7983" max="7983" width="9.85546875" style="5" bestFit="1" customWidth="1"/>
    <col min="7984" max="7984" width="9.7109375" style="5" customWidth="1"/>
    <col min="7985" max="7986" width="10" style="5" customWidth="1"/>
    <col min="7987" max="7987" width="9.85546875" style="5" bestFit="1" customWidth="1"/>
    <col min="7988" max="7988" width="10.7109375" style="5" customWidth="1"/>
    <col min="7989" max="7989" width="13.140625" style="5" customWidth="1"/>
    <col min="7990" max="7990" width="10" style="5" bestFit="1" customWidth="1"/>
    <col min="7991" max="7991" width="9.85546875" style="5" bestFit="1" customWidth="1"/>
    <col min="7992" max="7992" width="9.7109375" style="5" bestFit="1" customWidth="1"/>
    <col min="7993" max="7994" width="10" style="5" bestFit="1" customWidth="1"/>
    <col min="7995" max="8190" width="9.140625" style="5"/>
    <col min="8191" max="8191" width="3.7109375" style="5" customWidth="1"/>
    <col min="8192" max="8192" width="14.42578125" style="5" customWidth="1"/>
    <col min="8193" max="8193" width="3.7109375" style="5" customWidth="1"/>
    <col min="8194" max="8194" width="9.5703125" style="5" customWidth="1"/>
    <col min="8195" max="8195" width="8.140625" style="5" customWidth="1"/>
    <col min="8196" max="8196" width="9.42578125" style="5" bestFit="1" customWidth="1"/>
    <col min="8197" max="8197" width="12.42578125" style="5" customWidth="1"/>
    <col min="8198" max="8198" width="4.140625" style="5" customWidth="1"/>
    <col min="8199" max="8199" width="16" style="5" customWidth="1"/>
    <col min="8200" max="8200" width="4" style="5" customWidth="1"/>
    <col min="8201" max="8209" width="8.140625" style="5" customWidth="1"/>
    <col min="8210" max="8210" width="10" style="5" customWidth="1"/>
    <col min="8211" max="8211" width="9.85546875" style="5" bestFit="1" customWidth="1"/>
    <col min="8212" max="8212" width="9.7109375" style="5" customWidth="1"/>
    <col min="8213" max="8214" width="10" style="5" customWidth="1"/>
    <col min="8215" max="8215" width="9.85546875" style="5" bestFit="1" customWidth="1"/>
    <col min="8216" max="8216" width="9.7109375" style="5" customWidth="1"/>
    <col min="8217" max="8218" width="10" style="5" customWidth="1"/>
    <col min="8219" max="8219" width="9.85546875" style="5" bestFit="1" customWidth="1"/>
    <col min="8220" max="8220" width="9.42578125" style="5" customWidth="1"/>
    <col min="8221" max="8222" width="10" style="5" customWidth="1"/>
    <col min="8223" max="8223" width="9.85546875" style="5" bestFit="1" customWidth="1"/>
    <col min="8224" max="8224" width="9.7109375" style="5" customWidth="1"/>
    <col min="8225" max="8226" width="10" style="5" customWidth="1"/>
    <col min="8227" max="8227" width="9.85546875" style="5" bestFit="1" customWidth="1"/>
    <col min="8228" max="8228" width="9.7109375" style="5" customWidth="1"/>
    <col min="8229" max="8230" width="10" style="5" customWidth="1"/>
    <col min="8231" max="8231" width="9.85546875" style="5" bestFit="1" customWidth="1"/>
    <col min="8232" max="8232" width="9.7109375" style="5" customWidth="1"/>
    <col min="8233" max="8234" width="10" style="5" customWidth="1"/>
    <col min="8235" max="8235" width="9.85546875" style="5" bestFit="1" customWidth="1"/>
    <col min="8236" max="8236" width="9.7109375" style="5" customWidth="1"/>
    <col min="8237" max="8238" width="10" style="5" customWidth="1"/>
    <col min="8239" max="8239" width="9.85546875" style="5" bestFit="1" customWidth="1"/>
    <col min="8240" max="8240" width="9.7109375" style="5" customWidth="1"/>
    <col min="8241" max="8242" width="10" style="5" customWidth="1"/>
    <col min="8243" max="8243" width="9.85546875" style="5" bestFit="1" customWidth="1"/>
    <col min="8244" max="8244" width="10.7109375" style="5" customWidth="1"/>
    <col min="8245" max="8245" width="13.140625" style="5" customWidth="1"/>
    <col min="8246" max="8246" width="10" style="5" bestFit="1" customWidth="1"/>
    <col min="8247" max="8247" width="9.85546875" style="5" bestFit="1" customWidth="1"/>
    <col min="8248" max="8248" width="9.7109375" style="5" bestFit="1" customWidth="1"/>
    <col min="8249" max="8250" width="10" style="5" bestFit="1" customWidth="1"/>
    <col min="8251" max="8446" width="9.140625" style="5"/>
    <col min="8447" max="8447" width="3.7109375" style="5" customWidth="1"/>
    <col min="8448" max="8448" width="14.42578125" style="5" customWidth="1"/>
    <col min="8449" max="8449" width="3.7109375" style="5" customWidth="1"/>
    <col min="8450" max="8450" width="9.5703125" style="5" customWidth="1"/>
    <col min="8451" max="8451" width="8.140625" style="5" customWidth="1"/>
    <col min="8452" max="8452" width="9.42578125" style="5" bestFit="1" customWidth="1"/>
    <col min="8453" max="8453" width="12.42578125" style="5" customWidth="1"/>
    <col min="8454" max="8454" width="4.140625" style="5" customWidth="1"/>
    <col min="8455" max="8455" width="16" style="5" customWidth="1"/>
    <col min="8456" max="8456" width="4" style="5" customWidth="1"/>
    <col min="8457" max="8465" width="8.140625" style="5" customWidth="1"/>
    <col min="8466" max="8466" width="10" style="5" customWidth="1"/>
    <col min="8467" max="8467" width="9.85546875" style="5" bestFit="1" customWidth="1"/>
    <col min="8468" max="8468" width="9.7109375" style="5" customWidth="1"/>
    <col min="8469" max="8470" width="10" style="5" customWidth="1"/>
    <col min="8471" max="8471" width="9.85546875" style="5" bestFit="1" customWidth="1"/>
    <col min="8472" max="8472" width="9.7109375" style="5" customWidth="1"/>
    <col min="8473" max="8474" width="10" style="5" customWidth="1"/>
    <col min="8475" max="8475" width="9.85546875" style="5" bestFit="1" customWidth="1"/>
    <col min="8476" max="8476" width="9.42578125" style="5" customWidth="1"/>
    <col min="8477" max="8478" width="10" style="5" customWidth="1"/>
    <col min="8479" max="8479" width="9.85546875" style="5" bestFit="1" customWidth="1"/>
    <col min="8480" max="8480" width="9.7109375" style="5" customWidth="1"/>
    <col min="8481" max="8482" width="10" style="5" customWidth="1"/>
    <col min="8483" max="8483" width="9.85546875" style="5" bestFit="1" customWidth="1"/>
    <col min="8484" max="8484" width="9.7109375" style="5" customWidth="1"/>
    <col min="8485" max="8486" width="10" style="5" customWidth="1"/>
    <col min="8487" max="8487" width="9.85546875" style="5" bestFit="1" customWidth="1"/>
    <col min="8488" max="8488" width="9.7109375" style="5" customWidth="1"/>
    <col min="8489" max="8490" width="10" style="5" customWidth="1"/>
    <col min="8491" max="8491" width="9.85546875" style="5" bestFit="1" customWidth="1"/>
    <col min="8492" max="8492" width="9.7109375" style="5" customWidth="1"/>
    <col min="8493" max="8494" width="10" style="5" customWidth="1"/>
    <col min="8495" max="8495" width="9.85546875" style="5" bestFit="1" customWidth="1"/>
    <col min="8496" max="8496" width="9.7109375" style="5" customWidth="1"/>
    <col min="8497" max="8498" width="10" style="5" customWidth="1"/>
    <col min="8499" max="8499" width="9.85546875" style="5" bestFit="1" customWidth="1"/>
    <col min="8500" max="8500" width="10.7109375" style="5" customWidth="1"/>
    <col min="8501" max="8501" width="13.140625" style="5" customWidth="1"/>
    <col min="8502" max="8502" width="10" style="5" bestFit="1" customWidth="1"/>
    <col min="8503" max="8503" width="9.85546875" style="5" bestFit="1" customWidth="1"/>
    <col min="8504" max="8504" width="9.7109375" style="5" bestFit="1" customWidth="1"/>
    <col min="8505" max="8506" width="10" style="5" bestFit="1" customWidth="1"/>
    <col min="8507" max="8702" width="9.140625" style="5"/>
    <col min="8703" max="8703" width="3.7109375" style="5" customWidth="1"/>
    <col min="8704" max="8704" width="14.42578125" style="5" customWidth="1"/>
    <col min="8705" max="8705" width="3.7109375" style="5" customWidth="1"/>
    <col min="8706" max="8706" width="9.5703125" style="5" customWidth="1"/>
    <col min="8707" max="8707" width="8.140625" style="5" customWidth="1"/>
    <col min="8708" max="8708" width="9.42578125" style="5" bestFit="1" customWidth="1"/>
    <col min="8709" max="8709" width="12.42578125" style="5" customWidth="1"/>
    <col min="8710" max="8710" width="4.140625" style="5" customWidth="1"/>
    <col min="8711" max="8711" width="16" style="5" customWidth="1"/>
    <col min="8712" max="8712" width="4" style="5" customWidth="1"/>
    <col min="8713" max="8721" width="8.140625" style="5" customWidth="1"/>
    <col min="8722" max="8722" width="10" style="5" customWidth="1"/>
    <col min="8723" max="8723" width="9.85546875" style="5" bestFit="1" customWidth="1"/>
    <col min="8724" max="8724" width="9.7109375" style="5" customWidth="1"/>
    <col min="8725" max="8726" width="10" style="5" customWidth="1"/>
    <col min="8727" max="8727" width="9.85546875" style="5" bestFit="1" customWidth="1"/>
    <col min="8728" max="8728" width="9.7109375" style="5" customWidth="1"/>
    <col min="8729" max="8730" width="10" style="5" customWidth="1"/>
    <col min="8731" max="8731" width="9.85546875" style="5" bestFit="1" customWidth="1"/>
    <col min="8732" max="8732" width="9.42578125" style="5" customWidth="1"/>
    <col min="8733" max="8734" width="10" style="5" customWidth="1"/>
    <col min="8735" max="8735" width="9.85546875" style="5" bestFit="1" customWidth="1"/>
    <col min="8736" max="8736" width="9.7109375" style="5" customWidth="1"/>
    <col min="8737" max="8738" width="10" style="5" customWidth="1"/>
    <col min="8739" max="8739" width="9.85546875" style="5" bestFit="1" customWidth="1"/>
    <col min="8740" max="8740" width="9.7109375" style="5" customWidth="1"/>
    <col min="8741" max="8742" width="10" style="5" customWidth="1"/>
    <col min="8743" max="8743" width="9.85546875" style="5" bestFit="1" customWidth="1"/>
    <col min="8744" max="8744" width="9.7109375" style="5" customWidth="1"/>
    <col min="8745" max="8746" width="10" style="5" customWidth="1"/>
    <col min="8747" max="8747" width="9.85546875" style="5" bestFit="1" customWidth="1"/>
    <col min="8748" max="8748" width="9.7109375" style="5" customWidth="1"/>
    <col min="8749" max="8750" width="10" style="5" customWidth="1"/>
    <col min="8751" max="8751" width="9.85546875" style="5" bestFit="1" customWidth="1"/>
    <col min="8752" max="8752" width="9.7109375" style="5" customWidth="1"/>
    <col min="8753" max="8754" width="10" style="5" customWidth="1"/>
    <col min="8755" max="8755" width="9.85546875" style="5" bestFit="1" customWidth="1"/>
    <col min="8756" max="8756" width="10.7109375" style="5" customWidth="1"/>
    <col min="8757" max="8757" width="13.140625" style="5" customWidth="1"/>
    <col min="8758" max="8758" width="10" style="5" bestFit="1" customWidth="1"/>
    <col min="8759" max="8759" width="9.85546875" style="5" bestFit="1" customWidth="1"/>
    <col min="8760" max="8760" width="9.7109375" style="5" bestFit="1" customWidth="1"/>
    <col min="8761" max="8762" width="10" style="5" bestFit="1" customWidth="1"/>
    <col min="8763" max="8958" width="9.140625" style="5"/>
    <col min="8959" max="8959" width="3.7109375" style="5" customWidth="1"/>
    <col min="8960" max="8960" width="14.42578125" style="5" customWidth="1"/>
    <col min="8961" max="8961" width="3.7109375" style="5" customWidth="1"/>
    <col min="8962" max="8962" width="9.5703125" style="5" customWidth="1"/>
    <col min="8963" max="8963" width="8.140625" style="5" customWidth="1"/>
    <col min="8964" max="8964" width="9.42578125" style="5" bestFit="1" customWidth="1"/>
    <col min="8965" max="8965" width="12.42578125" style="5" customWidth="1"/>
    <col min="8966" max="8966" width="4.140625" style="5" customWidth="1"/>
    <col min="8967" max="8967" width="16" style="5" customWidth="1"/>
    <col min="8968" max="8968" width="4" style="5" customWidth="1"/>
    <col min="8969" max="8977" width="8.140625" style="5" customWidth="1"/>
    <col min="8978" max="8978" width="10" style="5" customWidth="1"/>
    <col min="8979" max="8979" width="9.85546875" style="5" bestFit="1" customWidth="1"/>
    <col min="8980" max="8980" width="9.7109375" style="5" customWidth="1"/>
    <col min="8981" max="8982" width="10" style="5" customWidth="1"/>
    <col min="8983" max="8983" width="9.85546875" style="5" bestFit="1" customWidth="1"/>
    <col min="8984" max="8984" width="9.7109375" style="5" customWidth="1"/>
    <col min="8985" max="8986" width="10" style="5" customWidth="1"/>
    <col min="8987" max="8987" width="9.85546875" style="5" bestFit="1" customWidth="1"/>
    <col min="8988" max="8988" width="9.42578125" style="5" customWidth="1"/>
    <col min="8989" max="8990" width="10" style="5" customWidth="1"/>
    <col min="8991" max="8991" width="9.85546875" style="5" bestFit="1" customWidth="1"/>
    <col min="8992" max="8992" width="9.7109375" style="5" customWidth="1"/>
    <col min="8993" max="8994" width="10" style="5" customWidth="1"/>
    <col min="8995" max="8995" width="9.85546875" style="5" bestFit="1" customWidth="1"/>
    <col min="8996" max="8996" width="9.7109375" style="5" customWidth="1"/>
    <col min="8997" max="8998" width="10" style="5" customWidth="1"/>
    <col min="8999" max="8999" width="9.85546875" style="5" bestFit="1" customWidth="1"/>
    <col min="9000" max="9000" width="9.7109375" style="5" customWidth="1"/>
    <col min="9001" max="9002" width="10" style="5" customWidth="1"/>
    <col min="9003" max="9003" width="9.85546875" style="5" bestFit="1" customWidth="1"/>
    <col min="9004" max="9004" width="9.7109375" style="5" customWidth="1"/>
    <col min="9005" max="9006" width="10" style="5" customWidth="1"/>
    <col min="9007" max="9007" width="9.85546875" style="5" bestFit="1" customWidth="1"/>
    <col min="9008" max="9008" width="9.7109375" style="5" customWidth="1"/>
    <col min="9009" max="9010" width="10" style="5" customWidth="1"/>
    <col min="9011" max="9011" width="9.85546875" style="5" bestFit="1" customWidth="1"/>
    <col min="9012" max="9012" width="10.7109375" style="5" customWidth="1"/>
    <col min="9013" max="9013" width="13.140625" style="5" customWidth="1"/>
    <col min="9014" max="9014" width="10" style="5" bestFit="1" customWidth="1"/>
    <col min="9015" max="9015" width="9.85546875" style="5" bestFit="1" customWidth="1"/>
    <col min="9016" max="9016" width="9.7109375" style="5" bestFit="1" customWidth="1"/>
    <col min="9017" max="9018" width="10" style="5" bestFit="1" customWidth="1"/>
    <col min="9019" max="9214" width="9.140625" style="5"/>
    <col min="9215" max="9215" width="3.7109375" style="5" customWidth="1"/>
    <col min="9216" max="9216" width="14.42578125" style="5" customWidth="1"/>
    <col min="9217" max="9217" width="3.7109375" style="5" customWidth="1"/>
    <col min="9218" max="9218" width="9.5703125" style="5" customWidth="1"/>
    <col min="9219" max="9219" width="8.140625" style="5" customWidth="1"/>
    <col min="9220" max="9220" width="9.42578125" style="5" bestFit="1" customWidth="1"/>
    <col min="9221" max="9221" width="12.42578125" style="5" customWidth="1"/>
    <col min="9222" max="9222" width="4.140625" style="5" customWidth="1"/>
    <col min="9223" max="9223" width="16" style="5" customWidth="1"/>
    <col min="9224" max="9224" width="4" style="5" customWidth="1"/>
    <col min="9225" max="9233" width="8.140625" style="5" customWidth="1"/>
    <col min="9234" max="9234" width="10" style="5" customWidth="1"/>
    <col min="9235" max="9235" width="9.85546875" style="5" bestFit="1" customWidth="1"/>
    <col min="9236" max="9236" width="9.7109375" style="5" customWidth="1"/>
    <col min="9237" max="9238" width="10" style="5" customWidth="1"/>
    <col min="9239" max="9239" width="9.85546875" style="5" bestFit="1" customWidth="1"/>
    <col min="9240" max="9240" width="9.7109375" style="5" customWidth="1"/>
    <col min="9241" max="9242" width="10" style="5" customWidth="1"/>
    <col min="9243" max="9243" width="9.85546875" style="5" bestFit="1" customWidth="1"/>
    <col min="9244" max="9244" width="9.42578125" style="5" customWidth="1"/>
    <col min="9245" max="9246" width="10" style="5" customWidth="1"/>
    <col min="9247" max="9247" width="9.85546875" style="5" bestFit="1" customWidth="1"/>
    <col min="9248" max="9248" width="9.7109375" style="5" customWidth="1"/>
    <col min="9249" max="9250" width="10" style="5" customWidth="1"/>
    <col min="9251" max="9251" width="9.85546875" style="5" bestFit="1" customWidth="1"/>
    <col min="9252" max="9252" width="9.7109375" style="5" customWidth="1"/>
    <col min="9253" max="9254" width="10" style="5" customWidth="1"/>
    <col min="9255" max="9255" width="9.85546875" style="5" bestFit="1" customWidth="1"/>
    <col min="9256" max="9256" width="9.7109375" style="5" customWidth="1"/>
    <col min="9257" max="9258" width="10" style="5" customWidth="1"/>
    <col min="9259" max="9259" width="9.85546875" style="5" bestFit="1" customWidth="1"/>
    <col min="9260" max="9260" width="9.7109375" style="5" customWidth="1"/>
    <col min="9261" max="9262" width="10" style="5" customWidth="1"/>
    <col min="9263" max="9263" width="9.85546875" style="5" bestFit="1" customWidth="1"/>
    <col min="9264" max="9264" width="9.7109375" style="5" customWidth="1"/>
    <col min="9265" max="9266" width="10" style="5" customWidth="1"/>
    <col min="9267" max="9267" width="9.85546875" style="5" bestFit="1" customWidth="1"/>
    <col min="9268" max="9268" width="10.7109375" style="5" customWidth="1"/>
    <col min="9269" max="9269" width="13.140625" style="5" customWidth="1"/>
    <col min="9270" max="9270" width="10" style="5" bestFit="1" customWidth="1"/>
    <col min="9271" max="9271" width="9.85546875" style="5" bestFit="1" customWidth="1"/>
    <col min="9272" max="9272" width="9.7109375" style="5" bestFit="1" customWidth="1"/>
    <col min="9273" max="9274" width="10" style="5" bestFit="1" customWidth="1"/>
    <col min="9275" max="9470" width="9.140625" style="5"/>
    <col min="9471" max="9471" width="3.7109375" style="5" customWidth="1"/>
    <col min="9472" max="9472" width="14.42578125" style="5" customWidth="1"/>
    <col min="9473" max="9473" width="3.7109375" style="5" customWidth="1"/>
    <col min="9474" max="9474" width="9.5703125" style="5" customWidth="1"/>
    <col min="9475" max="9475" width="8.140625" style="5" customWidth="1"/>
    <col min="9476" max="9476" width="9.42578125" style="5" bestFit="1" customWidth="1"/>
    <col min="9477" max="9477" width="12.42578125" style="5" customWidth="1"/>
    <col min="9478" max="9478" width="4.140625" style="5" customWidth="1"/>
    <col min="9479" max="9479" width="16" style="5" customWidth="1"/>
    <col min="9480" max="9480" width="4" style="5" customWidth="1"/>
    <col min="9481" max="9489" width="8.140625" style="5" customWidth="1"/>
    <col min="9490" max="9490" width="10" style="5" customWidth="1"/>
    <col min="9491" max="9491" width="9.85546875" style="5" bestFit="1" customWidth="1"/>
    <col min="9492" max="9492" width="9.7109375" style="5" customWidth="1"/>
    <col min="9493" max="9494" width="10" style="5" customWidth="1"/>
    <col min="9495" max="9495" width="9.85546875" style="5" bestFit="1" customWidth="1"/>
    <col min="9496" max="9496" width="9.7109375" style="5" customWidth="1"/>
    <col min="9497" max="9498" width="10" style="5" customWidth="1"/>
    <col min="9499" max="9499" width="9.85546875" style="5" bestFit="1" customWidth="1"/>
    <col min="9500" max="9500" width="9.42578125" style="5" customWidth="1"/>
    <col min="9501" max="9502" width="10" style="5" customWidth="1"/>
    <col min="9503" max="9503" width="9.85546875" style="5" bestFit="1" customWidth="1"/>
    <col min="9504" max="9504" width="9.7109375" style="5" customWidth="1"/>
    <col min="9505" max="9506" width="10" style="5" customWidth="1"/>
    <col min="9507" max="9507" width="9.85546875" style="5" bestFit="1" customWidth="1"/>
    <col min="9508" max="9508" width="9.7109375" style="5" customWidth="1"/>
    <col min="9509" max="9510" width="10" style="5" customWidth="1"/>
    <col min="9511" max="9511" width="9.85546875" style="5" bestFit="1" customWidth="1"/>
    <col min="9512" max="9512" width="9.7109375" style="5" customWidth="1"/>
    <col min="9513" max="9514" width="10" style="5" customWidth="1"/>
    <col min="9515" max="9515" width="9.85546875" style="5" bestFit="1" customWidth="1"/>
    <col min="9516" max="9516" width="9.7109375" style="5" customWidth="1"/>
    <col min="9517" max="9518" width="10" style="5" customWidth="1"/>
    <col min="9519" max="9519" width="9.85546875" style="5" bestFit="1" customWidth="1"/>
    <col min="9520" max="9520" width="9.7109375" style="5" customWidth="1"/>
    <col min="9521" max="9522" width="10" style="5" customWidth="1"/>
    <col min="9523" max="9523" width="9.85546875" style="5" bestFit="1" customWidth="1"/>
    <col min="9524" max="9524" width="10.7109375" style="5" customWidth="1"/>
    <col min="9525" max="9525" width="13.140625" style="5" customWidth="1"/>
    <col min="9526" max="9526" width="10" style="5" bestFit="1" customWidth="1"/>
    <col min="9527" max="9527" width="9.85546875" style="5" bestFit="1" customWidth="1"/>
    <col min="9528" max="9528" width="9.7109375" style="5" bestFit="1" customWidth="1"/>
    <col min="9529" max="9530" width="10" style="5" bestFit="1" customWidth="1"/>
    <col min="9531" max="9726" width="9.140625" style="5"/>
    <col min="9727" max="9727" width="3.7109375" style="5" customWidth="1"/>
    <col min="9728" max="9728" width="14.42578125" style="5" customWidth="1"/>
    <col min="9729" max="9729" width="3.7109375" style="5" customWidth="1"/>
    <col min="9730" max="9730" width="9.5703125" style="5" customWidth="1"/>
    <col min="9731" max="9731" width="8.140625" style="5" customWidth="1"/>
    <col min="9732" max="9732" width="9.42578125" style="5" bestFit="1" customWidth="1"/>
    <col min="9733" max="9733" width="12.42578125" style="5" customWidth="1"/>
    <col min="9734" max="9734" width="4.140625" style="5" customWidth="1"/>
    <col min="9735" max="9735" width="16" style="5" customWidth="1"/>
    <col min="9736" max="9736" width="4" style="5" customWidth="1"/>
    <col min="9737" max="9745" width="8.140625" style="5" customWidth="1"/>
    <col min="9746" max="9746" width="10" style="5" customWidth="1"/>
    <col min="9747" max="9747" width="9.85546875" style="5" bestFit="1" customWidth="1"/>
    <col min="9748" max="9748" width="9.7109375" style="5" customWidth="1"/>
    <col min="9749" max="9750" width="10" style="5" customWidth="1"/>
    <col min="9751" max="9751" width="9.85546875" style="5" bestFit="1" customWidth="1"/>
    <col min="9752" max="9752" width="9.7109375" style="5" customWidth="1"/>
    <col min="9753" max="9754" width="10" style="5" customWidth="1"/>
    <col min="9755" max="9755" width="9.85546875" style="5" bestFit="1" customWidth="1"/>
    <col min="9756" max="9756" width="9.42578125" style="5" customWidth="1"/>
    <col min="9757" max="9758" width="10" style="5" customWidth="1"/>
    <col min="9759" max="9759" width="9.85546875" style="5" bestFit="1" customWidth="1"/>
    <col min="9760" max="9760" width="9.7109375" style="5" customWidth="1"/>
    <col min="9761" max="9762" width="10" style="5" customWidth="1"/>
    <col min="9763" max="9763" width="9.85546875" style="5" bestFit="1" customWidth="1"/>
    <col min="9764" max="9764" width="9.7109375" style="5" customWidth="1"/>
    <col min="9765" max="9766" width="10" style="5" customWidth="1"/>
    <col min="9767" max="9767" width="9.85546875" style="5" bestFit="1" customWidth="1"/>
    <col min="9768" max="9768" width="9.7109375" style="5" customWidth="1"/>
    <col min="9769" max="9770" width="10" style="5" customWidth="1"/>
    <col min="9771" max="9771" width="9.85546875" style="5" bestFit="1" customWidth="1"/>
    <col min="9772" max="9772" width="9.7109375" style="5" customWidth="1"/>
    <col min="9773" max="9774" width="10" style="5" customWidth="1"/>
    <col min="9775" max="9775" width="9.85546875" style="5" bestFit="1" customWidth="1"/>
    <col min="9776" max="9776" width="9.7109375" style="5" customWidth="1"/>
    <col min="9777" max="9778" width="10" style="5" customWidth="1"/>
    <col min="9779" max="9779" width="9.85546875" style="5" bestFit="1" customWidth="1"/>
    <col min="9780" max="9780" width="10.7109375" style="5" customWidth="1"/>
    <col min="9781" max="9781" width="13.140625" style="5" customWidth="1"/>
    <col min="9782" max="9782" width="10" style="5" bestFit="1" customWidth="1"/>
    <col min="9783" max="9783" width="9.85546875" style="5" bestFit="1" customWidth="1"/>
    <col min="9784" max="9784" width="9.7109375" style="5" bestFit="1" customWidth="1"/>
    <col min="9785" max="9786" width="10" style="5" bestFit="1" customWidth="1"/>
    <col min="9787" max="9982" width="9.140625" style="5"/>
    <col min="9983" max="9983" width="3.7109375" style="5" customWidth="1"/>
    <col min="9984" max="9984" width="14.42578125" style="5" customWidth="1"/>
    <col min="9985" max="9985" width="3.7109375" style="5" customWidth="1"/>
    <col min="9986" max="9986" width="9.5703125" style="5" customWidth="1"/>
    <col min="9987" max="9987" width="8.140625" style="5" customWidth="1"/>
    <col min="9988" max="9988" width="9.42578125" style="5" bestFit="1" customWidth="1"/>
    <col min="9989" max="9989" width="12.42578125" style="5" customWidth="1"/>
    <col min="9990" max="9990" width="4.140625" style="5" customWidth="1"/>
    <col min="9991" max="9991" width="16" style="5" customWidth="1"/>
    <col min="9992" max="9992" width="4" style="5" customWidth="1"/>
    <col min="9993" max="10001" width="8.140625" style="5" customWidth="1"/>
    <col min="10002" max="10002" width="10" style="5" customWidth="1"/>
    <col min="10003" max="10003" width="9.85546875" style="5" bestFit="1" customWidth="1"/>
    <col min="10004" max="10004" width="9.7109375" style="5" customWidth="1"/>
    <col min="10005" max="10006" width="10" style="5" customWidth="1"/>
    <col min="10007" max="10007" width="9.85546875" style="5" bestFit="1" customWidth="1"/>
    <col min="10008" max="10008" width="9.7109375" style="5" customWidth="1"/>
    <col min="10009" max="10010" width="10" style="5" customWidth="1"/>
    <col min="10011" max="10011" width="9.85546875" style="5" bestFit="1" customWidth="1"/>
    <col min="10012" max="10012" width="9.42578125" style="5" customWidth="1"/>
    <col min="10013" max="10014" width="10" style="5" customWidth="1"/>
    <col min="10015" max="10015" width="9.85546875" style="5" bestFit="1" customWidth="1"/>
    <col min="10016" max="10016" width="9.7109375" style="5" customWidth="1"/>
    <col min="10017" max="10018" width="10" style="5" customWidth="1"/>
    <col min="10019" max="10019" width="9.85546875" style="5" bestFit="1" customWidth="1"/>
    <col min="10020" max="10020" width="9.7109375" style="5" customWidth="1"/>
    <col min="10021" max="10022" width="10" style="5" customWidth="1"/>
    <col min="10023" max="10023" width="9.85546875" style="5" bestFit="1" customWidth="1"/>
    <col min="10024" max="10024" width="9.7109375" style="5" customWidth="1"/>
    <col min="10025" max="10026" width="10" style="5" customWidth="1"/>
    <col min="10027" max="10027" width="9.85546875" style="5" bestFit="1" customWidth="1"/>
    <col min="10028" max="10028" width="9.7109375" style="5" customWidth="1"/>
    <col min="10029" max="10030" width="10" style="5" customWidth="1"/>
    <col min="10031" max="10031" width="9.85546875" style="5" bestFit="1" customWidth="1"/>
    <col min="10032" max="10032" width="9.7109375" style="5" customWidth="1"/>
    <col min="10033" max="10034" width="10" style="5" customWidth="1"/>
    <col min="10035" max="10035" width="9.85546875" style="5" bestFit="1" customWidth="1"/>
    <col min="10036" max="10036" width="10.7109375" style="5" customWidth="1"/>
    <col min="10037" max="10037" width="13.140625" style="5" customWidth="1"/>
    <col min="10038" max="10038" width="10" style="5" bestFit="1" customWidth="1"/>
    <col min="10039" max="10039" width="9.85546875" style="5" bestFit="1" customWidth="1"/>
    <col min="10040" max="10040" width="9.7109375" style="5" bestFit="1" customWidth="1"/>
    <col min="10041" max="10042" width="10" style="5" bestFit="1" customWidth="1"/>
    <col min="10043" max="10238" width="9.140625" style="5"/>
    <col min="10239" max="10239" width="3.7109375" style="5" customWidth="1"/>
    <col min="10240" max="10240" width="14.42578125" style="5" customWidth="1"/>
    <col min="10241" max="10241" width="3.7109375" style="5" customWidth="1"/>
    <col min="10242" max="10242" width="9.5703125" style="5" customWidth="1"/>
    <col min="10243" max="10243" width="8.140625" style="5" customWidth="1"/>
    <col min="10244" max="10244" width="9.42578125" style="5" bestFit="1" customWidth="1"/>
    <col min="10245" max="10245" width="12.42578125" style="5" customWidth="1"/>
    <col min="10246" max="10246" width="4.140625" style="5" customWidth="1"/>
    <col min="10247" max="10247" width="16" style="5" customWidth="1"/>
    <col min="10248" max="10248" width="4" style="5" customWidth="1"/>
    <col min="10249" max="10257" width="8.140625" style="5" customWidth="1"/>
    <col min="10258" max="10258" width="10" style="5" customWidth="1"/>
    <col min="10259" max="10259" width="9.85546875" style="5" bestFit="1" customWidth="1"/>
    <col min="10260" max="10260" width="9.7109375" style="5" customWidth="1"/>
    <col min="10261" max="10262" width="10" style="5" customWidth="1"/>
    <col min="10263" max="10263" width="9.85546875" style="5" bestFit="1" customWidth="1"/>
    <col min="10264" max="10264" width="9.7109375" style="5" customWidth="1"/>
    <col min="10265" max="10266" width="10" style="5" customWidth="1"/>
    <col min="10267" max="10267" width="9.85546875" style="5" bestFit="1" customWidth="1"/>
    <col min="10268" max="10268" width="9.42578125" style="5" customWidth="1"/>
    <col min="10269" max="10270" width="10" style="5" customWidth="1"/>
    <col min="10271" max="10271" width="9.85546875" style="5" bestFit="1" customWidth="1"/>
    <col min="10272" max="10272" width="9.7109375" style="5" customWidth="1"/>
    <col min="10273" max="10274" width="10" style="5" customWidth="1"/>
    <col min="10275" max="10275" width="9.85546875" style="5" bestFit="1" customWidth="1"/>
    <col min="10276" max="10276" width="9.7109375" style="5" customWidth="1"/>
    <col min="10277" max="10278" width="10" style="5" customWidth="1"/>
    <col min="10279" max="10279" width="9.85546875" style="5" bestFit="1" customWidth="1"/>
    <col min="10280" max="10280" width="9.7109375" style="5" customWidth="1"/>
    <col min="10281" max="10282" width="10" style="5" customWidth="1"/>
    <col min="10283" max="10283" width="9.85546875" style="5" bestFit="1" customWidth="1"/>
    <col min="10284" max="10284" width="9.7109375" style="5" customWidth="1"/>
    <col min="10285" max="10286" width="10" style="5" customWidth="1"/>
    <col min="10287" max="10287" width="9.85546875" style="5" bestFit="1" customWidth="1"/>
    <col min="10288" max="10288" width="9.7109375" style="5" customWidth="1"/>
    <col min="10289" max="10290" width="10" style="5" customWidth="1"/>
    <col min="10291" max="10291" width="9.85546875" style="5" bestFit="1" customWidth="1"/>
    <col min="10292" max="10292" width="10.7109375" style="5" customWidth="1"/>
    <col min="10293" max="10293" width="13.140625" style="5" customWidth="1"/>
    <col min="10294" max="10294" width="10" style="5" bestFit="1" customWidth="1"/>
    <col min="10295" max="10295" width="9.85546875" style="5" bestFit="1" customWidth="1"/>
    <col min="10296" max="10296" width="9.7109375" style="5" bestFit="1" customWidth="1"/>
    <col min="10297" max="10298" width="10" style="5" bestFit="1" customWidth="1"/>
    <col min="10299" max="10494" width="9.140625" style="5"/>
    <col min="10495" max="10495" width="3.7109375" style="5" customWidth="1"/>
    <col min="10496" max="10496" width="14.42578125" style="5" customWidth="1"/>
    <col min="10497" max="10497" width="3.7109375" style="5" customWidth="1"/>
    <col min="10498" max="10498" width="9.5703125" style="5" customWidth="1"/>
    <col min="10499" max="10499" width="8.140625" style="5" customWidth="1"/>
    <col min="10500" max="10500" width="9.42578125" style="5" bestFit="1" customWidth="1"/>
    <col min="10501" max="10501" width="12.42578125" style="5" customWidth="1"/>
    <col min="10502" max="10502" width="4.140625" style="5" customWidth="1"/>
    <col min="10503" max="10503" width="16" style="5" customWidth="1"/>
    <col min="10504" max="10504" width="4" style="5" customWidth="1"/>
    <col min="10505" max="10513" width="8.140625" style="5" customWidth="1"/>
    <col min="10514" max="10514" width="10" style="5" customWidth="1"/>
    <col min="10515" max="10515" width="9.85546875" style="5" bestFit="1" customWidth="1"/>
    <col min="10516" max="10516" width="9.7109375" style="5" customWidth="1"/>
    <col min="10517" max="10518" width="10" style="5" customWidth="1"/>
    <col min="10519" max="10519" width="9.85546875" style="5" bestFit="1" customWidth="1"/>
    <col min="10520" max="10520" width="9.7109375" style="5" customWidth="1"/>
    <col min="10521" max="10522" width="10" style="5" customWidth="1"/>
    <col min="10523" max="10523" width="9.85546875" style="5" bestFit="1" customWidth="1"/>
    <col min="10524" max="10524" width="9.42578125" style="5" customWidth="1"/>
    <col min="10525" max="10526" width="10" style="5" customWidth="1"/>
    <col min="10527" max="10527" width="9.85546875" style="5" bestFit="1" customWidth="1"/>
    <col min="10528" max="10528" width="9.7109375" style="5" customWidth="1"/>
    <col min="10529" max="10530" width="10" style="5" customWidth="1"/>
    <col min="10531" max="10531" width="9.85546875" style="5" bestFit="1" customWidth="1"/>
    <col min="10532" max="10532" width="9.7109375" style="5" customWidth="1"/>
    <col min="10533" max="10534" width="10" style="5" customWidth="1"/>
    <col min="10535" max="10535" width="9.85546875" style="5" bestFit="1" customWidth="1"/>
    <col min="10536" max="10536" width="9.7109375" style="5" customWidth="1"/>
    <col min="10537" max="10538" width="10" style="5" customWidth="1"/>
    <col min="10539" max="10539" width="9.85546875" style="5" bestFit="1" customWidth="1"/>
    <col min="10540" max="10540" width="9.7109375" style="5" customWidth="1"/>
    <col min="10541" max="10542" width="10" style="5" customWidth="1"/>
    <col min="10543" max="10543" width="9.85546875" style="5" bestFit="1" customWidth="1"/>
    <col min="10544" max="10544" width="9.7109375" style="5" customWidth="1"/>
    <col min="10545" max="10546" width="10" style="5" customWidth="1"/>
    <col min="10547" max="10547" width="9.85546875" style="5" bestFit="1" customWidth="1"/>
    <col min="10548" max="10548" width="10.7109375" style="5" customWidth="1"/>
    <col min="10549" max="10549" width="13.140625" style="5" customWidth="1"/>
    <col min="10550" max="10550" width="10" style="5" bestFit="1" customWidth="1"/>
    <col min="10551" max="10551" width="9.85546875" style="5" bestFit="1" customWidth="1"/>
    <col min="10552" max="10552" width="9.7109375" style="5" bestFit="1" customWidth="1"/>
    <col min="10553" max="10554" width="10" style="5" bestFit="1" customWidth="1"/>
    <col min="10555" max="10750" width="9.140625" style="5"/>
    <col min="10751" max="10751" width="3.7109375" style="5" customWidth="1"/>
    <col min="10752" max="10752" width="14.42578125" style="5" customWidth="1"/>
    <col min="10753" max="10753" width="3.7109375" style="5" customWidth="1"/>
    <col min="10754" max="10754" width="9.5703125" style="5" customWidth="1"/>
    <col min="10755" max="10755" width="8.140625" style="5" customWidth="1"/>
    <col min="10756" max="10756" width="9.42578125" style="5" bestFit="1" customWidth="1"/>
    <col min="10757" max="10757" width="12.42578125" style="5" customWidth="1"/>
    <col min="10758" max="10758" width="4.140625" style="5" customWidth="1"/>
    <col min="10759" max="10759" width="16" style="5" customWidth="1"/>
    <col min="10760" max="10760" width="4" style="5" customWidth="1"/>
    <col min="10761" max="10769" width="8.140625" style="5" customWidth="1"/>
    <col min="10770" max="10770" width="10" style="5" customWidth="1"/>
    <col min="10771" max="10771" width="9.85546875" style="5" bestFit="1" customWidth="1"/>
    <col min="10772" max="10772" width="9.7109375" style="5" customWidth="1"/>
    <col min="10773" max="10774" width="10" style="5" customWidth="1"/>
    <col min="10775" max="10775" width="9.85546875" style="5" bestFit="1" customWidth="1"/>
    <col min="10776" max="10776" width="9.7109375" style="5" customWidth="1"/>
    <col min="10777" max="10778" width="10" style="5" customWidth="1"/>
    <col min="10779" max="10779" width="9.85546875" style="5" bestFit="1" customWidth="1"/>
    <col min="10780" max="10780" width="9.42578125" style="5" customWidth="1"/>
    <col min="10781" max="10782" width="10" style="5" customWidth="1"/>
    <col min="10783" max="10783" width="9.85546875" style="5" bestFit="1" customWidth="1"/>
    <col min="10784" max="10784" width="9.7109375" style="5" customWidth="1"/>
    <col min="10785" max="10786" width="10" style="5" customWidth="1"/>
    <col min="10787" max="10787" width="9.85546875" style="5" bestFit="1" customWidth="1"/>
    <col min="10788" max="10788" width="9.7109375" style="5" customWidth="1"/>
    <col min="10789" max="10790" width="10" style="5" customWidth="1"/>
    <col min="10791" max="10791" width="9.85546875" style="5" bestFit="1" customWidth="1"/>
    <col min="10792" max="10792" width="9.7109375" style="5" customWidth="1"/>
    <col min="10793" max="10794" width="10" style="5" customWidth="1"/>
    <col min="10795" max="10795" width="9.85546875" style="5" bestFit="1" customWidth="1"/>
    <col min="10796" max="10796" width="9.7109375" style="5" customWidth="1"/>
    <col min="10797" max="10798" width="10" style="5" customWidth="1"/>
    <col min="10799" max="10799" width="9.85546875" style="5" bestFit="1" customWidth="1"/>
    <col min="10800" max="10800" width="9.7109375" style="5" customWidth="1"/>
    <col min="10801" max="10802" width="10" style="5" customWidth="1"/>
    <col min="10803" max="10803" width="9.85546875" style="5" bestFit="1" customWidth="1"/>
    <col min="10804" max="10804" width="10.7109375" style="5" customWidth="1"/>
    <col min="10805" max="10805" width="13.140625" style="5" customWidth="1"/>
    <col min="10806" max="10806" width="10" style="5" bestFit="1" customWidth="1"/>
    <col min="10807" max="10807" width="9.85546875" style="5" bestFit="1" customWidth="1"/>
    <col min="10808" max="10808" width="9.7109375" style="5" bestFit="1" customWidth="1"/>
    <col min="10809" max="10810" width="10" style="5" bestFit="1" customWidth="1"/>
    <col min="10811" max="11006" width="9.140625" style="5"/>
    <col min="11007" max="11007" width="3.7109375" style="5" customWidth="1"/>
    <col min="11008" max="11008" width="14.42578125" style="5" customWidth="1"/>
    <col min="11009" max="11009" width="3.7109375" style="5" customWidth="1"/>
    <col min="11010" max="11010" width="9.5703125" style="5" customWidth="1"/>
    <col min="11011" max="11011" width="8.140625" style="5" customWidth="1"/>
    <col min="11012" max="11012" width="9.42578125" style="5" bestFit="1" customWidth="1"/>
    <col min="11013" max="11013" width="12.42578125" style="5" customWidth="1"/>
    <col min="11014" max="11014" width="4.140625" style="5" customWidth="1"/>
    <col min="11015" max="11015" width="16" style="5" customWidth="1"/>
    <col min="11016" max="11016" width="4" style="5" customWidth="1"/>
    <col min="11017" max="11025" width="8.140625" style="5" customWidth="1"/>
    <col min="11026" max="11026" width="10" style="5" customWidth="1"/>
    <col min="11027" max="11027" width="9.85546875" style="5" bestFit="1" customWidth="1"/>
    <col min="11028" max="11028" width="9.7109375" style="5" customWidth="1"/>
    <col min="11029" max="11030" width="10" style="5" customWidth="1"/>
    <col min="11031" max="11031" width="9.85546875" style="5" bestFit="1" customWidth="1"/>
    <col min="11032" max="11032" width="9.7109375" style="5" customWidth="1"/>
    <col min="11033" max="11034" width="10" style="5" customWidth="1"/>
    <col min="11035" max="11035" width="9.85546875" style="5" bestFit="1" customWidth="1"/>
    <col min="11036" max="11036" width="9.42578125" style="5" customWidth="1"/>
    <col min="11037" max="11038" width="10" style="5" customWidth="1"/>
    <col min="11039" max="11039" width="9.85546875" style="5" bestFit="1" customWidth="1"/>
    <col min="11040" max="11040" width="9.7109375" style="5" customWidth="1"/>
    <col min="11041" max="11042" width="10" style="5" customWidth="1"/>
    <col min="11043" max="11043" width="9.85546875" style="5" bestFit="1" customWidth="1"/>
    <col min="11044" max="11044" width="9.7109375" style="5" customWidth="1"/>
    <col min="11045" max="11046" width="10" style="5" customWidth="1"/>
    <col min="11047" max="11047" width="9.85546875" style="5" bestFit="1" customWidth="1"/>
    <col min="11048" max="11048" width="9.7109375" style="5" customWidth="1"/>
    <col min="11049" max="11050" width="10" style="5" customWidth="1"/>
    <col min="11051" max="11051" width="9.85546875" style="5" bestFit="1" customWidth="1"/>
    <col min="11052" max="11052" width="9.7109375" style="5" customWidth="1"/>
    <col min="11053" max="11054" width="10" style="5" customWidth="1"/>
    <col min="11055" max="11055" width="9.85546875" style="5" bestFit="1" customWidth="1"/>
    <col min="11056" max="11056" width="9.7109375" style="5" customWidth="1"/>
    <col min="11057" max="11058" width="10" style="5" customWidth="1"/>
    <col min="11059" max="11059" width="9.85546875" style="5" bestFit="1" customWidth="1"/>
    <col min="11060" max="11060" width="10.7109375" style="5" customWidth="1"/>
    <col min="11061" max="11061" width="13.140625" style="5" customWidth="1"/>
    <col min="11062" max="11062" width="10" style="5" bestFit="1" customWidth="1"/>
    <col min="11063" max="11063" width="9.85546875" style="5" bestFit="1" customWidth="1"/>
    <col min="11064" max="11064" width="9.7109375" style="5" bestFit="1" customWidth="1"/>
    <col min="11065" max="11066" width="10" style="5" bestFit="1" customWidth="1"/>
    <col min="11067" max="11262" width="9.140625" style="5"/>
    <col min="11263" max="11263" width="3.7109375" style="5" customWidth="1"/>
    <col min="11264" max="11264" width="14.42578125" style="5" customWidth="1"/>
    <col min="11265" max="11265" width="3.7109375" style="5" customWidth="1"/>
    <col min="11266" max="11266" width="9.5703125" style="5" customWidth="1"/>
    <col min="11267" max="11267" width="8.140625" style="5" customWidth="1"/>
    <col min="11268" max="11268" width="9.42578125" style="5" bestFit="1" customWidth="1"/>
    <col min="11269" max="11269" width="12.42578125" style="5" customWidth="1"/>
    <col min="11270" max="11270" width="4.140625" style="5" customWidth="1"/>
    <col min="11271" max="11271" width="16" style="5" customWidth="1"/>
    <col min="11272" max="11272" width="4" style="5" customWidth="1"/>
    <col min="11273" max="11281" width="8.140625" style="5" customWidth="1"/>
    <col min="11282" max="11282" width="10" style="5" customWidth="1"/>
    <col min="11283" max="11283" width="9.85546875" style="5" bestFit="1" customWidth="1"/>
    <col min="11284" max="11284" width="9.7109375" style="5" customWidth="1"/>
    <col min="11285" max="11286" width="10" style="5" customWidth="1"/>
    <col min="11287" max="11287" width="9.85546875" style="5" bestFit="1" customWidth="1"/>
    <col min="11288" max="11288" width="9.7109375" style="5" customWidth="1"/>
    <col min="11289" max="11290" width="10" style="5" customWidth="1"/>
    <col min="11291" max="11291" width="9.85546875" style="5" bestFit="1" customWidth="1"/>
    <col min="11292" max="11292" width="9.42578125" style="5" customWidth="1"/>
    <col min="11293" max="11294" width="10" style="5" customWidth="1"/>
    <col min="11295" max="11295" width="9.85546875" style="5" bestFit="1" customWidth="1"/>
    <col min="11296" max="11296" width="9.7109375" style="5" customWidth="1"/>
    <col min="11297" max="11298" width="10" style="5" customWidth="1"/>
    <col min="11299" max="11299" width="9.85546875" style="5" bestFit="1" customWidth="1"/>
    <col min="11300" max="11300" width="9.7109375" style="5" customWidth="1"/>
    <col min="11301" max="11302" width="10" style="5" customWidth="1"/>
    <col min="11303" max="11303" width="9.85546875" style="5" bestFit="1" customWidth="1"/>
    <col min="11304" max="11304" width="9.7109375" style="5" customWidth="1"/>
    <col min="11305" max="11306" width="10" style="5" customWidth="1"/>
    <col min="11307" max="11307" width="9.85546875" style="5" bestFit="1" customWidth="1"/>
    <col min="11308" max="11308" width="9.7109375" style="5" customWidth="1"/>
    <col min="11309" max="11310" width="10" style="5" customWidth="1"/>
    <col min="11311" max="11311" width="9.85546875" style="5" bestFit="1" customWidth="1"/>
    <col min="11312" max="11312" width="9.7109375" style="5" customWidth="1"/>
    <col min="11313" max="11314" width="10" style="5" customWidth="1"/>
    <col min="11315" max="11315" width="9.85546875" style="5" bestFit="1" customWidth="1"/>
    <col min="11316" max="11316" width="10.7109375" style="5" customWidth="1"/>
    <col min="11317" max="11317" width="13.140625" style="5" customWidth="1"/>
    <col min="11318" max="11318" width="10" style="5" bestFit="1" customWidth="1"/>
    <col min="11319" max="11319" width="9.85546875" style="5" bestFit="1" customWidth="1"/>
    <col min="11320" max="11320" width="9.7109375" style="5" bestFit="1" customWidth="1"/>
    <col min="11321" max="11322" width="10" style="5" bestFit="1" customWidth="1"/>
    <col min="11323" max="11518" width="9.140625" style="5"/>
    <col min="11519" max="11519" width="3.7109375" style="5" customWidth="1"/>
    <col min="11520" max="11520" width="14.42578125" style="5" customWidth="1"/>
    <col min="11521" max="11521" width="3.7109375" style="5" customWidth="1"/>
    <col min="11522" max="11522" width="9.5703125" style="5" customWidth="1"/>
    <col min="11523" max="11523" width="8.140625" style="5" customWidth="1"/>
    <col min="11524" max="11524" width="9.42578125" style="5" bestFit="1" customWidth="1"/>
    <col min="11525" max="11525" width="12.42578125" style="5" customWidth="1"/>
    <col min="11526" max="11526" width="4.140625" style="5" customWidth="1"/>
    <col min="11527" max="11527" width="16" style="5" customWidth="1"/>
    <col min="11528" max="11528" width="4" style="5" customWidth="1"/>
    <col min="11529" max="11537" width="8.140625" style="5" customWidth="1"/>
    <col min="11538" max="11538" width="10" style="5" customWidth="1"/>
    <col min="11539" max="11539" width="9.85546875" style="5" bestFit="1" customWidth="1"/>
    <col min="11540" max="11540" width="9.7109375" style="5" customWidth="1"/>
    <col min="11541" max="11542" width="10" style="5" customWidth="1"/>
    <col min="11543" max="11543" width="9.85546875" style="5" bestFit="1" customWidth="1"/>
    <col min="11544" max="11544" width="9.7109375" style="5" customWidth="1"/>
    <col min="11545" max="11546" width="10" style="5" customWidth="1"/>
    <col min="11547" max="11547" width="9.85546875" style="5" bestFit="1" customWidth="1"/>
    <col min="11548" max="11548" width="9.42578125" style="5" customWidth="1"/>
    <col min="11549" max="11550" width="10" style="5" customWidth="1"/>
    <col min="11551" max="11551" width="9.85546875" style="5" bestFit="1" customWidth="1"/>
    <col min="11552" max="11552" width="9.7109375" style="5" customWidth="1"/>
    <col min="11553" max="11554" width="10" style="5" customWidth="1"/>
    <col min="11555" max="11555" width="9.85546875" style="5" bestFit="1" customWidth="1"/>
    <col min="11556" max="11556" width="9.7109375" style="5" customWidth="1"/>
    <col min="11557" max="11558" width="10" style="5" customWidth="1"/>
    <col min="11559" max="11559" width="9.85546875" style="5" bestFit="1" customWidth="1"/>
    <col min="11560" max="11560" width="9.7109375" style="5" customWidth="1"/>
    <col min="11561" max="11562" width="10" style="5" customWidth="1"/>
    <col min="11563" max="11563" width="9.85546875" style="5" bestFit="1" customWidth="1"/>
    <col min="11564" max="11564" width="9.7109375" style="5" customWidth="1"/>
    <col min="11565" max="11566" width="10" style="5" customWidth="1"/>
    <col min="11567" max="11567" width="9.85546875" style="5" bestFit="1" customWidth="1"/>
    <col min="11568" max="11568" width="9.7109375" style="5" customWidth="1"/>
    <col min="11569" max="11570" width="10" style="5" customWidth="1"/>
    <col min="11571" max="11571" width="9.85546875" style="5" bestFit="1" customWidth="1"/>
    <col min="11572" max="11572" width="10.7109375" style="5" customWidth="1"/>
    <col min="11573" max="11573" width="13.140625" style="5" customWidth="1"/>
    <col min="11574" max="11574" width="10" style="5" bestFit="1" customWidth="1"/>
    <col min="11575" max="11575" width="9.85546875" style="5" bestFit="1" customWidth="1"/>
    <col min="11576" max="11576" width="9.7109375" style="5" bestFit="1" customWidth="1"/>
    <col min="11577" max="11578" width="10" style="5" bestFit="1" customWidth="1"/>
    <col min="11579" max="11774" width="9.140625" style="5"/>
    <col min="11775" max="11775" width="3.7109375" style="5" customWidth="1"/>
    <col min="11776" max="11776" width="14.42578125" style="5" customWidth="1"/>
    <col min="11777" max="11777" width="3.7109375" style="5" customWidth="1"/>
    <col min="11778" max="11778" width="9.5703125" style="5" customWidth="1"/>
    <col min="11779" max="11779" width="8.140625" style="5" customWidth="1"/>
    <col min="11780" max="11780" width="9.42578125" style="5" bestFit="1" customWidth="1"/>
    <col min="11781" max="11781" width="12.42578125" style="5" customWidth="1"/>
    <col min="11782" max="11782" width="4.140625" style="5" customWidth="1"/>
    <col min="11783" max="11783" width="16" style="5" customWidth="1"/>
    <col min="11784" max="11784" width="4" style="5" customWidth="1"/>
    <col min="11785" max="11793" width="8.140625" style="5" customWidth="1"/>
    <col min="11794" max="11794" width="10" style="5" customWidth="1"/>
    <col min="11795" max="11795" width="9.85546875" style="5" bestFit="1" customWidth="1"/>
    <col min="11796" max="11796" width="9.7109375" style="5" customWidth="1"/>
    <col min="11797" max="11798" width="10" style="5" customWidth="1"/>
    <col min="11799" max="11799" width="9.85546875" style="5" bestFit="1" customWidth="1"/>
    <col min="11800" max="11800" width="9.7109375" style="5" customWidth="1"/>
    <col min="11801" max="11802" width="10" style="5" customWidth="1"/>
    <col min="11803" max="11803" width="9.85546875" style="5" bestFit="1" customWidth="1"/>
    <col min="11804" max="11804" width="9.42578125" style="5" customWidth="1"/>
    <col min="11805" max="11806" width="10" style="5" customWidth="1"/>
    <col min="11807" max="11807" width="9.85546875" style="5" bestFit="1" customWidth="1"/>
    <col min="11808" max="11808" width="9.7109375" style="5" customWidth="1"/>
    <col min="11809" max="11810" width="10" style="5" customWidth="1"/>
    <col min="11811" max="11811" width="9.85546875" style="5" bestFit="1" customWidth="1"/>
    <col min="11812" max="11812" width="9.7109375" style="5" customWidth="1"/>
    <col min="11813" max="11814" width="10" style="5" customWidth="1"/>
    <col min="11815" max="11815" width="9.85546875" style="5" bestFit="1" customWidth="1"/>
    <col min="11816" max="11816" width="9.7109375" style="5" customWidth="1"/>
    <col min="11817" max="11818" width="10" style="5" customWidth="1"/>
    <col min="11819" max="11819" width="9.85546875" style="5" bestFit="1" customWidth="1"/>
    <col min="11820" max="11820" width="9.7109375" style="5" customWidth="1"/>
    <col min="11821" max="11822" width="10" style="5" customWidth="1"/>
    <col min="11823" max="11823" width="9.85546875" style="5" bestFit="1" customWidth="1"/>
    <col min="11824" max="11824" width="9.7109375" style="5" customWidth="1"/>
    <col min="11825" max="11826" width="10" style="5" customWidth="1"/>
    <col min="11827" max="11827" width="9.85546875" style="5" bestFit="1" customWidth="1"/>
    <col min="11828" max="11828" width="10.7109375" style="5" customWidth="1"/>
    <col min="11829" max="11829" width="13.140625" style="5" customWidth="1"/>
    <col min="11830" max="11830" width="10" style="5" bestFit="1" customWidth="1"/>
    <col min="11831" max="11831" width="9.85546875" style="5" bestFit="1" customWidth="1"/>
    <col min="11832" max="11832" width="9.7109375" style="5" bestFit="1" customWidth="1"/>
    <col min="11833" max="11834" width="10" style="5" bestFit="1" customWidth="1"/>
    <col min="11835" max="12030" width="9.140625" style="5"/>
    <col min="12031" max="12031" width="3.7109375" style="5" customWidth="1"/>
    <col min="12032" max="12032" width="14.42578125" style="5" customWidth="1"/>
    <col min="12033" max="12033" width="3.7109375" style="5" customWidth="1"/>
    <col min="12034" max="12034" width="9.5703125" style="5" customWidth="1"/>
    <col min="12035" max="12035" width="8.140625" style="5" customWidth="1"/>
    <col min="12036" max="12036" width="9.42578125" style="5" bestFit="1" customWidth="1"/>
    <col min="12037" max="12037" width="12.42578125" style="5" customWidth="1"/>
    <col min="12038" max="12038" width="4.140625" style="5" customWidth="1"/>
    <col min="12039" max="12039" width="16" style="5" customWidth="1"/>
    <col min="12040" max="12040" width="4" style="5" customWidth="1"/>
    <col min="12041" max="12049" width="8.140625" style="5" customWidth="1"/>
    <col min="12050" max="12050" width="10" style="5" customWidth="1"/>
    <col min="12051" max="12051" width="9.85546875" style="5" bestFit="1" customWidth="1"/>
    <col min="12052" max="12052" width="9.7109375" style="5" customWidth="1"/>
    <col min="12053" max="12054" width="10" style="5" customWidth="1"/>
    <col min="12055" max="12055" width="9.85546875" style="5" bestFit="1" customWidth="1"/>
    <col min="12056" max="12056" width="9.7109375" style="5" customWidth="1"/>
    <col min="12057" max="12058" width="10" style="5" customWidth="1"/>
    <col min="12059" max="12059" width="9.85546875" style="5" bestFit="1" customWidth="1"/>
    <col min="12060" max="12060" width="9.42578125" style="5" customWidth="1"/>
    <col min="12061" max="12062" width="10" style="5" customWidth="1"/>
    <col min="12063" max="12063" width="9.85546875" style="5" bestFit="1" customWidth="1"/>
    <col min="12064" max="12064" width="9.7109375" style="5" customWidth="1"/>
    <col min="12065" max="12066" width="10" style="5" customWidth="1"/>
    <col min="12067" max="12067" width="9.85546875" style="5" bestFit="1" customWidth="1"/>
    <col min="12068" max="12068" width="9.7109375" style="5" customWidth="1"/>
    <col min="12069" max="12070" width="10" style="5" customWidth="1"/>
    <col min="12071" max="12071" width="9.85546875" style="5" bestFit="1" customWidth="1"/>
    <col min="12072" max="12072" width="9.7109375" style="5" customWidth="1"/>
    <col min="12073" max="12074" width="10" style="5" customWidth="1"/>
    <col min="12075" max="12075" width="9.85546875" style="5" bestFit="1" customWidth="1"/>
    <col min="12076" max="12076" width="9.7109375" style="5" customWidth="1"/>
    <col min="12077" max="12078" width="10" style="5" customWidth="1"/>
    <col min="12079" max="12079" width="9.85546875" style="5" bestFit="1" customWidth="1"/>
    <col min="12080" max="12080" width="9.7109375" style="5" customWidth="1"/>
    <col min="12081" max="12082" width="10" style="5" customWidth="1"/>
    <col min="12083" max="12083" width="9.85546875" style="5" bestFit="1" customWidth="1"/>
    <col min="12084" max="12084" width="10.7109375" style="5" customWidth="1"/>
    <col min="12085" max="12085" width="13.140625" style="5" customWidth="1"/>
    <col min="12086" max="12086" width="10" style="5" bestFit="1" customWidth="1"/>
    <col min="12087" max="12087" width="9.85546875" style="5" bestFit="1" customWidth="1"/>
    <col min="12088" max="12088" width="9.7109375" style="5" bestFit="1" customWidth="1"/>
    <col min="12089" max="12090" width="10" style="5" bestFit="1" customWidth="1"/>
    <col min="12091" max="12286" width="9.140625" style="5"/>
    <col min="12287" max="12287" width="3.7109375" style="5" customWidth="1"/>
    <col min="12288" max="12288" width="14.42578125" style="5" customWidth="1"/>
    <col min="12289" max="12289" width="3.7109375" style="5" customWidth="1"/>
    <col min="12290" max="12290" width="9.5703125" style="5" customWidth="1"/>
    <col min="12291" max="12291" width="8.140625" style="5" customWidth="1"/>
    <col min="12292" max="12292" width="9.42578125" style="5" bestFit="1" customWidth="1"/>
    <col min="12293" max="12293" width="12.42578125" style="5" customWidth="1"/>
    <col min="12294" max="12294" width="4.140625" style="5" customWidth="1"/>
    <col min="12295" max="12295" width="16" style="5" customWidth="1"/>
    <col min="12296" max="12296" width="4" style="5" customWidth="1"/>
    <col min="12297" max="12305" width="8.140625" style="5" customWidth="1"/>
    <col min="12306" max="12306" width="10" style="5" customWidth="1"/>
    <col min="12307" max="12307" width="9.85546875" style="5" bestFit="1" customWidth="1"/>
    <col min="12308" max="12308" width="9.7109375" style="5" customWidth="1"/>
    <col min="12309" max="12310" width="10" style="5" customWidth="1"/>
    <col min="12311" max="12311" width="9.85546875" style="5" bestFit="1" customWidth="1"/>
    <col min="12312" max="12312" width="9.7109375" style="5" customWidth="1"/>
    <col min="12313" max="12314" width="10" style="5" customWidth="1"/>
    <col min="12315" max="12315" width="9.85546875" style="5" bestFit="1" customWidth="1"/>
    <col min="12316" max="12316" width="9.42578125" style="5" customWidth="1"/>
    <col min="12317" max="12318" width="10" style="5" customWidth="1"/>
    <col min="12319" max="12319" width="9.85546875" style="5" bestFit="1" customWidth="1"/>
    <col min="12320" max="12320" width="9.7109375" style="5" customWidth="1"/>
    <col min="12321" max="12322" width="10" style="5" customWidth="1"/>
    <col min="12323" max="12323" width="9.85546875" style="5" bestFit="1" customWidth="1"/>
    <col min="12324" max="12324" width="9.7109375" style="5" customWidth="1"/>
    <col min="12325" max="12326" width="10" style="5" customWidth="1"/>
    <col min="12327" max="12327" width="9.85546875" style="5" bestFit="1" customWidth="1"/>
    <col min="12328" max="12328" width="9.7109375" style="5" customWidth="1"/>
    <col min="12329" max="12330" width="10" style="5" customWidth="1"/>
    <col min="12331" max="12331" width="9.85546875" style="5" bestFit="1" customWidth="1"/>
    <col min="12332" max="12332" width="9.7109375" style="5" customWidth="1"/>
    <col min="12333" max="12334" width="10" style="5" customWidth="1"/>
    <col min="12335" max="12335" width="9.85546875" style="5" bestFit="1" customWidth="1"/>
    <col min="12336" max="12336" width="9.7109375" style="5" customWidth="1"/>
    <col min="12337" max="12338" width="10" style="5" customWidth="1"/>
    <col min="12339" max="12339" width="9.85546875" style="5" bestFit="1" customWidth="1"/>
    <col min="12340" max="12340" width="10.7109375" style="5" customWidth="1"/>
    <col min="12341" max="12341" width="13.140625" style="5" customWidth="1"/>
    <col min="12342" max="12342" width="10" style="5" bestFit="1" customWidth="1"/>
    <col min="12343" max="12343" width="9.85546875" style="5" bestFit="1" customWidth="1"/>
    <col min="12344" max="12344" width="9.7109375" style="5" bestFit="1" customWidth="1"/>
    <col min="12345" max="12346" width="10" style="5" bestFit="1" customWidth="1"/>
    <col min="12347" max="12542" width="9.140625" style="5"/>
    <col min="12543" max="12543" width="3.7109375" style="5" customWidth="1"/>
    <col min="12544" max="12544" width="14.42578125" style="5" customWidth="1"/>
    <col min="12545" max="12545" width="3.7109375" style="5" customWidth="1"/>
    <col min="12546" max="12546" width="9.5703125" style="5" customWidth="1"/>
    <col min="12547" max="12547" width="8.140625" style="5" customWidth="1"/>
    <col min="12548" max="12548" width="9.42578125" style="5" bestFit="1" customWidth="1"/>
    <col min="12549" max="12549" width="12.42578125" style="5" customWidth="1"/>
    <col min="12550" max="12550" width="4.140625" style="5" customWidth="1"/>
    <col min="12551" max="12551" width="16" style="5" customWidth="1"/>
    <col min="12552" max="12552" width="4" style="5" customWidth="1"/>
    <col min="12553" max="12561" width="8.140625" style="5" customWidth="1"/>
    <col min="12562" max="12562" width="10" style="5" customWidth="1"/>
    <col min="12563" max="12563" width="9.85546875" style="5" bestFit="1" customWidth="1"/>
    <col min="12564" max="12564" width="9.7109375" style="5" customWidth="1"/>
    <col min="12565" max="12566" width="10" style="5" customWidth="1"/>
    <col min="12567" max="12567" width="9.85546875" style="5" bestFit="1" customWidth="1"/>
    <col min="12568" max="12568" width="9.7109375" style="5" customWidth="1"/>
    <col min="12569" max="12570" width="10" style="5" customWidth="1"/>
    <col min="12571" max="12571" width="9.85546875" style="5" bestFit="1" customWidth="1"/>
    <col min="12572" max="12572" width="9.42578125" style="5" customWidth="1"/>
    <col min="12573" max="12574" width="10" style="5" customWidth="1"/>
    <col min="12575" max="12575" width="9.85546875" style="5" bestFit="1" customWidth="1"/>
    <col min="12576" max="12576" width="9.7109375" style="5" customWidth="1"/>
    <col min="12577" max="12578" width="10" style="5" customWidth="1"/>
    <col min="12579" max="12579" width="9.85546875" style="5" bestFit="1" customWidth="1"/>
    <col min="12580" max="12580" width="9.7109375" style="5" customWidth="1"/>
    <col min="12581" max="12582" width="10" style="5" customWidth="1"/>
    <col min="12583" max="12583" width="9.85546875" style="5" bestFit="1" customWidth="1"/>
    <col min="12584" max="12584" width="9.7109375" style="5" customWidth="1"/>
    <col min="12585" max="12586" width="10" style="5" customWidth="1"/>
    <col min="12587" max="12587" width="9.85546875" style="5" bestFit="1" customWidth="1"/>
    <col min="12588" max="12588" width="9.7109375" style="5" customWidth="1"/>
    <col min="12589" max="12590" width="10" style="5" customWidth="1"/>
    <col min="12591" max="12591" width="9.85546875" style="5" bestFit="1" customWidth="1"/>
    <col min="12592" max="12592" width="9.7109375" style="5" customWidth="1"/>
    <col min="12593" max="12594" width="10" style="5" customWidth="1"/>
    <col min="12595" max="12595" width="9.85546875" style="5" bestFit="1" customWidth="1"/>
    <col min="12596" max="12596" width="10.7109375" style="5" customWidth="1"/>
    <col min="12597" max="12597" width="13.140625" style="5" customWidth="1"/>
    <col min="12598" max="12598" width="10" style="5" bestFit="1" customWidth="1"/>
    <col min="12599" max="12599" width="9.85546875" style="5" bestFit="1" customWidth="1"/>
    <col min="12600" max="12600" width="9.7109375" style="5" bestFit="1" customWidth="1"/>
    <col min="12601" max="12602" width="10" style="5" bestFit="1" customWidth="1"/>
    <col min="12603" max="12798" width="9.140625" style="5"/>
    <col min="12799" max="12799" width="3.7109375" style="5" customWidth="1"/>
    <col min="12800" max="12800" width="14.42578125" style="5" customWidth="1"/>
    <col min="12801" max="12801" width="3.7109375" style="5" customWidth="1"/>
    <col min="12802" max="12802" width="9.5703125" style="5" customWidth="1"/>
    <col min="12803" max="12803" width="8.140625" style="5" customWidth="1"/>
    <col min="12804" max="12804" width="9.42578125" style="5" bestFit="1" customWidth="1"/>
    <col min="12805" max="12805" width="12.42578125" style="5" customWidth="1"/>
    <col min="12806" max="12806" width="4.140625" style="5" customWidth="1"/>
    <col min="12807" max="12807" width="16" style="5" customWidth="1"/>
    <col min="12808" max="12808" width="4" style="5" customWidth="1"/>
    <col min="12809" max="12817" width="8.140625" style="5" customWidth="1"/>
    <col min="12818" max="12818" width="10" style="5" customWidth="1"/>
    <col min="12819" max="12819" width="9.85546875" style="5" bestFit="1" customWidth="1"/>
    <col min="12820" max="12820" width="9.7109375" style="5" customWidth="1"/>
    <col min="12821" max="12822" width="10" style="5" customWidth="1"/>
    <col min="12823" max="12823" width="9.85546875" style="5" bestFit="1" customWidth="1"/>
    <col min="12824" max="12824" width="9.7109375" style="5" customWidth="1"/>
    <col min="12825" max="12826" width="10" style="5" customWidth="1"/>
    <col min="12827" max="12827" width="9.85546875" style="5" bestFit="1" customWidth="1"/>
    <col min="12828" max="12828" width="9.42578125" style="5" customWidth="1"/>
    <col min="12829" max="12830" width="10" style="5" customWidth="1"/>
    <col min="12831" max="12831" width="9.85546875" style="5" bestFit="1" customWidth="1"/>
    <col min="12832" max="12832" width="9.7109375" style="5" customWidth="1"/>
    <col min="12833" max="12834" width="10" style="5" customWidth="1"/>
    <col min="12835" max="12835" width="9.85546875" style="5" bestFit="1" customWidth="1"/>
    <col min="12836" max="12836" width="9.7109375" style="5" customWidth="1"/>
    <col min="12837" max="12838" width="10" style="5" customWidth="1"/>
    <col min="12839" max="12839" width="9.85546875" style="5" bestFit="1" customWidth="1"/>
    <col min="12840" max="12840" width="9.7109375" style="5" customWidth="1"/>
    <col min="12841" max="12842" width="10" style="5" customWidth="1"/>
    <col min="12843" max="12843" width="9.85546875" style="5" bestFit="1" customWidth="1"/>
    <col min="12844" max="12844" width="9.7109375" style="5" customWidth="1"/>
    <col min="12845" max="12846" width="10" style="5" customWidth="1"/>
    <col min="12847" max="12847" width="9.85546875" style="5" bestFit="1" customWidth="1"/>
    <col min="12848" max="12848" width="9.7109375" style="5" customWidth="1"/>
    <col min="12849" max="12850" width="10" style="5" customWidth="1"/>
    <col min="12851" max="12851" width="9.85546875" style="5" bestFit="1" customWidth="1"/>
    <col min="12852" max="12852" width="10.7109375" style="5" customWidth="1"/>
    <col min="12853" max="12853" width="13.140625" style="5" customWidth="1"/>
    <col min="12854" max="12854" width="10" style="5" bestFit="1" customWidth="1"/>
    <col min="12855" max="12855" width="9.85546875" style="5" bestFit="1" customWidth="1"/>
    <col min="12856" max="12856" width="9.7109375" style="5" bestFit="1" customWidth="1"/>
    <col min="12857" max="12858" width="10" style="5" bestFit="1" customWidth="1"/>
    <col min="12859" max="13054" width="9.140625" style="5"/>
    <col min="13055" max="13055" width="3.7109375" style="5" customWidth="1"/>
    <col min="13056" max="13056" width="14.42578125" style="5" customWidth="1"/>
    <col min="13057" max="13057" width="3.7109375" style="5" customWidth="1"/>
    <col min="13058" max="13058" width="9.5703125" style="5" customWidth="1"/>
    <col min="13059" max="13059" width="8.140625" style="5" customWidth="1"/>
    <col min="13060" max="13060" width="9.42578125" style="5" bestFit="1" customWidth="1"/>
    <col min="13061" max="13061" width="12.42578125" style="5" customWidth="1"/>
    <col min="13062" max="13062" width="4.140625" style="5" customWidth="1"/>
    <col min="13063" max="13063" width="16" style="5" customWidth="1"/>
    <col min="13064" max="13064" width="4" style="5" customWidth="1"/>
    <col min="13065" max="13073" width="8.140625" style="5" customWidth="1"/>
    <col min="13074" max="13074" width="10" style="5" customWidth="1"/>
    <col min="13075" max="13075" width="9.85546875" style="5" bestFit="1" customWidth="1"/>
    <col min="13076" max="13076" width="9.7109375" style="5" customWidth="1"/>
    <col min="13077" max="13078" width="10" style="5" customWidth="1"/>
    <col min="13079" max="13079" width="9.85546875" style="5" bestFit="1" customWidth="1"/>
    <col min="13080" max="13080" width="9.7109375" style="5" customWidth="1"/>
    <col min="13081" max="13082" width="10" style="5" customWidth="1"/>
    <col min="13083" max="13083" width="9.85546875" style="5" bestFit="1" customWidth="1"/>
    <col min="13084" max="13084" width="9.42578125" style="5" customWidth="1"/>
    <col min="13085" max="13086" width="10" style="5" customWidth="1"/>
    <col min="13087" max="13087" width="9.85546875" style="5" bestFit="1" customWidth="1"/>
    <col min="13088" max="13088" width="9.7109375" style="5" customWidth="1"/>
    <col min="13089" max="13090" width="10" style="5" customWidth="1"/>
    <col min="13091" max="13091" width="9.85546875" style="5" bestFit="1" customWidth="1"/>
    <col min="13092" max="13092" width="9.7109375" style="5" customWidth="1"/>
    <col min="13093" max="13094" width="10" style="5" customWidth="1"/>
    <col min="13095" max="13095" width="9.85546875" style="5" bestFit="1" customWidth="1"/>
    <col min="13096" max="13096" width="9.7109375" style="5" customWidth="1"/>
    <col min="13097" max="13098" width="10" style="5" customWidth="1"/>
    <col min="13099" max="13099" width="9.85546875" style="5" bestFit="1" customWidth="1"/>
    <col min="13100" max="13100" width="9.7109375" style="5" customWidth="1"/>
    <col min="13101" max="13102" width="10" style="5" customWidth="1"/>
    <col min="13103" max="13103" width="9.85546875" style="5" bestFit="1" customWidth="1"/>
    <col min="13104" max="13104" width="9.7109375" style="5" customWidth="1"/>
    <col min="13105" max="13106" width="10" style="5" customWidth="1"/>
    <col min="13107" max="13107" width="9.85546875" style="5" bestFit="1" customWidth="1"/>
    <col min="13108" max="13108" width="10.7109375" style="5" customWidth="1"/>
    <col min="13109" max="13109" width="13.140625" style="5" customWidth="1"/>
    <col min="13110" max="13110" width="10" style="5" bestFit="1" customWidth="1"/>
    <col min="13111" max="13111" width="9.85546875" style="5" bestFit="1" customWidth="1"/>
    <col min="13112" max="13112" width="9.7109375" style="5" bestFit="1" customWidth="1"/>
    <col min="13113" max="13114" width="10" style="5" bestFit="1" customWidth="1"/>
    <col min="13115" max="13310" width="9.140625" style="5"/>
    <col min="13311" max="13311" width="3.7109375" style="5" customWidth="1"/>
    <col min="13312" max="13312" width="14.42578125" style="5" customWidth="1"/>
    <col min="13313" max="13313" width="3.7109375" style="5" customWidth="1"/>
    <col min="13314" max="13314" width="9.5703125" style="5" customWidth="1"/>
    <col min="13315" max="13315" width="8.140625" style="5" customWidth="1"/>
    <col min="13316" max="13316" width="9.42578125" style="5" bestFit="1" customWidth="1"/>
    <col min="13317" max="13317" width="12.42578125" style="5" customWidth="1"/>
    <col min="13318" max="13318" width="4.140625" style="5" customWidth="1"/>
    <col min="13319" max="13319" width="16" style="5" customWidth="1"/>
    <col min="13320" max="13320" width="4" style="5" customWidth="1"/>
    <col min="13321" max="13329" width="8.140625" style="5" customWidth="1"/>
    <col min="13330" max="13330" width="10" style="5" customWidth="1"/>
    <col min="13331" max="13331" width="9.85546875" style="5" bestFit="1" customWidth="1"/>
    <col min="13332" max="13332" width="9.7109375" style="5" customWidth="1"/>
    <col min="13333" max="13334" width="10" style="5" customWidth="1"/>
    <col min="13335" max="13335" width="9.85546875" style="5" bestFit="1" customWidth="1"/>
    <col min="13336" max="13336" width="9.7109375" style="5" customWidth="1"/>
    <col min="13337" max="13338" width="10" style="5" customWidth="1"/>
    <col min="13339" max="13339" width="9.85546875" style="5" bestFit="1" customWidth="1"/>
    <col min="13340" max="13340" width="9.42578125" style="5" customWidth="1"/>
    <col min="13341" max="13342" width="10" style="5" customWidth="1"/>
    <col min="13343" max="13343" width="9.85546875" style="5" bestFit="1" customWidth="1"/>
    <col min="13344" max="13344" width="9.7109375" style="5" customWidth="1"/>
    <col min="13345" max="13346" width="10" style="5" customWidth="1"/>
    <col min="13347" max="13347" width="9.85546875" style="5" bestFit="1" customWidth="1"/>
    <col min="13348" max="13348" width="9.7109375" style="5" customWidth="1"/>
    <col min="13349" max="13350" width="10" style="5" customWidth="1"/>
    <col min="13351" max="13351" width="9.85546875" style="5" bestFit="1" customWidth="1"/>
    <col min="13352" max="13352" width="9.7109375" style="5" customWidth="1"/>
    <col min="13353" max="13354" width="10" style="5" customWidth="1"/>
    <col min="13355" max="13355" width="9.85546875" style="5" bestFit="1" customWidth="1"/>
    <col min="13356" max="13356" width="9.7109375" style="5" customWidth="1"/>
    <col min="13357" max="13358" width="10" style="5" customWidth="1"/>
    <col min="13359" max="13359" width="9.85546875" style="5" bestFit="1" customWidth="1"/>
    <col min="13360" max="13360" width="9.7109375" style="5" customWidth="1"/>
    <col min="13361" max="13362" width="10" style="5" customWidth="1"/>
    <col min="13363" max="13363" width="9.85546875" style="5" bestFit="1" customWidth="1"/>
    <col min="13364" max="13364" width="10.7109375" style="5" customWidth="1"/>
    <col min="13365" max="13365" width="13.140625" style="5" customWidth="1"/>
    <col min="13366" max="13366" width="10" style="5" bestFit="1" customWidth="1"/>
    <col min="13367" max="13367" width="9.85546875" style="5" bestFit="1" customWidth="1"/>
    <col min="13368" max="13368" width="9.7109375" style="5" bestFit="1" customWidth="1"/>
    <col min="13369" max="13370" width="10" style="5" bestFit="1" customWidth="1"/>
    <col min="13371" max="13566" width="9.140625" style="5"/>
    <col min="13567" max="13567" width="3.7109375" style="5" customWidth="1"/>
    <col min="13568" max="13568" width="14.42578125" style="5" customWidth="1"/>
    <col min="13569" max="13569" width="3.7109375" style="5" customWidth="1"/>
    <col min="13570" max="13570" width="9.5703125" style="5" customWidth="1"/>
    <col min="13571" max="13571" width="8.140625" style="5" customWidth="1"/>
    <col min="13572" max="13572" width="9.42578125" style="5" bestFit="1" customWidth="1"/>
    <col min="13573" max="13573" width="12.42578125" style="5" customWidth="1"/>
    <col min="13574" max="13574" width="4.140625" style="5" customWidth="1"/>
    <col min="13575" max="13575" width="16" style="5" customWidth="1"/>
    <col min="13576" max="13576" width="4" style="5" customWidth="1"/>
    <col min="13577" max="13585" width="8.140625" style="5" customWidth="1"/>
    <col min="13586" max="13586" width="10" style="5" customWidth="1"/>
    <col min="13587" max="13587" width="9.85546875" style="5" bestFit="1" customWidth="1"/>
    <col min="13588" max="13588" width="9.7109375" style="5" customWidth="1"/>
    <col min="13589" max="13590" width="10" style="5" customWidth="1"/>
    <col min="13591" max="13591" width="9.85546875" style="5" bestFit="1" customWidth="1"/>
    <col min="13592" max="13592" width="9.7109375" style="5" customWidth="1"/>
    <col min="13593" max="13594" width="10" style="5" customWidth="1"/>
    <col min="13595" max="13595" width="9.85546875" style="5" bestFit="1" customWidth="1"/>
    <col min="13596" max="13596" width="9.42578125" style="5" customWidth="1"/>
    <col min="13597" max="13598" width="10" style="5" customWidth="1"/>
    <col min="13599" max="13599" width="9.85546875" style="5" bestFit="1" customWidth="1"/>
    <col min="13600" max="13600" width="9.7109375" style="5" customWidth="1"/>
    <col min="13601" max="13602" width="10" style="5" customWidth="1"/>
    <col min="13603" max="13603" width="9.85546875" style="5" bestFit="1" customWidth="1"/>
    <col min="13604" max="13604" width="9.7109375" style="5" customWidth="1"/>
    <col min="13605" max="13606" width="10" style="5" customWidth="1"/>
    <col min="13607" max="13607" width="9.85546875" style="5" bestFit="1" customWidth="1"/>
    <col min="13608" max="13608" width="9.7109375" style="5" customWidth="1"/>
    <col min="13609" max="13610" width="10" style="5" customWidth="1"/>
    <col min="13611" max="13611" width="9.85546875" style="5" bestFit="1" customWidth="1"/>
    <col min="13612" max="13612" width="9.7109375" style="5" customWidth="1"/>
    <col min="13613" max="13614" width="10" style="5" customWidth="1"/>
    <col min="13615" max="13615" width="9.85546875" style="5" bestFit="1" customWidth="1"/>
    <col min="13616" max="13616" width="9.7109375" style="5" customWidth="1"/>
    <col min="13617" max="13618" width="10" style="5" customWidth="1"/>
    <col min="13619" max="13619" width="9.85546875" style="5" bestFit="1" customWidth="1"/>
    <col min="13620" max="13620" width="10.7109375" style="5" customWidth="1"/>
    <col min="13621" max="13621" width="13.140625" style="5" customWidth="1"/>
    <col min="13622" max="13622" width="10" style="5" bestFit="1" customWidth="1"/>
    <col min="13623" max="13623" width="9.85546875" style="5" bestFit="1" customWidth="1"/>
    <col min="13624" max="13624" width="9.7109375" style="5" bestFit="1" customWidth="1"/>
    <col min="13625" max="13626" width="10" style="5" bestFit="1" customWidth="1"/>
    <col min="13627" max="13822" width="9.140625" style="5"/>
    <col min="13823" max="13823" width="3.7109375" style="5" customWidth="1"/>
    <col min="13824" max="13824" width="14.42578125" style="5" customWidth="1"/>
    <col min="13825" max="13825" width="3.7109375" style="5" customWidth="1"/>
    <col min="13826" max="13826" width="9.5703125" style="5" customWidth="1"/>
    <col min="13827" max="13827" width="8.140625" style="5" customWidth="1"/>
    <col min="13828" max="13828" width="9.42578125" style="5" bestFit="1" customWidth="1"/>
    <col min="13829" max="13829" width="12.42578125" style="5" customWidth="1"/>
    <col min="13830" max="13830" width="4.140625" style="5" customWidth="1"/>
    <col min="13831" max="13831" width="16" style="5" customWidth="1"/>
    <col min="13832" max="13832" width="4" style="5" customWidth="1"/>
    <col min="13833" max="13841" width="8.140625" style="5" customWidth="1"/>
    <col min="13842" max="13842" width="10" style="5" customWidth="1"/>
    <col min="13843" max="13843" width="9.85546875" style="5" bestFit="1" customWidth="1"/>
    <col min="13844" max="13844" width="9.7109375" style="5" customWidth="1"/>
    <col min="13845" max="13846" width="10" style="5" customWidth="1"/>
    <col min="13847" max="13847" width="9.85546875" style="5" bestFit="1" customWidth="1"/>
    <col min="13848" max="13848" width="9.7109375" style="5" customWidth="1"/>
    <col min="13849" max="13850" width="10" style="5" customWidth="1"/>
    <col min="13851" max="13851" width="9.85546875" style="5" bestFit="1" customWidth="1"/>
    <col min="13852" max="13852" width="9.42578125" style="5" customWidth="1"/>
    <col min="13853" max="13854" width="10" style="5" customWidth="1"/>
    <col min="13855" max="13855" width="9.85546875" style="5" bestFit="1" customWidth="1"/>
    <col min="13856" max="13856" width="9.7109375" style="5" customWidth="1"/>
    <col min="13857" max="13858" width="10" style="5" customWidth="1"/>
    <col min="13859" max="13859" width="9.85546875" style="5" bestFit="1" customWidth="1"/>
    <col min="13860" max="13860" width="9.7109375" style="5" customWidth="1"/>
    <col min="13861" max="13862" width="10" style="5" customWidth="1"/>
    <col min="13863" max="13863" width="9.85546875" style="5" bestFit="1" customWidth="1"/>
    <col min="13864" max="13864" width="9.7109375" style="5" customWidth="1"/>
    <col min="13865" max="13866" width="10" style="5" customWidth="1"/>
    <col min="13867" max="13867" width="9.85546875" style="5" bestFit="1" customWidth="1"/>
    <col min="13868" max="13868" width="9.7109375" style="5" customWidth="1"/>
    <col min="13869" max="13870" width="10" style="5" customWidth="1"/>
    <col min="13871" max="13871" width="9.85546875" style="5" bestFit="1" customWidth="1"/>
    <col min="13872" max="13872" width="9.7109375" style="5" customWidth="1"/>
    <col min="13873" max="13874" width="10" style="5" customWidth="1"/>
    <col min="13875" max="13875" width="9.85546875" style="5" bestFit="1" customWidth="1"/>
    <col min="13876" max="13876" width="10.7109375" style="5" customWidth="1"/>
    <col min="13877" max="13877" width="13.140625" style="5" customWidth="1"/>
    <col min="13878" max="13878" width="10" style="5" bestFit="1" customWidth="1"/>
    <col min="13879" max="13879" width="9.85546875" style="5" bestFit="1" customWidth="1"/>
    <col min="13880" max="13880" width="9.7109375" style="5" bestFit="1" customWidth="1"/>
    <col min="13881" max="13882" width="10" style="5" bestFit="1" customWidth="1"/>
    <col min="13883" max="14078" width="9.140625" style="5"/>
    <col min="14079" max="14079" width="3.7109375" style="5" customWidth="1"/>
    <col min="14080" max="14080" width="14.42578125" style="5" customWidth="1"/>
    <col min="14081" max="14081" width="3.7109375" style="5" customWidth="1"/>
    <col min="14082" max="14082" width="9.5703125" style="5" customWidth="1"/>
    <col min="14083" max="14083" width="8.140625" style="5" customWidth="1"/>
    <col min="14084" max="14084" width="9.42578125" style="5" bestFit="1" customWidth="1"/>
    <col min="14085" max="14085" width="12.42578125" style="5" customWidth="1"/>
    <col min="14086" max="14086" width="4.140625" style="5" customWidth="1"/>
    <col min="14087" max="14087" width="16" style="5" customWidth="1"/>
    <col min="14088" max="14088" width="4" style="5" customWidth="1"/>
    <col min="14089" max="14097" width="8.140625" style="5" customWidth="1"/>
    <col min="14098" max="14098" width="10" style="5" customWidth="1"/>
    <col min="14099" max="14099" width="9.85546875" style="5" bestFit="1" customWidth="1"/>
    <col min="14100" max="14100" width="9.7109375" style="5" customWidth="1"/>
    <col min="14101" max="14102" width="10" style="5" customWidth="1"/>
    <col min="14103" max="14103" width="9.85546875" style="5" bestFit="1" customWidth="1"/>
    <col min="14104" max="14104" width="9.7109375" style="5" customWidth="1"/>
    <col min="14105" max="14106" width="10" style="5" customWidth="1"/>
    <col min="14107" max="14107" width="9.85546875" style="5" bestFit="1" customWidth="1"/>
    <col min="14108" max="14108" width="9.42578125" style="5" customWidth="1"/>
    <col min="14109" max="14110" width="10" style="5" customWidth="1"/>
    <col min="14111" max="14111" width="9.85546875" style="5" bestFit="1" customWidth="1"/>
    <col min="14112" max="14112" width="9.7109375" style="5" customWidth="1"/>
    <col min="14113" max="14114" width="10" style="5" customWidth="1"/>
    <col min="14115" max="14115" width="9.85546875" style="5" bestFit="1" customWidth="1"/>
    <col min="14116" max="14116" width="9.7109375" style="5" customWidth="1"/>
    <col min="14117" max="14118" width="10" style="5" customWidth="1"/>
    <col min="14119" max="14119" width="9.85546875" style="5" bestFit="1" customWidth="1"/>
    <col min="14120" max="14120" width="9.7109375" style="5" customWidth="1"/>
    <col min="14121" max="14122" width="10" style="5" customWidth="1"/>
    <col min="14123" max="14123" width="9.85546875" style="5" bestFit="1" customWidth="1"/>
    <col min="14124" max="14124" width="9.7109375" style="5" customWidth="1"/>
    <col min="14125" max="14126" width="10" style="5" customWidth="1"/>
    <col min="14127" max="14127" width="9.85546875" style="5" bestFit="1" customWidth="1"/>
    <col min="14128" max="14128" width="9.7109375" style="5" customWidth="1"/>
    <col min="14129" max="14130" width="10" style="5" customWidth="1"/>
    <col min="14131" max="14131" width="9.85546875" style="5" bestFit="1" customWidth="1"/>
    <col min="14132" max="14132" width="10.7109375" style="5" customWidth="1"/>
    <col min="14133" max="14133" width="13.140625" style="5" customWidth="1"/>
    <col min="14134" max="14134" width="10" style="5" bestFit="1" customWidth="1"/>
    <col min="14135" max="14135" width="9.85546875" style="5" bestFit="1" customWidth="1"/>
    <col min="14136" max="14136" width="9.7109375" style="5" bestFit="1" customWidth="1"/>
    <col min="14137" max="14138" width="10" style="5" bestFit="1" customWidth="1"/>
    <col min="14139" max="14334" width="9.140625" style="5"/>
    <col min="14335" max="14335" width="3.7109375" style="5" customWidth="1"/>
    <col min="14336" max="14336" width="14.42578125" style="5" customWidth="1"/>
    <col min="14337" max="14337" width="3.7109375" style="5" customWidth="1"/>
    <col min="14338" max="14338" width="9.5703125" style="5" customWidth="1"/>
    <col min="14339" max="14339" width="8.140625" style="5" customWidth="1"/>
    <col min="14340" max="14340" width="9.42578125" style="5" bestFit="1" customWidth="1"/>
    <col min="14341" max="14341" width="12.42578125" style="5" customWidth="1"/>
    <col min="14342" max="14342" width="4.140625" style="5" customWidth="1"/>
    <col min="14343" max="14343" width="16" style="5" customWidth="1"/>
    <col min="14344" max="14344" width="4" style="5" customWidth="1"/>
    <col min="14345" max="14353" width="8.140625" style="5" customWidth="1"/>
    <col min="14354" max="14354" width="10" style="5" customWidth="1"/>
    <col min="14355" max="14355" width="9.85546875" style="5" bestFit="1" customWidth="1"/>
    <col min="14356" max="14356" width="9.7109375" style="5" customWidth="1"/>
    <col min="14357" max="14358" width="10" style="5" customWidth="1"/>
    <col min="14359" max="14359" width="9.85546875" style="5" bestFit="1" customWidth="1"/>
    <col min="14360" max="14360" width="9.7109375" style="5" customWidth="1"/>
    <col min="14361" max="14362" width="10" style="5" customWidth="1"/>
    <col min="14363" max="14363" width="9.85546875" style="5" bestFit="1" customWidth="1"/>
    <col min="14364" max="14364" width="9.42578125" style="5" customWidth="1"/>
    <col min="14365" max="14366" width="10" style="5" customWidth="1"/>
    <col min="14367" max="14367" width="9.85546875" style="5" bestFit="1" customWidth="1"/>
    <col min="14368" max="14368" width="9.7109375" style="5" customWidth="1"/>
    <col min="14369" max="14370" width="10" style="5" customWidth="1"/>
    <col min="14371" max="14371" width="9.85546875" style="5" bestFit="1" customWidth="1"/>
    <col min="14372" max="14372" width="9.7109375" style="5" customWidth="1"/>
    <col min="14373" max="14374" width="10" style="5" customWidth="1"/>
    <col min="14375" max="14375" width="9.85546875" style="5" bestFit="1" customWidth="1"/>
    <col min="14376" max="14376" width="9.7109375" style="5" customWidth="1"/>
    <col min="14377" max="14378" width="10" style="5" customWidth="1"/>
    <col min="14379" max="14379" width="9.85546875" style="5" bestFit="1" customWidth="1"/>
    <col min="14380" max="14380" width="9.7109375" style="5" customWidth="1"/>
    <col min="14381" max="14382" width="10" style="5" customWidth="1"/>
    <col min="14383" max="14383" width="9.85546875" style="5" bestFit="1" customWidth="1"/>
    <col min="14384" max="14384" width="9.7109375" style="5" customWidth="1"/>
    <col min="14385" max="14386" width="10" style="5" customWidth="1"/>
    <col min="14387" max="14387" width="9.85546875" style="5" bestFit="1" customWidth="1"/>
    <col min="14388" max="14388" width="10.7109375" style="5" customWidth="1"/>
    <col min="14389" max="14389" width="13.140625" style="5" customWidth="1"/>
    <col min="14390" max="14390" width="10" style="5" bestFit="1" customWidth="1"/>
    <col min="14391" max="14391" width="9.85546875" style="5" bestFit="1" customWidth="1"/>
    <col min="14392" max="14392" width="9.7109375" style="5" bestFit="1" customWidth="1"/>
    <col min="14393" max="14394" width="10" style="5" bestFit="1" customWidth="1"/>
    <col min="14395" max="14590" width="9.140625" style="5"/>
    <col min="14591" max="14591" width="3.7109375" style="5" customWidth="1"/>
    <col min="14592" max="14592" width="14.42578125" style="5" customWidth="1"/>
    <col min="14593" max="14593" width="3.7109375" style="5" customWidth="1"/>
    <col min="14594" max="14594" width="9.5703125" style="5" customWidth="1"/>
    <col min="14595" max="14595" width="8.140625" style="5" customWidth="1"/>
    <col min="14596" max="14596" width="9.42578125" style="5" bestFit="1" customWidth="1"/>
    <col min="14597" max="14597" width="12.42578125" style="5" customWidth="1"/>
    <col min="14598" max="14598" width="4.140625" style="5" customWidth="1"/>
    <col min="14599" max="14599" width="16" style="5" customWidth="1"/>
    <col min="14600" max="14600" width="4" style="5" customWidth="1"/>
    <col min="14601" max="14609" width="8.140625" style="5" customWidth="1"/>
    <col min="14610" max="14610" width="10" style="5" customWidth="1"/>
    <col min="14611" max="14611" width="9.85546875" style="5" bestFit="1" customWidth="1"/>
    <col min="14612" max="14612" width="9.7109375" style="5" customWidth="1"/>
    <col min="14613" max="14614" width="10" style="5" customWidth="1"/>
    <col min="14615" max="14615" width="9.85546875" style="5" bestFit="1" customWidth="1"/>
    <col min="14616" max="14616" width="9.7109375" style="5" customWidth="1"/>
    <col min="14617" max="14618" width="10" style="5" customWidth="1"/>
    <col min="14619" max="14619" width="9.85546875" style="5" bestFit="1" customWidth="1"/>
    <col min="14620" max="14620" width="9.42578125" style="5" customWidth="1"/>
    <col min="14621" max="14622" width="10" style="5" customWidth="1"/>
    <col min="14623" max="14623" width="9.85546875" style="5" bestFit="1" customWidth="1"/>
    <col min="14624" max="14624" width="9.7109375" style="5" customWidth="1"/>
    <col min="14625" max="14626" width="10" style="5" customWidth="1"/>
    <col min="14627" max="14627" width="9.85546875" style="5" bestFit="1" customWidth="1"/>
    <col min="14628" max="14628" width="9.7109375" style="5" customWidth="1"/>
    <col min="14629" max="14630" width="10" style="5" customWidth="1"/>
    <col min="14631" max="14631" width="9.85546875" style="5" bestFit="1" customWidth="1"/>
    <col min="14632" max="14632" width="9.7109375" style="5" customWidth="1"/>
    <col min="14633" max="14634" width="10" style="5" customWidth="1"/>
    <col min="14635" max="14635" width="9.85546875" style="5" bestFit="1" customWidth="1"/>
    <col min="14636" max="14636" width="9.7109375" style="5" customWidth="1"/>
    <col min="14637" max="14638" width="10" style="5" customWidth="1"/>
    <col min="14639" max="14639" width="9.85546875" style="5" bestFit="1" customWidth="1"/>
    <col min="14640" max="14640" width="9.7109375" style="5" customWidth="1"/>
    <col min="14641" max="14642" width="10" style="5" customWidth="1"/>
    <col min="14643" max="14643" width="9.85546875" style="5" bestFit="1" customWidth="1"/>
    <col min="14644" max="14644" width="10.7109375" style="5" customWidth="1"/>
    <col min="14645" max="14645" width="13.140625" style="5" customWidth="1"/>
    <col min="14646" max="14646" width="10" style="5" bestFit="1" customWidth="1"/>
    <col min="14647" max="14647" width="9.85546875" style="5" bestFit="1" customWidth="1"/>
    <col min="14648" max="14648" width="9.7109375" style="5" bestFit="1" customWidth="1"/>
    <col min="14649" max="14650" width="10" style="5" bestFit="1" customWidth="1"/>
    <col min="14651" max="14846" width="9.140625" style="5"/>
    <col min="14847" max="14847" width="3.7109375" style="5" customWidth="1"/>
    <col min="14848" max="14848" width="14.42578125" style="5" customWidth="1"/>
    <col min="14849" max="14849" width="3.7109375" style="5" customWidth="1"/>
    <col min="14850" max="14850" width="9.5703125" style="5" customWidth="1"/>
    <col min="14851" max="14851" width="8.140625" style="5" customWidth="1"/>
    <col min="14852" max="14852" width="9.42578125" style="5" bestFit="1" customWidth="1"/>
    <col min="14853" max="14853" width="12.42578125" style="5" customWidth="1"/>
    <col min="14854" max="14854" width="4.140625" style="5" customWidth="1"/>
    <col min="14855" max="14855" width="16" style="5" customWidth="1"/>
    <col min="14856" max="14856" width="4" style="5" customWidth="1"/>
    <col min="14857" max="14865" width="8.140625" style="5" customWidth="1"/>
    <col min="14866" max="14866" width="10" style="5" customWidth="1"/>
    <col min="14867" max="14867" width="9.85546875" style="5" bestFit="1" customWidth="1"/>
    <col min="14868" max="14868" width="9.7109375" style="5" customWidth="1"/>
    <col min="14869" max="14870" width="10" style="5" customWidth="1"/>
    <col min="14871" max="14871" width="9.85546875" style="5" bestFit="1" customWidth="1"/>
    <col min="14872" max="14872" width="9.7109375" style="5" customWidth="1"/>
    <col min="14873" max="14874" width="10" style="5" customWidth="1"/>
    <col min="14875" max="14875" width="9.85546875" style="5" bestFit="1" customWidth="1"/>
    <col min="14876" max="14876" width="9.42578125" style="5" customWidth="1"/>
    <col min="14877" max="14878" width="10" style="5" customWidth="1"/>
    <col min="14879" max="14879" width="9.85546875" style="5" bestFit="1" customWidth="1"/>
    <col min="14880" max="14880" width="9.7109375" style="5" customWidth="1"/>
    <col min="14881" max="14882" width="10" style="5" customWidth="1"/>
    <col min="14883" max="14883" width="9.85546875" style="5" bestFit="1" customWidth="1"/>
    <col min="14884" max="14884" width="9.7109375" style="5" customWidth="1"/>
    <col min="14885" max="14886" width="10" style="5" customWidth="1"/>
    <col min="14887" max="14887" width="9.85546875" style="5" bestFit="1" customWidth="1"/>
    <col min="14888" max="14888" width="9.7109375" style="5" customWidth="1"/>
    <col min="14889" max="14890" width="10" style="5" customWidth="1"/>
    <col min="14891" max="14891" width="9.85546875" style="5" bestFit="1" customWidth="1"/>
    <col min="14892" max="14892" width="9.7109375" style="5" customWidth="1"/>
    <col min="14893" max="14894" width="10" style="5" customWidth="1"/>
    <col min="14895" max="14895" width="9.85546875" style="5" bestFit="1" customWidth="1"/>
    <col min="14896" max="14896" width="9.7109375" style="5" customWidth="1"/>
    <col min="14897" max="14898" width="10" style="5" customWidth="1"/>
    <col min="14899" max="14899" width="9.85546875" style="5" bestFit="1" customWidth="1"/>
    <col min="14900" max="14900" width="10.7109375" style="5" customWidth="1"/>
    <col min="14901" max="14901" width="13.140625" style="5" customWidth="1"/>
    <col min="14902" max="14902" width="10" style="5" bestFit="1" customWidth="1"/>
    <col min="14903" max="14903" width="9.85546875" style="5" bestFit="1" customWidth="1"/>
    <col min="14904" max="14904" width="9.7109375" style="5" bestFit="1" customWidth="1"/>
    <col min="14905" max="14906" width="10" style="5" bestFit="1" customWidth="1"/>
    <col min="14907" max="15102" width="9.140625" style="5"/>
    <col min="15103" max="15103" width="3.7109375" style="5" customWidth="1"/>
    <col min="15104" max="15104" width="14.42578125" style="5" customWidth="1"/>
    <col min="15105" max="15105" width="3.7109375" style="5" customWidth="1"/>
    <col min="15106" max="15106" width="9.5703125" style="5" customWidth="1"/>
    <col min="15107" max="15107" width="8.140625" style="5" customWidth="1"/>
    <col min="15108" max="15108" width="9.42578125" style="5" bestFit="1" customWidth="1"/>
    <col min="15109" max="15109" width="12.42578125" style="5" customWidth="1"/>
    <col min="15110" max="15110" width="4.140625" style="5" customWidth="1"/>
    <col min="15111" max="15111" width="16" style="5" customWidth="1"/>
    <col min="15112" max="15112" width="4" style="5" customWidth="1"/>
    <col min="15113" max="15121" width="8.140625" style="5" customWidth="1"/>
    <col min="15122" max="15122" width="10" style="5" customWidth="1"/>
    <col min="15123" max="15123" width="9.85546875" style="5" bestFit="1" customWidth="1"/>
    <col min="15124" max="15124" width="9.7109375" style="5" customWidth="1"/>
    <col min="15125" max="15126" width="10" style="5" customWidth="1"/>
    <col min="15127" max="15127" width="9.85546875" style="5" bestFit="1" customWidth="1"/>
    <col min="15128" max="15128" width="9.7109375" style="5" customWidth="1"/>
    <col min="15129" max="15130" width="10" style="5" customWidth="1"/>
    <col min="15131" max="15131" width="9.85546875" style="5" bestFit="1" customWidth="1"/>
    <col min="15132" max="15132" width="9.42578125" style="5" customWidth="1"/>
    <col min="15133" max="15134" width="10" style="5" customWidth="1"/>
    <col min="15135" max="15135" width="9.85546875" style="5" bestFit="1" customWidth="1"/>
    <col min="15136" max="15136" width="9.7109375" style="5" customWidth="1"/>
    <col min="15137" max="15138" width="10" style="5" customWidth="1"/>
    <col min="15139" max="15139" width="9.85546875" style="5" bestFit="1" customWidth="1"/>
    <col min="15140" max="15140" width="9.7109375" style="5" customWidth="1"/>
    <col min="15141" max="15142" width="10" style="5" customWidth="1"/>
    <col min="15143" max="15143" width="9.85546875" style="5" bestFit="1" customWidth="1"/>
    <col min="15144" max="15144" width="9.7109375" style="5" customWidth="1"/>
    <col min="15145" max="15146" width="10" style="5" customWidth="1"/>
    <col min="15147" max="15147" width="9.85546875" style="5" bestFit="1" customWidth="1"/>
    <col min="15148" max="15148" width="9.7109375" style="5" customWidth="1"/>
    <col min="15149" max="15150" width="10" style="5" customWidth="1"/>
    <col min="15151" max="15151" width="9.85546875" style="5" bestFit="1" customWidth="1"/>
    <col min="15152" max="15152" width="9.7109375" style="5" customWidth="1"/>
    <col min="15153" max="15154" width="10" style="5" customWidth="1"/>
    <col min="15155" max="15155" width="9.85546875" style="5" bestFit="1" customWidth="1"/>
    <col min="15156" max="15156" width="10.7109375" style="5" customWidth="1"/>
    <col min="15157" max="15157" width="13.140625" style="5" customWidth="1"/>
    <col min="15158" max="15158" width="10" style="5" bestFit="1" customWidth="1"/>
    <col min="15159" max="15159" width="9.85546875" style="5" bestFit="1" customWidth="1"/>
    <col min="15160" max="15160" width="9.7109375" style="5" bestFit="1" customWidth="1"/>
    <col min="15161" max="15162" width="10" style="5" bestFit="1" customWidth="1"/>
    <col min="15163" max="15358" width="9.140625" style="5"/>
    <col min="15359" max="15359" width="3.7109375" style="5" customWidth="1"/>
    <col min="15360" max="15360" width="14.42578125" style="5" customWidth="1"/>
    <col min="15361" max="15361" width="3.7109375" style="5" customWidth="1"/>
    <col min="15362" max="15362" width="9.5703125" style="5" customWidth="1"/>
    <col min="15363" max="15363" width="8.140625" style="5" customWidth="1"/>
    <col min="15364" max="15364" width="9.42578125" style="5" bestFit="1" customWidth="1"/>
    <col min="15365" max="15365" width="12.42578125" style="5" customWidth="1"/>
    <col min="15366" max="15366" width="4.140625" style="5" customWidth="1"/>
    <col min="15367" max="15367" width="16" style="5" customWidth="1"/>
    <col min="15368" max="15368" width="4" style="5" customWidth="1"/>
    <col min="15369" max="15377" width="8.140625" style="5" customWidth="1"/>
    <col min="15378" max="15378" width="10" style="5" customWidth="1"/>
    <col min="15379" max="15379" width="9.85546875" style="5" bestFit="1" customWidth="1"/>
    <col min="15380" max="15380" width="9.7109375" style="5" customWidth="1"/>
    <col min="15381" max="15382" width="10" style="5" customWidth="1"/>
    <col min="15383" max="15383" width="9.85546875" style="5" bestFit="1" customWidth="1"/>
    <col min="15384" max="15384" width="9.7109375" style="5" customWidth="1"/>
    <col min="15385" max="15386" width="10" style="5" customWidth="1"/>
    <col min="15387" max="15387" width="9.85546875" style="5" bestFit="1" customWidth="1"/>
    <col min="15388" max="15388" width="9.42578125" style="5" customWidth="1"/>
    <col min="15389" max="15390" width="10" style="5" customWidth="1"/>
    <col min="15391" max="15391" width="9.85546875" style="5" bestFit="1" customWidth="1"/>
    <col min="15392" max="15392" width="9.7109375" style="5" customWidth="1"/>
    <col min="15393" max="15394" width="10" style="5" customWidth="1"/>
    <col min="15395" max="15395" width="9.85546875" style="5" bestFit="1" customWidth="1"/>
    <col min="15396" max="15396" width="9.7109375" style="5" customWidth="1"/>
    <col min="15397" max="15398" width="10" style="5" customWidth="1"/>
    <col min="15399" max="15399" width="9.85546875" style="5" bestFit="1" customWidth="1"/>
    <col min="15400" max="15400" width="9.7109375" style="5" customWidth="1"/>
    <col min="15401" max="15402" width="10" style="5" customWidth="1"/>
    <col min="15403" max="15403" width="9.85546875" style="5" bestFit="1" customWidth="1"/>
    <col min="15404" max="15404" width="9.7109375" style="5" customWidth="1"/>
    <col min="15405" max="15406" width="10" style="5" customWidth="1"/>
    <col min="15407" max="15407" width="9.85546875" style="5" bestFit="1" customWidth="1"/>
    <col min="15408" max="15408" width="9.7109375" style="5" customWidth="1"/>
    <col min="15409" max="15410" width="10" style="5" customWidth="1"/>
    <col min="15411" max="15411" width="9.85546875" style="5" bestFit="1" customWidth="1"/>
    <col min="15412" max="15412" width="10.7109375" style="5" customWidth="1"/>
    <col min="15413" max="15413" width="13.140625" style="5" customWidth="1"/>
    <col min="15414" max="15414" width="10" style="5" bestFit="1" customWidth="1"/>
    <col min="15415" max="15415" width="9.85546875" style="5" bestFit="1" customWidth="1"/>
    <col min="15416" max="15416" width="9.7109375" style="5" bestFit="1" customWidth="1"/>
    <col min="15417" max="15418" width="10" style="5" bestFit="1" customWidth="1"/>
    <col min="15419" max="15614" width="9.140625" style="5"/>
    <col min="15615" max="15615" width="3.7109375" style="5" customWidth="1"/>
    <col min="15616" max="15616" width="14.42578125" style="5" customWidth="1"/>
    <col min="15617" max="15617" width="3.7109375" style="5" customWidth="1"/>
    <col min="15618" max="15618" width="9.5703125" style="5" customWidth="1"/>
    <col min="15619" max="15619" width="8.140625" style="5" customWidth="1"/>
    <col min="15620" max="15620" width="9.42578125" style="5" bestFit="1" customWidth="1"/>
    <col min="15621" max="15621" width="12.42578125" style="5" customWidth="1"/>
    <col min="15622" max="15622" width="4.140625" style="5" customWidth="1"/>
    <col min="15623" max="15623" width="16" style="5" customWidth="1"/>
    <col min="15624" max="15624" width="4" style="5" customWidth="1"/>
    <col min="15625" max="15633" width="8.140625" style="5" customWidth="1"/>
    <col min="15634" max="15634" width="10" style="5" customWidth="1"/>
    <col min="15635" max="15635" width="9.85546875" style="5" bestFit="1" customWidth="1"/>
    <col min="15636" max="15636" width="9.7109375" style="5" customWidth="1"/>
    <col min="15637" max="15638" width="10" style="5" customWidth="1"/>
    <col min="15639" max="15639" width="9.85546875" style="5" bestFit="1" customWidth="1"/>
    <col min="15640" max="15640" width="9.7109375" style="5" customWidth="1"/>
    <col min="15641" max="15642" width="10" style="5" customWidth="1"/>
    <col min="15643" max="15643" width="9.85546875" style="5" bestFit="1" customWidth="1"/>
    <col min="15644" max="15644" width="9.42578125" style="5" customWidth="1"/>
    <col min="15645" max="15646" width="10" style="5" customWidth="1"/>
    <col min="15647" max="15647" width="9.85546875" style="5" bestFit="1" customWidth="1"/>
    <col min="15648" max="15648" width="9.7109375" style="5" customWidth="1"/>
    <col min="15649" max="15650" width="10" style="5" customWidth="1"/>
    <col min="15651" max="15651" width="9.85546875" style="5" bestFit="1" customWidth="1"/>
    <col min="15652" max="15652" width="9.7109375" style="5" customWidth="1"/>
    <col min="15653" max="15654" width="10" style="5" customWidth="1"/>
    <col min="15655" max="15655" width="9.85546875" style="5" bestFit="1" customWidth="1"/>
    <col min="15656" max="15656" width="9.7109375" style="5" customWidth="1"/>
    <col min="15657" max="15658" width="10" style="5" customWidth="1"/>
    <col min="15659" max="15659" width="9.85546875" style="5" bestFit="1" customWidth="1"/>
    <col min="15660" max="15660" width="9.7109375" style="5" customWidth="1"/>
    <col min="15661" max="15662" width="10" style="5" customWidth="1"/>
    <col min="15663" max="15663" width="9.85546875" style="5" bestFit="1" customWidth="1"/>
    <col min="15664" max="15664" width="9.7109375" style="5" customWidth="1"/>
    <col min="15665" max="15666" width="10" style="5" customWidth="1"/>
    <col min="15667" max="15667" width="9.85546875" style="5" bestFit="1" customWidth="1"/>
    <col min="15668" max="15668" width="10.7109375" style="5" customWidth="1"/>
    <col min="15669" max="15669" width="13.140625" style="5" customWidth="1"/>
    <col min="15670" max="15670" width="10" style="5" bestFit="1" customWidth="1"/>
    <col min="15671" max="15671" width="9.85546875" style="5" bestFit="1" customWidth="1"/>
    <col min="15672" max="15672" width="9.7109375" style="5" bestFit="1" customWidth="1"/>
    <col min="15673" max="15674" width="10" style="5" bestFit="1" customWidth="1"/>
    <col min="15675" max="15870" width="9.140625" style="5"/>
    <col min="15871" max="15871" width="3.7109375" style="5" customWidth="1"/>
    <col min="15872" max="15872" width="14.42578125" style="5" customWidth="1"/>
    <col min="15873" max="15873" width="3.7109375" style="5" customWidth="1"/>
    <col min="15874" max="15874" width="9.5703125" style="5" customWidth="1"/>
    <col min="15875" max="15875" width="8.140625" style="5" customWidth="1"/>
    <col min="15876" max="15876" width="9.42578125" style="5" bestFit="1" customWidth="1"/>
    <col min="15877" max="15877" width="12.42578125" style="5" customWidth="1"/>
    <col min="15878" max="15878" width="4.140625" style="5" customWidth="1"/>
    <col min="15879" max="15879" width="16" style="5" customWidth="1"/>
    <col min="15880" max="15880" width="4" style="5" customWidth="1"/>
    <col min="15881" max="15889" width="8.140625" style="5" customWidth="1"/>
    <col min="15890" max="15890" width="10" style="5" customWidth="1"/>
    <col min="15891" max="15891" width="9.85546875" style="5" bestFit="1" customWidth="1"/>
    <col min="15892" max="15892" width="9.7109375" style="5" customWidth="1"/>
    <col min="15893" max="15894" width="10" style="5" customWidth="1"/>
    <col min="15895" max="15895" width="9.85546875" style="5" bestFit="1" customWidth="1"/>
    <col min="15896" max="15896" width="9.7109375" style="5" customWidth="1"/>
    <col min="15897" max="15898" width="10" style="5" customWidth="1"/>
    <col min="15899" max="15899" width="9.85546875" style="5" bestFit="1" customWidth="1"/>
    <col min="15900" max="15900" width="9.42578125" style="5" customWidth="1"/>
    <col min="15901" max="15902" width="10" style="5" customWidth="1"/>
    <col min="15903" max="15903" width="9.85546875" style="5" bestFit="1" customWidth="1"/>
    <col min="15904" max="15904" width="9.7109375" style="5" customWidth="1"/>
    <col min="15905" max="15906" width="10" style="5" customWidth="1"/>
    <col min="15907" max="15907" width="9.85546875" style="5" bestFit="1" customWidth="1"/>
    <col min="15908" max="15908" width="9.7109375" style="5" customWidth="1"/>
    <col min="15909" max="15910" width="10" style="5" customWidth="1"/>
    <col min="15911" max="15911" width="9.85546875" style="5" bestFit="1" customWidth="1"/>
    <col min="15912" max="15912" width="9.7109375" style="5" customWidth="1"/>
    <col min="15913" max="15914" width="10" style="5" customWidth="1"/>
    <col min="15915" max="15915" width="9.85546875" style="5" bestFit="1" customWidth="1"/>
    <col min="15916" max="15916" width="9.7109375" style="5" customWidth="1"/>
    <col min="15917" max="15918" width="10" style="5" customWidth="1"/>
    <col min="15919" max="15919" width="9.85546875" style="5" bestFit="1" customWidth="1"/>
    <col min="15920" max="15920" width="9.7109375" style="5" customWidth="1"/>
    <col min="15921" max="15922" width="10" style="5" customWidth="1"/>
    <col min="15923" max="15923" width="9.85546875" style="5" bestFit="1" customWidth="1"/>
    <col min="15924" max="15924" width="10.7109375" style="5" customWidth="1"/>
    <col min="15925" max="15925" width="13.140625" style="5" customWidth="1"/>
    <col min="15926" max="15926" width="10" style="5" bestFit="1" customWidth="1"/>
    <col min="15927" max="15927" width="9.85546875" style="5" bestFit="1" customWidth="1"/>
    <col min="15928" max="15928" width="9.7109375" style="5" bestFit="1" customWidth="1"/>
    <col min="15929" max="15930" width="10" style="5" bestFit="1" customWidth="1"/>
    <col min="15931" max="16126" width="9.140625" style="5"/>
    <col min="16127" max="16127" width="3.7109375" style="5" customWidth="1"/>
    <col min="16128" max="16128" width="14.42578125" style="5" customWidth="1"/>
    <col min="16129" max="16129" width="3.7109375" style="5" customWidth="1"/>
    <col min="16130" max="16130" width="9.5703125" style="5" customWidth="1"/>
    <col min="16131" max="16131" width="8.140625" style="5" customWidth="1"/>
    <col min="16132" max="16132" width="9.42578125" style="5" bestFit="1" customWidth="1"/>
    <col min="16133" max="16133" width="12.42578125" style="5" customWidth="1"/>
    <col min="16134" max="16134" width="4.140625" style="5" customWidth="1"/>
    <col min="16135" max="16135" width="16" style="5" customWidth="1"/>
    <col min="16136" max="16136" width="4" style="5" customWidth="1"/>
    <col min="16137" max="16145" width="8.140625" style="5" customWidth="1"/>
    <col min="16146" max="16146" width="10" style="5" customWidth="1"/>
    <col min="16147" max="16147" width="9.85546875" style="5" bestFit="1" customWidth="1"/>
    <col min="16148" max="16148" width="9.7109375" style="5" customWidth="1"/>
    <col min="16149" max="16150" width="10" style="5" customWidth="1"/>
    <col min="16151" max="16151" width="9.85546875" style="5" bestFit="1" customWidth="1"/>
    <col min="16152" max="16152" width="9.7109375" style="5" customWidth="1"/>
    <col min="16153" max="16154" width="10" style="5" customWidth="1"/>
    <col min="16155" max="16155" width="9.85546875" style="5" bestFit="1" customWidth="1"/>
    <col min="16156" max="16156" width="9.42578125" style="5" customWidth="1"/>
    <col min="16157" max="16158" width="10" style="5" customWidth="1"/>
    <col min="16159" max="16159" width="9.85546875" style="5" bestFit="1" customWidth="1"/>
    <col min="16160" max="16160" width="9.7109375" style="5" customWidth="1"/>
    <col min="16161" max="16162" width="10" style="5" customWidth="1"/>
    <col min="16163" max="16163" width="9.85546875" style="5" bestFit="1" customWidth="1"/>
    <col min="16164" max="16164" width="9.7109375" style="5" customWidth="1"/>
    <col min="16165" max="16166" width="10" style="5" customWidth="1"/>
    <col min="16167" max="16167" width="9.85546875" style="5" bestFit="1" customWidth="1"/>
    <col min="16168" max="16168" width="9.7109375" style="5" customWidth="1"/>
    <col min="16169" max="16170" width="10" style="5" customWidth="1"/>
    <col min="16171" max="16171" width="9.85546875" style="5" bestFit="1" customWidth="1"/>
    <col min="16172" max="16172" width="9.7109375" style="5" customWidth="1"/>
    <col min="16173" max="16174" width="10" style="5" customWidth="1"/>
    <col min="16175" max="16175" width="9.85546875" style="5" bestFit="1" customWidth="1"/>
    <col min="16176" max="16176" width="9.7109375" style="5" customWidth="1"/>
    <col min="16177" max="16178" width="10" style="5" customWidth="1"/>
    <col min="16179" max="16179" width="9.85546875" style="5" bestFit="1" customWidth="1"/>
    <col min="16180" max="16180" width="10.7109375" style="5" customWidth="1"/>
    <col min="16181" max="16181" width="13.140625" style="5" customWidth="1"/>
    <col min="16182" max="16182" width="10" style="5" bestFit="1" customWidth="1"/>
    <col min="16183" max="16183" width="9.85546875" style="5" bestFit="1" customWidth="1"/>
    <col min="16184" max="16184" width="9.7109375" style="5" bestFit="1" customWidth="1"/>
    <col min="16185" max="16186" width="10" style="5" bestFit="1" customWidth="1"/>
    <col min="16187" max="16382" width="9.140625" style="5"/>
    <col min="16383" max="16384" width="9.140625" style="5" customWidth="1"/>
  </cols>
  <sheetData>
    <row r="1" spans="1:63" x14ac:dyDescent="0.25">
      <c r="A1" s="1"/>
      <c r="B1" s="2"/>
      <c r="C1" s="3"/>
      <c r="D1" s="4"/>
      <c r="E1" s="4"/>
      <c r="F1" s="4"/>
      <c r="G1" s="4"/>
      <c r="H1" s="4"/>
      <c r="I1" s="4"/>
      <c r="J1" s="4"/>
      <c r="K1" s="4"/>
      <c r="L1" s="4"/>
      <c r="M1" s="4"/>
      <c r="N1" s="4"/>
      <c r="O1" s="4"/>
      <c r="P1" s="4"/>
    </row>
    <row r="2" spans="1:63" ht="12.75" customHeight="1" x14ac:dyDescent="0.25">
      <c r="A2" s="6"/>
      <c r="B2" s="7"/>
      <c r="C2" s="6"/>
      <c r="D2" s="3502" t="s">
        <v>0</v>
      </c>
      <c r="E2" s="3503"/>
      <c r="F2" s="3503"/>
      <c r="G2" s="3503"/>
      <c r="H2" s="3503"/>
      <c r="I2" s="3503"/>
      <c r="J2" s="3503"/>
      <c r="K2" s="3503"/>
      <c r="L2" s="3503"/>
      <c r="M2" s="3503"/>
      <c r="N2" s="3503"/>
      <c r="O2" s="3503"/>
      <c r="P2" s="3503"/>
      <c r="Q2" s="3504"/>
    </row>
    <row r="3" spans="1:63" ht="14.25" customHeight="1" x14ac:dyDescent="0.25">
      <c r="A3" s="6"/>
      <c r="B3" s="7"/>
      <c r="C3" s="6"/>
      <c r="D3" s="8"/>
      <c r="E3" s="9"/>
      <c r="F3" s="9"/>
      <c r="G3" s="9"/>
      <c r="H3" s="9"/>
      <c r="I3" s="9"/>
      <c r="J3" s="9"/>
      <c r="K3" s="9"/>
      <c r="L3" s="9"/>
      <c r="M3" s="9"/>
      <c r="N3" s="9"/>
      <c r="O3" s="9"/>
      <c r="P3" s="10"/>
      <c r="Q3" s="10"/>
      <c r="R3" s="11"/>
      <c r="S3" s="11"/>
      <c r="T3" s="11"/>
      <c r="U3" s="11"/>
      <c r="V3" s="11"/>
      <c r="W3" s="11"/>
      <c r="X3" s="11"/>
      <c r="Y3" s="11"/>
      <c r="Z3" s="11"/>
      <c r="AA3" s="11"/>
      <c r="AB3" s="11"/>
      <c r="AC3" s="11"/>
      <c r="AD3" s="11"/>
      <c r="AE3" s="11"/>
      <c r="AF3" s="11"/>
      <c r="AG3" s="11"/>
      <c r="AH3" s="11"/>
      <c r="AI3" s="11"/>
    </row>
    <row r="4" spans="1:63" x14ac:dyDescent="0.25">
      <c r="A4" s="6"/>
      <c r="B4" s="12" t="s">
        <v>1</v>
      </c>
      <c r="C4" s="3"/>
      <c r="D4" s="13"/>
      <c r="E4" s="13"/>
      <c r="F4" s="13"/>
      <c r="G4" s="13"/>
      <c r="H4" s="13"/>
      <c r="I4" s="13"/>
      <c r="J4" s="13"/>
      <c r="K4" s="13"/>
      <c r="L4" s="14"/>
      <c r="M4" s="14"/>
      <c r="N4" s="14"/>
      <c r="O4" s="14"/>
      <c r="P4" s="14"/>
      <c r="Q4" s="15"/>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row>
    <row r="5" spans="1:63" x14ac:dyDescent="0.25">
      <c r="A5" s="6"/>
      <c r="B5" s="2"/>
      <c r="C5" s="3"/>
      <c r="D5" s="17"/>
      <c r="E5" s="18"/>
      <c r="F5" s="18"/>
      <c r="G5" s="19" t="s">
        <v>2</v>
      </c>
      <c r="H5" s="20"/>
      <c r="I5" s="19" t="s">
        <v>3</v>
      </c>
      <c r="J5" s="20"/>
      <c r="K5" s="21"/>
      <c r="L5" s="21"/>
      <c r="M5" s="21"/>
      <c r="N5" s="21"/>
      <c r="O5" s="21"/>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row>
    <row r="6" spans="1:63" x14ac:dyDescent="0.25">
      <c r="A6" s="6"/>
      <c r="B6" s="2"/>
      <c r="C6" s="6">
        <v>1</v>
      </c>
      <c r="D6" s="22" t="s">
        <v>4</v>
      </c>
      <c r="E6" s="23"/>
      <c r="F6" s="23"/>
      <c r="G6" s="1675">
        <v>3017037</v>
      </c>
      <c r="H6" s="1676">
        <f>G6/$L$7</f>
        <v>278324.44649446494</v>
      </c>
      <c r="I6" s="1675">
        <v>3055192</v>
      </c>
      <c r="J6" s="1676">
        <f>I6/$K$7</f>
        <v>239622.90196078431</v>
      </c>
      <c r="K6" s="23"/>
      <c r="L6" s="23"/>
      <c r="M6" s="23"/>
      <c r="N6" s="23"/>
      <c r="O6" s="23"/>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24"/>
      <c r="AQ6" s="16"/>
      <c r="AR6" s="16"/>
      <c r="AS6" s="16"/>
      <c r="AT6" s="16"/>
      <c r="AU6" s="16"/>
      <c r="AV6" s="16"/>
      <c r="AW6" s="16"/>
      <c r="AX6" s="16"/>
      <c r="AY6" s="16"/>
      <c r="AZ6" s="16"/>
      <c r="BA6" s="16"/>
      <c r="BB6" s="16"/>
      <c r="BC6" s="16"/>
      <c r="BD6" s="16"/>
      <c r="BE6" s="16"/>
      <c r="BF6" s="16"/>
      <c r="BG6" s="16"/>
      <c r="BH6" s="16"/>
      <c r="BI6" s="16"/>
    </row>
    <row r="7" spans="1:63" x14ac:dyDescent="0.25">
      <c r="A7" s="6"/>
      <c r="B7" s="2"/>
      <c r="C7" s="6"/>
      <c r="D7" s="22" t="s">
        <v>5</v>
      </c>
      <c r="E7" s="23"/>
      <c r="F7" s="23"/>
      <c r="G7" s="1677">
        <v>3812607</v>
      </c>
      <c r="H7" s="1676">
        <f t="shared" ref="H7:H9" si="0">G7/$L$7</f>
        <v>351716.51291512913</v>
      </c>
      <c r="I7" s="1677">
        <v>4013592</v>
      </c>
      <c r="J7" s="1676">
        <f t="shared" ref="J7:J9" si="1">I7/$K$7</f>
        <v>314791.5294117647</v>
      </c>
      <c r="K7" s="25">
        <v>12.75</v>
      </c>
      <c r="L7" s="25">
        <v>10.84</v>
      </c>
      <c r="M7" s="23"/>
      <c r="N7" s="23"/>
      <c r="O7" s="23"/>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24"/>
      <c r="AQ7" s="16"/>
      <c r="AR7" s="16"/>
      <c r="AS7" s="16"/>
      <c r="AT7" s="16"/>
      <c r="AU7" s="16"/>
      <c r="AV7" s="16"/>
      <c r="AW7" s="16"/>
      <c r="AX7" s="16"/>
      <c r="AY7" s="16"/>
      <c r="AZ7" s="16"/>
      <c r="BA7" s="16"/>
      <c r="BB7" s="16"/>
      <c r="BC7" s="16"/>
      <c r="BD7" s="16"/>
      <c r="BE7" s="16"/>
      <c r="BF7" s="16"/>
      <c r="BG7" s="16"/>
      <c r="BH7" s="16"/>
      <c r="BI7" s="16"/>
    </row>
    <row r="8" spans="1:63" x14ac:dyDescent="0.25">
      <c r="A8" s="6"/>
      <c r="B8" s="2"/>
      <c r="C8" s="3"/>
      <c r="D8" s="14" t="s">
        <v>6</v>
      </c>
      <c r="E8" s="14"/>
      <c r="F8" s="14"/>
      <c r="G8" s="1677">
        <v>56343</v>
      </c>
      <c r="H8" s="1676">
        <f t="shared" si="0"/>
        <v>5197.6937269372693</v>
      </c>
      <c r="I8" s="26">
        <v>56304</v>
      </c>
      <c r="J8" s="1676">
        <f t="shared" si="1"/>
        <v>4416</v>
      </c>
      <c r="K8" s="15"/>
      <c r="M8" s="15"/>
      <c r="N8" s="15"/>
      <c r="O8" s="15"/>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24"/>
      <c r="AQ8" s="16"/>
      <c r="AR8" s="16"/>
      <c r="AS8" s="16"/>
      <c r="AT8" s="16"/>
      <c r="AU8" s="16"/>
      <c r="AV8" s="16"/>
      <c r="AW8" s="16"/>
      <c r="AX8" s="16"/>
      <c r="AY8" s="16"/>
      <c r="AZ8" s="16"/>
      <c r="BA8" s="16"/>
      <c r="BB8" s="16"/>
      <c r="BC8" s="16"/>
      <c r="BD8" s="16"/>
      <c r="BE8" s="16"/>
      <c r="BF8" s="16"/>
      <c r="BG8" s="16"/>
      <c r="BH8" s="16"/>
      <c r="BI8" s="16"/>
    </row>
    <row r="9" spans="1:63" x14ac:dyDescent="0.25">
      <c r="A9" s="6"/>
      <c r="B9" s="2"/>
      <c r="C9" s="3"/>
      <c r="D9" s="27" t="s">
        <v>7</v>
      </c>
      <c r="E9" s="27"/>
      <c r="F9" s="27"/>
      <c r="G9" s="1678">
        <v>71200</v>
      </c>
      <c r="H9" s="1676">
        <f t="shared" si="0"/>
        <v>6568.2656826568264</v>
      </c>
      <c r="I9" s="28">
        <v>73966</v>
      </c>
      <c r="J9" s="1676">
        <f t="shared" si="1"/>
        <v>5801.2549019607841</v>
      </c>
      <c r="K9" s="15"/>
      <c r="L9" s="15"/>
      <c r="M9" s="15"/>
      <c r="N9" s="15"/>
      <c r="O9" s="15"/>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24"/>
      <c r="AQ9" s="16"/>
      <c r="AR9" s="16"/>
      <c r="AS9" s="16"/>
      <c r="AT9" s="16"/>
      <c r="AU9" s="16"/>
      <c r="AV9" s="16"/>
      <c r="AW9" s="16"/>
      <c r="AX9" s="16"/>
      <c r="AY9" s="16"/>
      <c r="AZ9" s="16"/>
      <c r="BA9" s="16"/>
      <c r="BB9" s="16"/>
      <c r="BC9" s="16"/>
      <c r="BD9" s="16"/>
      <c r="BE9" s="16"/>
      <c r="BF9" s="16"/>
      <c r="BG9" s="16"/>
      <c r="BH9" s="16"/>
      <c r="BI9" s="16"/>
    </row>
    <row r="10" spans="1:63" x14ac:dyDescent="0.25">
      <c r="A10" s="6"/>
      <c r="B10" s="7"/>
      <c r="C10" s="6">
        <v>2</v>
      </c>
      <c r="D10" s="14" t="s">
        <v>8</v>
      </c>
      <c r="E10" s="14"/>
      <c r="F10" s="22" t="s">
        <v>9</v>
      </c>
      <c r="G10" s="3508">
        <f>+'[1]Demographic trends'!$L$25</f>
        <v>54001954</v>
      </c>
      <c r="H10" s="3509"/>
      <c r="I10" s="3510">
        <v>54956920.374245599</v>
      </c>
      <c r="J10" s="3511"/>
      <c r="K10" s="14"/>
      <c r="L10" s="14"/>
      <c r="M10" s="14"/>
      <c r="N10" s="14"/>
      <c r="O10" s="15"/>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24"/>
      <c r="AQ10" s="16"/>
      <c r="AR10" s="16"/>
      <c r="AS10" s="16"/>
      <c r="AT10" s="16"/>
      <c r="AU10" s="16"/>
      <c r="AV10" s="16"/>
      <c r="AW10" s="16"/>
      <c r="AX10" s="16"/>
      <c r="AY10" s="16"/>
      <c r="AZ10" s="16"/>
      <c r="BA10" s="16"/>
      <c r="BB10" s="16"/>
      <c r="BC10" s="16"/>
      <c r="BD10" s="16"/>
      <c r="BE10" s="16"/>
      <c r="BF10" s="16"/>
      <c r="BG10" s="16"/>
      <c r="BH10" s="16"/>
      <c r="BI10" s="16"/>
    </row>
    <row r="11" spans="1:63" x14ac:dyDescent="0.25">
      <c r="A11" s="6"/>
      <c r="B11" s="7"/>
      <c r="C11" s="6"/>
      <c r="D11" s="14"/>
      <c r="E11" s="14"/>
      <c r="F11" s="22" t="s">
        <v>10</v>
      </c>
      <c r="G11" s="1679"/>
      <c r="H11" s="1680">
        <f>+'[1]Demographic trends'!$L$19</f>
        <v>26366011</v>
      </c>
      <c r="I11" s="1681"/>
      <c r="J11" s="1682">
        <v>26878289.334888998</v>
      </c>
      <c r="K11" s="14"/>
      <c r="L11" s="14"/>
      <c r="M11" s="14"/>
      <c r="N11" s="14"/>
      <c r="O11" s="15"/>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24"/>
      <c r="AQ11" s="16"/>
      <c r="AR11" s="16"/>
      <c r="AS11" s="16"/>
      <c r="AT11" s="16"/>
      <c r="AU11" s="16"/>
      <c r="AV11" s="16"/>
      <c r="AW11" s="16"/>
      <c r="AX11" s="16"/>
      <c r="AY11" s="16"/>
      <c r="AZ11" s="16"/>
      <c r="BA11" s="16"/>
      <c r="BB11" s="16"/>
      <c r="BC11" s="16"/>
      <c r="BD11" s="16"/>
      <c r="BE11" s="16"/>
      <c r="BF11" s="16"/>
      <c r="BG11" s="16"/>
      <c r="BH11" s="16"/>
      <c r="BI11" s="16"/>
    </row>
    <row r="12" spans="1:63" x14ac:dyDescent="0.25">
      <c r="A12" s="6"/>
      <c r="B12" s="2"/>
      <c r="C12" s="3"/>
      <c r="D12" s="14"/>
      <c r="E12" s="14"/>
      <c r="F12" s="22" t="s">
        <v>11</v>
      </c>
      <c r="G12" s="1679"/>
      <c r="H12" s="1680">
        <f>+'[1]Demographic trends'!$L$20</f>
        <v>27635943</v>
      </c>
      <c r="I12" s="1681"/>
      <c r="J12" s="1682">
        <v>28078631.0393566</v>
      </c>
      <c r="K12" s="14"/>
      <c r="L12" s="14"/>
      <c r="M12" s="14"/>
      <c r="N12" s="14"/>
      <c r="O12" s="15"/>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24"/>
      <c r="AQ12" s="16"/>
      <c r="AR12" s="16"/>
      <c r="AS12" s="16"/>
      <c r="AT12" s="16"/>
      <c r="AU12" s="16"/>
      <c r="AV12" s="16"/>
      <c r="AW12" s="16"/>
      <c r="AX12" s="16"/>
      <c r="AY12" s="16"/>
      <c r="AZ12" s="16"/>
      <c r="BA12" s="16"/>
      <c r="BB12" s="16"/>
      <c r="BC12" s="16"/>
      <c r="BD12" s="16"/>
      <c r="BE12" s="16"/>
      <c r="BF12" s="16"/>
      <c r="BG12" s="16"/>
      <c r="BH12" s="16"/>
      <c r="BI12" s="16"/>
    </row>
    <row r="13" spans="1:63" x14ac:dyDescent="0.25">
      <c r="A13" s="6"/>
      <c r="B13" s="2"/>
      <c r="C13" s="3"/>
      <c r="D13" s="29"/>
      <c r="E13" s="29"/>
      <c r="F13" s="30" t="s">
        <v>12</v>
      </c>
      <c r="G13" s="3512">
        <f>+'[1]Demographic trends'!$P$9</f>
        <v>16179764</v>
      </c>
      <c r="H13" s="3513"/>
      <c r="I13" s="3514">
        <v>16612042.765947901</v>
      </c>
      <c r="J13" s="3515"/>
      <c r="K13" s="4"/>
      <c r="L13" s="4"/>
      <c r="M13" s="4"/>
      <c r="N13" s="15"/>
      <c r="O13" s="15"/>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24"/>
      <c r="AQ13" s="16"/>
      <c r="AR13" s="16"/>
      <c r="AS13" s="16"/>
      <c r="AT13" s="16"/>
      <c r="AU13" s="16"/>
      <c r="AV13" s="16"/>
      <c r="AW13" s="16"/>
      <c r="AX13" s="16"/>
      <c r="AY13" s="16"/>
      <c r="AZ13" s="16"/>
      <c r="BA13" s="16"/>
      <c r="BB13" s="16"/>
      <c r="BC13" s="16"/>
      <c r="BD13" s="16"/>
      <c r="BE13" s="16"/>
      <c r="BF13" s="16"/>
      <c r="BG13" s="16"/>
      <c r="BH13" s="16"/>
      <c r="BI13" s="16"/>
    </row>
    <row r="14" spans="1:63" x14ac:dyDescent="0.25">
      <c r="A14" s="6"/>
      <c r="B14" s="2"/>
      <c r="C14" s="3"/>
      <c r="D14" s="27"/>
      <c r="E14" s="14"/>
      <c r="F14" s="22" t="s">
        <v>13</v>
      </c>
      <c r="G14" s="3516">
        <v>15799209</v>
      </c>
      <c r="H14" s="3517"/>
      <c r="I14" s="3518">
        <v>15658873.302037301</v>
      </c>
      <c r="J14" s="3519"/>
      <c r="K14" s="29"/>
      <c r="L14" s="29"/>
      <c r="M14" s="29"/>
      <c r="N14" s="14"/>
      <c r="O14" s="15"/>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24"/>
      <c r="AQ14" s="16"/>
      <c r="AR14" s="16"/>
      <c r="AS14" s="16"/>
      <c r="AT14" s="16"/>
      <c r="AU14" s="16"/>
      <c r="AV14" s="16"/>
      <c r="AW14" s="16"/>
      <c r="AX14" s="16"/>
      <c r="AY14" s="16"/>
      <c r="AZ14" s="16"/>
      <c r="BA14" s="16"/>
      <c r="BB14" s="16"/>
      <c r="BC14" s="16"/>
      <c r="BD14" s="16"/>
      <c r="BE14" s="16"/>
      <c r="BF14" s="16"/>
      <c r="BG14" s="16"/>
      <c r="BH14" s="16"/>
      <c r="BI14" s="16"/>
    </row>
    <row r="15" spans="1:63" ht="14.45" customHeight="1" x14ac:dyDescent="0.25">
      <c r="A15" s="6"/>
      <c r="B15" s="2"/>
      <c r="C15" s="6">
        <v>3</v>
      </c>
      <c r="D15" s="29" t="s">
        <v>14</v>
      </c>
      <c r="E15" s="31"/>
      <c r="F15" s="31"/>
      <c r="G15" s="31"/>
      <c r="H15" s="1683">
        <v>15106551</v>
      </c>
      <c r="I15" s="32"/>
      <c r="J15" s="33">
        <v>16121989.3666903</v>
      </c>
      <c r="K15" s="34"/>
      <c r="L15" s="4"/>
      <c r="M15" s="29"/>
      <c r="N15" s="29"/>
      <c r="O15" s="4"/>
      <c r="AP15" s="24"/>
    </row>
    <row r="16" spans="1:63" x14ac:dyDescent="0.25">
      <c r="A16" s="6"/>
      <c r="B16" s="2"/>
      <c r="C16" s="3"/>
      <c r="D16" s="27" t="s">
        <v>15</v>
      </c>
      <c r="E16" s="27"/>
      <c r="F16" s="27"/>
      <c r="G16" s="27"/>
      <c r="H16" s="1684">
        <f>+G10/H15</f>
        <v>3.5747374764762654</v>
      </c>
      <c r="I16" s="35"/>
      <c r="J16" s="36">
        <f>+I10/J15</f>
        <v>3.4088175549719866</v>
      </c>
      <c r="K16" s="34"/>
      <c r="L16" s="29"/>
      <c r="M16" s="29"/>
      <c r="N16" s="29"/>
      <c r="O16" s="4"/>
      <c r="AP16" s="24"/>
    </row>
    <row r="17" spans="1:44" x14ac:dyDescent="0.25">
      <c r="A17" s="6"/>
      <c r="B17" s="2"/>
      <c r="C17" s="6">
        <v>4</v>
      </c>
      <c r="D17" s="37" t="s">
        <v>16</v>
      </c>
      <c r="E17" s="37"/>
      <c r="F17" s="37"/>
      <c r="G17" s="38"/>
      <c r="H17" s="1685">
        <v>1220813</v>
      </c>
      <c r="I17" s="39"/>
      <c r="J17" s="1686">
        <v>1220813</v>
      </c>
      <c r="K17" s="29"/>
      <c r="L17" s="29"/>
      <c r="M17" s="29"/>
      <c r="N17" s="29"/>
      <c r="O17" s="4"/>
      <c r="AP17" s="24"/>
    </row>
    <row r="18" spans="1:44" x14ac:dyDescent="0.25">
      <c r="A18" s="6"/>
      <c r="B18" s="2"/>
      <c r="C18" s="3"/>
      <c r="D18" s="4"/>
      <c r="E18" s="29"/>
      <c r="F18" s="29"/>
      <c r="G18" s="29"/>
      <c r="H18" s="29"/>
      <c r="I18" s="29"/>
      <c r="J18" s="29"/>
      <c r="K18" s="29"/>
      <c r="L18" s="29"/>
      <c r="M18" s="29"/>
      <c r="N18" s="29"/>
      <c r="O18" s="29"/>
      <c r="P18" s="29"/>
      <c r="Q18" s="4"/>
      <c r="AR18" s="24"/>
    </row>
    <row r="19" spans="1:44" x14ac:dyDescent="0.25">
      <c r="A19" s="6"/>
      <c r="B19" s="2"/>
      <c r="C19" s="3"/>
      <c r="D19" s="4"/>
      <c r="E19" s="29"/>
      <c r="F19" s="29"/>
      <c r="G19" s="29"/>
      <c r="H19" s="29"/>
      <c r="I19" s="29"/>
      <c r="J19" s="29"/>
      <c r="K19" s="29"/>
      <c r="L19" s="29"/>
      <c r="M19" s="29"/>
      <c r="N19" s="29"/>
      <c r="O19" s="29"/>
      <c r="P19" s="29"/>
      <c r="Q19" s="4"/>
      <c r="AR19" s="24"/>
    </row>
    <row r="20" spans="1:44" x14ac:dyDescent="0.25">
      <c r="A20" s="6"/>
      <c r="B20" s="2"/>
      <c r="C20" s="3"/>
      <c r="D20" s="4"/>
      <c r="E20" s="29"/>
      <c r="F20" s="29"/>
      <c r="G20" s="29"/>
      <c r="H20" s="29"/>
      <c r="I20" s="29"/>
      <c r="J20" s="29"/>
      <c r="K20" s="29"/>
      <c r="L20" s="29"/>
      <c r="M20" s="29"/>
      <c r="N20" s="29"/>
      <c r="O20" s="29"/>
      <c r="P20" s="29"/>
      <c r="Q20" s="4"/>
      <c r="AR20" s="24"/>
    </row>
    <row r="21" spans="1:44" x14ac:dyDescent="0.25">
      <c r="A21" s="6"/>
      <c r="B21" s="2"/>
      <c r="C21" s="3"/>
      <c r="D21" s="4"/>
      <c r="E21" s="29"/>
      <c r="F21" s="29"/>
      <c r="G21" s="29"/>
      <c r="H21" s="29"/>
      <c r="I21" s="29"/>
      <c r="J21" s="29"/>
      <c r="K21" s="29"/>
      <c r="L21" s="29"/>
      <c r="M21" s="29"/>
      <c r="N21" s="29"/>
      <c r="O21" s="29"/>
      <c r="P21" s="29"/>
      <c r="Q21" s="4"/>
      <c r="AR21" s="24"/>
    </row>
    <row r="22" spans="1:44" x14ac:dyDescent="0.25">
      <c r="A22" s="6"/>
      <c r="B22" s="2"/>
      <c r="C22" s="3"/>
      <c r="D22" s="4"/>
      <c r="E22" s="29"/>
      <c r="F22" s="29"/>
      <c r="G22" s="29"/>
      <c r="H22" s="29"/>
      <c r="I22" s="29"/>
      <c r="J22" s="29"/>
      <c r="K22" s="29"/>
      <c r="L22" s="29"/>
      <c r="M22" s="29"/>
      <c r="N22" s="29"/>
      <c r="O22" s="29"/>
      <c r="P22" s="29"/>
      <c r="Q22" s="4"/>
      <c r="AR22" s="24"/>
    </row>
    <row r="23" spans="1:44" x14ac:dyDescent="0.25">
      <c r="A23" s="6"/>
      <c r="B23" s="2"/>
      <c r="C23" s="3"/>
      <c r="D23" s="4"/>
      <c r="E23" s="29"/>
      <c r="F23" s="29"/>
      <c r="G23" s="29"/>
      <c r="H23" s="29"/>
      <c r="I23" s="29"/>
      <c r="J23" s="29"/>
      <c r="K23" s="29"/>
      <c r="L23" s="29"/>
      <c r="M23" s="29"/>
      <c r="N23" s="29"/>
      <c r="O23" s="29"/>
      <c r="P23" s="29"/>
      <c r="Q23" s="4"/>
      <c r="AR23" s="24"/>
    </row>
    <row r="24" spans="1:44" x14ac:dyDescent="0.25">
      <c r="A24" s="6"/>
      <c r="B24" s="2"/>
      <c r="C24" s="3"/>
      <c r="D24" s="4"/>
      <c r="E24" s="29"/>
      <c r="F24" s="29"/>
      <c r="G24" s="29"/>
      <c r="H24" s="29"/>
      <c r="I24" s="29"/>
      <c r="J24" s="29"/>
      <c r="K24" s="29"/>
      <c r="L24" s="29"/>
      <c r="M24" s="29"/>
      <c r="N24" s="29"/>
      <c r="O24" s="29"/>
      <c r="P24" s="29"/>
      <c r="Q24" s="4"/>
      <c r="AR24" s="24"/>
    </row>
    <row r="25" spans="1:44" x14ac:dyDescent="0.25">
      <c r="A25" s="6"/>
      <c r="B25" s="2"/>
      <c r="C25" s="3"/>
      <c r="D25" s="4"/>
      <c r="E25" s="29"/>
      <c r="F25" s="29"/>
      <c r="G25" s="29"/>
      <c r="H25" s="29"/>
      <c r="I25" s="29"/>
      <c r="J25" s="29"/>
      <c r="K25" s="29"/>
      <c r="L25" s="29"/>
      <c r="M25" s="29"/>
      <c r="N25" s="29"/>
      <c r="O25" s="29"/>
      <c r="P25" s="29"/>
      <c r="Q25" s="4"/>
      <c r="AR25" s="24"/>
    </row>
    <row r="26" spans="1:44" x14ac:dyDescent="0.25">
      <c r="A26" s="6"/>
      <c r="B26" s="2"/>
      <c r="C26" s="3"/>
      <c r="D26" s="4"/>
      <c r="E26" s="29"/>
      <c r="F26" s="29"/>
      <c r="G26" s="29"/>
      <c r="H26" s="29"/>
      <c r="I26" s="29"/>
      <c r="J26" s="29"/>
      <c r="K26" s="29"/>
      <c r="L26" s="29"/>
      <c r="M26" s="29"/>
      <c r="N26" s="29"/>
      <c r="O26" s="29"/>
      <c r="P26" s="29"/>
      <c r="Q26" s="4"/>
      <c r="AR26" s="24"/>
    </row>
    <row r="27" spans="1:44" x14ac:dyDescent="0.25">
      <c r="A27" s="6"/>
      <c r="B27" s="2"/>
      <c r="C27" s="3"/>
      <c r="D27" s="4"/>
      <c r="E27" s="29"/>
      <c r="F27" s="29"/>
      <c r="G27" s="29"/>
      <c r="H27" s="29"/>
      <c r="I27" s="29"/>
      <c r="J27" s="29"/>
      <c r="K27" s="29"/>
      <c r="L27" s="29"/>
      <c r="M27" s="29"/>
      <c r="N27" s="29"/>
      <c r="O27" s="29"/>
      <c r="P27" s="29"/>
      <c r="Q27" s="4"/>
      <c r="AR27" s="24"/>
    </row>
    <row r="28" spans="1:44" x14ac:dyDescent="0.25">
      <c r="A28" s="6"/>
      <c r="B28" s="2"/>
      <c r="C28" s="3"/>
      <c r="D28" s="4"/>
      <c r="E28" s="29"/>
      <c r="F28" s="29"/>
      <c r="G28" s="29"/>
      <c r="H28" s="29"/>
      <c r="I28" s="29"/>
      <c r="J28" s="29"/>
      <c r="K28" s="29"/>
      <c r="L28" s="29"/>
      <c r="M28" s="29"/>
      <c r="N28" s="29"/>
      <c r="O28" s="29"/>
      <c r="P28" s="29"/>
      <c r="Q28" s="4"/>
      <c r="AR28" s="24"/>
    </row>
    <row r="29" spans="1:44" x14ac:dyDescent="0.25">
      <c r="A29" s="6"/>
      <c r="B29" s="2"/>
      <c r="C29" s="3"/>
      <c r="D29" s="4"/>
      <c r="E29" s="29"/>
      <c r="F29" s="29"/>
      <c r="G29" s="29"/>
      <c r="H29" s="29"/>
      <c r="I29" s="29"/>
      <c r="J29" s="29"/>
      <c r="K29" s="29"/>
      <c r="L29" s="29"/>
      <c r="M29" s="29"/>
      <c r="N29" s="29"/>
      <c r="O29" s="29"/>
      <c r="P29" s="29"/>
      <c r="Q29" s="4"/>
      <c r="AR29" s="24"/>
    </row>
    <row r="30" spans="1:44" x14ac:dyDescent="0.25">
      <c r="A30" s="6"/>
      <c r="B30" s="2"/>
      <c r="C30" s="3"/>
      <c r="D30" s="4"/>
      <c r="E30" s="29"/>
      <c r="F30" s="29"/>
      <c r="G30" s="29"/>
      <c r="H30" s="29"/>
      <c r="I30" s="29"/>
      <c r="J30" s="29"/>
      <c r="K30" s="29"/>
      <c r="L30" s="29"/>
      <c r="M30" s="29"/>
      <c r="N30" s="29"/>
      <c r="O30" s="29"/>
      <c r="P30" s="29"/>
      <c r="Q30" s="4"/>
      <c r="AR30" s="24"/>
    </row>
    <row r="31" spans="1:44" x14ac:dyDescent="0.25">
      <c r="A31" s="6"/>
      <c r="B31" s="2"/>
      <c r="C31" s="3"/>
      <c r="D31" s="4"/>
      <c r="E31" s="29"/>
      <c r="F31" s="29"/>
      <c r="G31" s="29"/>
      <c r="H31" s="29"/>
      <c r="I31" s="29"/>
      <c r="J31" s="29"/>
      <c r="K31" s="29"/>
      <c r="L31" s="29"/>
      <c r="M31" s="29"/>
      <c r="N31" s="29"/>
      <c r="O31" s="29"/>
      <c r="P31" s="29"/>
      <c r="Q31" s="4"/>
      <c r="AR31" s="24"/>
    </row>
    <row r="32" spans="1:44" x14ac:dyDescent="0.25">
      <c r="A32" s="6"/>
      <c r="B32" s="2"/>
      <c r="C32" s="3"/>
      <c r="D32" s="4"/>
      <c r="E32" s="29"/>
      <c r="F32" s="29"/>
      <c r="G32" s="29"/>
      <c r="H32" s="29"/>
      <c r="I32" s="29"/>
      <c r="J32" s="29"/>
      <c r="K32" s="29"/>
      <c r="L32" s="29"/>
      <c r="M32" s="29"/>
      <c r="N32" s="29"/>
      <c r="O32" s="29"/>
      <c r="P32" s="29"/>
      <c r="Q32" s="4"/>
      <c r="AR32" s="24"/>
    </row>
    <row r="33" spans="1:44" x14ac:dyDescent="0.25">
      <c r="A33" s="6"/>
      <c r="B33" s="2"/>
      <c r="C33" s="3"/>
      <c r="D33" s="4"/>
      <c r="E33" s="29"/>
      <c r="F33" s="29"/>
      <c r="G33" s="29"/>
      <c r="H33" s="29"/>
      <c r="I33" s="29"/>
      <c r="J33" s="29"/>
      <c r="K33" s="29"/>
      <c r="L33" s="29"/>
      <c r="M33" s="29"/>
      <c r="N33" s="29"/>
      <c r="O33" s="29"/>
      <c r="P33" s="29"/>
      <c r="Q33" s="4"/>
      <c r="AR33" s="24"/>
    </row>
    <row r="34" spans="1:44" x14ac:dyDescent="0.25">
      <c r="A34" s="6"/>
      <c r="B34" s="2"/>
      <c r="C34" s="3"/>
      <c r="D34" s="4"/>
      <c r="E34" s="29"/>
      <c r="F34" s="29"/>
      <c r="G34" s="29"/>
      <c r="H34" s="29"/>
      <c r="I34" s="29"/>
      <c r="J34" s="29"/>
      <c r="K34" s="29"/>
      <c r="L34" s="29"/>
      <c r="M34" s="29"/>
      <c r="N34" s="29"/>
      <c r="O34" s="29"/>
      <c r="P34" s="29"/>
      <c r="Q34" s="4"/>
      <c r="AR34" s="24"/>
    </row>
    <row r="35" spans="1:44" x14ac:dyDescent="0.25">
      <c r="A35" s="6"/>
      <c r="B35" s="2"/>
      <c r="C35" s="3"/>
      <c r="D35" s="4"/>
      <c r="E35" s="29"/>
      <c r="F35" s="29"/>
      <c r="G35" s="29"/>
      <c r="H35" s="29"/>
      <c r="I35" s="29"/>
      <c r="J35" s="29"/>
      <c r="K35" s="29"/>
      <c r="L35" s="29"/>
      <c r="M35" s="29"/>
      <c r="N35" s="29"/>
      <c r="O35" s="29"/>
      <c r="P35" s="29"/>
      <c r="Q35" s="4"/>
      <c r="AR35" s="24"/>
    </row>
    <row r="36" spans="1:44" x14ac:dyDescent="0.25">
      <c r="A36" s="6"/>
      <c r="B36" s="2"/>
      <c r="C36" s="3"/>
      <c r="D36" s="4"/>
      <c r="E36" s="29"/>
      <c r="F36" s="29"/>
      <c r="G36" s="29"/>
      <c r="H36" s="29"/>
      <c r="I36" s="29"/>
      <c r="J36" s="29"/>
      <c r="K36" s="29"/>
      <c r="L36" s="29"/>
      <c r="M36" s="29"/>
      <c r="N36" s="29"/>
      <c r="O36" s="29"/>
      <c r="P36" s="29"/>
      <c r="Q36" s="4"/>
      <c r="AR36" s="24"/>
    </row>
    <row r="37" spans="1:44" x14ac:dyDescent="0.25">
      <c r="A37" s="6"/>
      <c r="B37" s="2"/>
      <c r="C37" s="3"/>
      <c r="D37" s="4"/>
      <c r="E37" s="29"/>
      <c r="F37" s="29"/>
      <c r="G37" s="29"/>
      <c r="H37" s="29"/>
      <c r="I37" s="29"/>
      <c r="J37" s="29"/>
      <c r="K37" s="29"/>
      <c r="L37" s="29"/>
      <c r="M37" s="29"/>
      <c r="N37" s="29"/>
      <c r="O37" s="29"/>
      <c r="P37" s="29"/>
      <c r="Q37" s="4"/>
      <c r="AR37" s="24"/>
    </row>
    <row r="38" spans="1:44" x14ac:dyDescent="0.25">
      <c r="A38" s="6"/>
      <c r="B38" s="2"/>
      <c r="C38" s="3"/>
      <c r="D38" s="4"/>
      <c r="E38" s="29"/>
      <c r="F38" s="29"/>
      <c r="G38" s="29"/>
      <c r="H38" s="29"/>
      <c r="I38" s="29"/>
      <c r="J38" s="29"/>
      <c r="K38" s="29"/>
      <c r="L38" s="29"/>
      <c r="M38" s="29"/>
      <c r="N38" s="29"/>
      <c r="O38" s="29"/>
      <c r="P38" s="29"/>
      <c r="Q38" s="4"/>
      <c r="AR38" s="24"/>
    </row>
    <row r="39" spans="1:44" x14ac:dyDescent="0.25">
      <c r="A39" s="6"/>
      <c r="B39" s="2"/>
      <c r="C39" s="3"/>
      <c r="D39" s="4"/>
      <c r="E39" s="29"/>
      <c r="F39" s="29"/>
      <c r="G39" s="29"/>
      <c r="H39" s="29"/>
      <c r="I39" s="29"/>
      <c r="J39" s="29"/>
      <c r="K39" s="29"/>
      <c r="L39" s="29"/>
      <c r="M39" s="29"/>
      <c r="N39" s="29"/>
      <c r="O39" s="29"/>
      <c r="P39" s="29"/>
      <c r="Q39" s="4"/>
      <c r="AR39" s="24"/>
    </row>
    <row r="40" spans="1:44" x14ac:dyDescent="0.25">
      <c r="A40" s="6"/>
      <c r="B40" s="2"/>
      <c r="C40" s="3"/>
      <c r="D40" s="4"/>
      <c r="E40" s="4"/>
      <c r="F40" s="4"/>
      <c r="G40" s="4"/>
      <c r="H40" s="4"/>
      <c r="I40" s="4"/>
      <c r="J40" s="4"/>
      <c r="K40" s="4"/>
      <c r="L40" s="4"/>
      <c r="M40" s="4"/>
      <c r="N40" s="4"/>
      <c r="O40" s="4"/>
      <c r="P40" s="4"/>
      <c r="Q40" s="4"/>
      <c r="AR40" s="24"/>
    </row>
    <row r="41" spans="1:44" x14ac:dyDescent="0.25">
      <c r="A41" s="6"/>
      <c r="B41" s="2"/>
      <c r="C41" s="3"/>
      <c r="D41" s="4"/>
      <c r="E41" s="4"/>
      <c r="F41" s="4"/>
      <c r="G41" s="4"/>
      <c r="H41" s="4"/>
      <c r="I41" s="4"/>
      <c r="J41" s="4"/>
      <c r="K41" s="4"/>
      <c r="L41" s="4"/>
      <c r="M41" s="4"/>
      <c r="N41" s="4"/>
      <c r="O41" s="4"/>
      <c r="P41" s="4"/>
      <c r="Q41" s="4"/>
      <c r="AR41" s="24"/>
    </row>
    <row r="42" spans="1:44" x14ac:dyDescent="0.25">
      <c r="A42" s="6"/>
      <c r="B42" s="2"/>
      <c r="C42" s="3"/>
      <c r="D42" s="4"/>
      <c r="E42" s="4"/>
      <c r="F42" s="4"/>
      <c r="G42" s="4"/>
      <c r="H42" s="4"/>
      <c r="I42" s="4"/>
      <c r="J42" s="4"/>
      <c r="K42" s="4"/>
      <c r="L42" s="4"/>
      <c r="M42" s="4"/>
      <c r="N42" s="4"/>
      <c r="O42" s="4"/>
      <c r="P42" s="4"/>
      <c r="Q42" s="4"/>
      <c r="AR42" s="24"/>
    </row>
    <row r="43" spans="1:44" x14ac:dyDescent="0.25">
      <c r="A43" s="6"/>
      <c r="B43" s="2"/>
      <c r="C43" s="3"/>
      <c r="D43" s="4"/>
      <c r="E43" s="4"/>
      <c r="F43" s="4"/>
      <c r="G43" s="4"/>
      <c r="H43" s="4"/>
      <c r="I43" s="4"/>
      <c r="J43" s="4"/>
      <c r="K43" s="4"/>
      <c r="L43" s="4"/>
      <c r="M43" s="4"/>
      <c r="N43" s="4"/>
      <c r="O43" s="4"/>
      <c r="P43" s="4"/>
      <c r="Q43" s="4"/>
      <c r="S43" s="5" t="s">
        <v>17</v>
      </c>
    </row>
    <row r="44" spans="1:44" x14ac:dyDescent="0.25">
      <c r="A44" s="6"/>
      <c r="B44" s="2"/>
      <c r="C44" s="3"/>
      <c r="D44" s="4"/>
      <c r="E44" s="4"/>
      <c r="F44" s="4"/>
      <c r="G44" s="4"/>
      <c r="H44" s="4"/>
      <c r="I44" s="4"/>
      <c r="J44" s="4"/>
      <c r="K44" s="4"/>
      <c r="L44" s="4"/>
      <c r="M44" s="4"/>
      <c r="N44" s="4"/>
      <c r="O44" s="4"/>
      <c r="P44" s="4"/>
      <c r="Q44" s="4"/>
    </row>
    <row r="45" spans="1:44" x14ac:dyDescent="0.25">
      <c r="A45" s="6"/>
      <c r="B45" s="2"/>
      <c r="C45" s="3"/>
      <c r="D45" s="4"/>
      <c r="E45" s="4"/>
      <c r="F45" s="4"/>
      <c r="G45" s="4"/>
      <c r="H45" s="4"/>
      <c r="I45" s="4"/>
      <c r="J45" s="4"/>
      <c r="K45" s="4"/>
      <c r="L45" s="4"/>
      <c r="M45" s="4"/>
      <c r="N45" s="4"/>
      <c r="O45" s="4"/>
      <c r="P45" s="4"/>
      <c r="Q45" s="4"/>
    </row>
    <row r="46" spans="1:44" x14ac:dyDescent="0.25">
      <c r="A46" s="6"/>
      <c r="B46" s="2"/>
      <c r="C46" s="3"/>
      <c r="D46" s="4"/>
      <c r="E46" s="4"/>
      <c r="F46" s="4"/>
      <c r="G46" s="4"/>
      <c r="H46" s="4"/>
      <c r="I46" s="4"/>
      <c r="J46" s="4"/>
      <c r="K46" s="4"/>
      <c r="L46" s="4"/>
      <c r="M46" s="4"/>
      <c r="N46" s="4"/>
      <c r="O46" s="4"/>
      <c r="P46" s="4"/>
      <c r="Q46" s="4"/>
    </row>
    <row r="47" spans="1:44" x14ac:dyDescent="0.25">
      <c r="A47" s="6"/>
      <c r="B47" s="2"/>
      <c r="C47" s="3"/>
      <c r="D47" s="4"/>
      <c r="E47" s="4"/>
      <c r="F47" s="4"/>
      <c r="G47" s="4"/>
      <c r="H47" s="4"/>
      <c r="I47" s="4"/>
      <c r="J47" s="4"/>
      <c r="K47" s="4"/>
      <c r="L47" s="4"/>
      <c r="M47" s="4"/>
      <c r="N47" s="4"/>
      <c r="O47" s="4"/>
      <c r="P47" s="4"/>
      <c r="Q47" s="15"/>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row>
    <row r="48" spans="1:44" x14ac:dyDescent="0.25">
      <c r="A48" s="6"/>
      <c r="B48" s="2"/>
      <c r="C48" s="3"/>
      <c r="D48" s="4"/>
      <c r="E48" s="4"/>
      <c r="F48" s="4"/>
      <c r="G48" s="4"/>
      <c r="H48" s="4"/>
      <c r="I48" s="4"/>
      <c r="J48" s="4"/>
      <c r="K48" s="4"/>
      <c r="L48" s="4"/>
      <c r="M48" s="4"/>
      <c r="N48" s="4"/>
      <c r="O48" s="4"/>
      <c r="P48" s="4"/>
      <c r="Q48" s="15"/>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row>
    <row r="49" spans="1:42" ht="18.600000000000001" customHeight="1" x14ac:dyDescent="0.25">
      <c r="A49" s="40"/>
      <c r="B49" s="41" t="s">
        <v>18</v>
      </c>
      <c r="C49" s="40"/>
      <c r="D49" s="3502" t="s">
        <v>19</v>
      </c>
      <c r="E49" s="3503"/>
      <c r="F49" s="3503"/>
      <c r="G49" s="3503"/>
      <c r="H49" s="3503"/>
      <c r="I49" s="3503"/>
      <c r="J49" s="3503"/>
      <c r="K49" s="3503"/>
      <c r="L49" s="3503"/>
      <c r="M49" s="3503"/>
      <c r="N49" s="3503"/>
      <c r="O49" s="3503"/>
      <c r="P49" s="3503"/>
      <c r="Q49" s="3504"/>
      <c r="R49" s="42"/>
      <c r="S49" s="42"/>
      <c r="T49" s="42"/>
      <c r="U49" s="42"/>
      <c r="V49" s="42"/>
      <c r="W49" s="42"/>
      <c r="X49" s="43"/>
      <c r="Y49" s="43"/>
      <c r="Z49" s="43"/>
      <c r="AA49" s="43"/>
      <c r="AB49" s="43"/>
      <c r="AC49" s="43"/>
      <c r="AD49" s="43"/>
      <c r="AE49" s="43"/>
      <c r="AF49" s="16"/>
      <c r="AG49" s="16"/>
      <c r="AH49" s="16"/>
      <c r="AI49" s="16"/>
      <c r="AJ49" s="16"/>
      <c r="AK49" s="16"/>
      <c r="AL49" s="16"/>
      <c r="AM49" s="16"/>
      <c r="AN49" s="16"/>
      <c r="AO49" s="16"/>
      <c r="AP49" s="16"/>
    </row>
    <row r="50" spans="1:42" ht="64.150000000000006" customHeight="1" x14ac:dyDescent="0.25">
      <c r="A50" s="6"/>
      <c r="B50" s="7" t="s">
        <v>20</v>
      </c>
      <c r="C50" s="6"/>
      <c r="D50" s="3502" t="s">
        <v>21</v>
      </c>
      <c r="E50" s="3503"/>
      <c r="F50" s="3503"/>
      <c r="G50" s="3503"/>
      <c r="H50" s="3503"/>
      <c r="I50" s="3503"/>
      <c r="J50" s="3503"/>
      <c r="K50" s="3503"/>
      <c r="L50" s="3503"/>
      <c r="M50" s="3503"/>
      <c r="N50" s="3503"/>
      <c r="O50" s="3503"/>
      <c r="P50" s="3503"/>
      <c r="Q50" s="3504"/>
      <c r="R50" s="44"/>
      <c r="S50" s="44"/>
      <c r="T50" s="44"/>
      <c r="U50" s="44"/>
      <c r="V50" s="44"/>
      <c r="W50" s="44"/>
      <c r="X50" s="43"/>
      <c r="Y50" s="43"/>
      <c r="Z50" s="43"/>
      <c r="AA50" s="43"/>
      <c r="AB50" s="43"/>
      <c r="AC50" s="43"/>
      <c r="AD50" s="43"/>
      <c r="AE50" s="43"/>
      <c r="AF50" s="16"/>
      <c r="AG50" s="16"/>
      <c r="AH50" s="16"/>
      <c r="AI50" s="16"/>
      <c r="AJ50" s="16"/>
      <c r="AK50" s="16"/>
      <c r="AL50" s="16"/>
      <c r="AM50" s="16"/>
      <c r="AN50" s="16"/>
      <c r="AO50" s="16"/>
      <c r="AP50" s="16"/>
    </row>
    <row r="51" spans="1:42" ht="55.9" customHeight="1" x14ac:dyDescent="0.25">
      <c r="A51" s="6"/>
      <c r="B51" s="7" t="s">
        <v>22</v>
      </c>
      <c r="C51" s="6"/>
      <c r="D51" s="3505" t="s">
        <v>23</v>
      </c>
      <c r="E51" s="3506"/>
      <c r="F51" s="3506"/>
      <c r="G51" s="3506"/>
      <c r="H51" s="3506"/>
      <c r="I51" s="3506"/>
      <c r="J51" s="3506"/>
      <c r="K51" s="3506"/>
      <c r="L51" s="3506"/>
      <c r="M51" s="3506"/>
      <c r="N51" s="3506"/>
      <c r="O51" s="3506"/>
      <c r="P51" s="3506"/>
      <c r="Q51" s="3507"/>
      <c r="R51" s="44"/>
      <c r="S51" s="44"/>
      <c r="T51" s="44"/>
      <c r="U51" s="44"/>
      <c r="V51" s="44"/>
      <c r="W51" s="44"/>
      <c r="X51" s="43"/>
      <c r="Y51" s="43"/>
      <c r="Z51" s="43"/>
      <c r="AA51" s="43"/>
      <c r="AB51" s="43"/>
      <c r="AC51" s="43"/>
      <c r="AD51" s="43"/>
      <c r="AE51" s="43"/>
      <c r="AF51" s="16"/>
      <c r="AG51" s="16"/>
      <c r="AH51" s="16"/>
      <c r="AI51" s="16"/>
      <c r="AJ51" s="16"/>
      <c r="AK51" s="16"/>
      <c r="AL51" s="16"/>
      <c r="AM51" s="16"/>
      <c r="AN51" s="16"/>
      <c r="AO51" s="16"/>
      <c r="AP51" s="16"/>
    </row>
    <row r="52" spans="1:42" x14ac:dyDescent="0.25">
      <c r="A52" s="6"/>
      <c r="B52" s="7"/>
      <c r="C52" s="6"/>
      <c r="D52" s="8"/>
      <c r="E52" s="8"/>
      <c r="F52" s="8"/>
      <c r="G52" s="8"/>
      <c r="H52" s="8"/>
      <c r="I52" s="8"/>
      <c r="J52" s="8"/>
      <c r="K52" s="8"/>
      <c r="L52" s="8"/>
      <c r="M52" s="8"/>
      <c r="N52" s="8"/>
      <c r="O52" s="8"/>
      <c r="P52" s="8"/>
      <c r="Q52" s="8"/>
      <c r="R52" s="44"/>
      <c r="S52" s="44"/>
      <c r="T52" s="44"/>
      <c r="U52" s="44"/>
      <c r="V52" s="44"/>
      <c r="W52" s="44"/>
      <c r="X52" s="43"/>
      <c r="Y52" s="43"/>
      <c r="Z52" s="43"/>
      <c r="AA52" s="43"/>
      <c r="AB52" s="43"/>
      <c r="AC52" s="43"/>
      <c r="AD52" s="43"/>
      <c r="AE52" s="43"/>
      <c r="AF52" s="16"/>
      <c r="AG52" s="16"/>
      <c r="AH52" s="16"/>
      <c r="AI52" s="16"/>
      <c r="AJ52" s="16"/>
      <c r="AK52" s="16"/>
      <c r="AL52" s="16"/>
      <c r="AM52" s="16"/>
      <c r="AN52" s="16"/>
      <c r="AO52" s="16"/>
      <c r="AP52" s="16"/>
    </row>
  </sheetData>
  <mergeCells count="10">
    <mergeCell ref="D49:Q49"/>
    <mergeCell ref="D50:Q50"/>
    <mergeCell ref="D51:Q51"/>
    <mergeCell ref="D2:Q2"/>
    <mergeCell ref="G10:H10"/>
    <mergeCell ref="I10:J10"/>
    <mergeCell ref="G13:H13"/>
    <mergeCell ref="I13:J13"/>
    <mergeCell ref="G14:H14"/>
    <mergeCell ref="I14:J14"/>
  </mergeCells>
  <pageMargins left="0.74803149606299213" right="0.74803149606299213" top="0.98425196850393704" bottom="0.98425196850393704" header="0.51181102362204722" footer="0.51181102362204722"/>
  <pageSetup paperSize="9" scale="54" orientation="landscape" r:id="rId1"/>
  <headerFooter alignWithMargins="0">
    <oddHeader>&amp;C&amp;"-,Bold"DEVELOPMENT INDICATORS 2014</oddHeader>
    <oddFooter>&amp;LDepartment of Planning, Monitoring and Evaluation (DPME). &amp;CPage &amp;P of &amp;N&amp;R&amp;D</oddFooter>
  </headerFooter>
  <colBreaks count="1" manualBreakCount="1">
    <brk id="18" max="49"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T104"/>
  <sheetViews>
    <sheetView showGridLines="0" view="pageBreakPreview" zoomScaleNormal="100" zoomScaleSheetLayoutView="100" workbookViewId="0">
      <selection activeCell="V9" sqref="V9"/>
    </sheetView>
  </sheetViews>
  <sheetFormatPr defaultColWidth="9.140625" defaultRowHeight="15" x14ac:dyDescent="0.25"/>
  <cols>
    <col min="1" max="1" width="3.7109375" style="113" customWidth="1"/>
    <col min="2" max="2" width="12.7109375" style="110" customWidth="1"/>
    <col min="3" max="3" width="3.7109375" style="111" customWidth="1"/>
    <col min="4" max="4" width="14.42578125" style="51" customWidth="1"/>
    <col min="5" max="21" width="8.28515625" style="51" customWidth="1"/>
    <col min="22" max="22" width="10.42578125" style="51" customWidth="1"/>
    <col min="23" max="72" width="3" style="51" customWidth="1"/>
    <col min="73" max="16384" width="9.140625" style="51"/>
  </cols>
  <sheetData>
    <row r="1" spans="1:32" x14ac:dyDescent="0.25">
      <c r="D1" s="112"/>
      <c r="E1" s="112"/>
      <c r="F1" s="112"/>
      <c r="G1" s="112"/>
      <c r="H1" s="112"/>
      <c r="I1" s="112"/>
      <c r="J1" s="112"/>
      <c r="K1" s="112"/>
      <c r="L1" s="112"/>
      <c r="M1" s="112"/>
      <c r="N1" s="112"/>
      <c r="O1" s="112"/>
      <c r="P1" s="112"/>
      <c r="Q1" s="112"/>
      <c r="R1" s="112"/>
      <c r="S1" s="112"/>
      <c r="T1" s="112"/>
    </row>
    <row r="2" spans="1:32" ht="15" customHeight="1" x14ac:dyDescent="0.25">
      <c r="A2" s="113">
        <v>1</v>
      </c>
      <c r="B2" s="114" t="s">
        <v>24</v>
      </c>
      <c r="C2" s="113">
        <f>'Inflation '!C2+1</f>
        <v>9</v>
      </c>
      <c r="D2" s="3544" t="s">
        <v>187</v>
      </c>
      <c r="E2" s="3545"/>
      <c r="F2" s="3545"/>
      <c r="G2" s="3545"/>
      <c r="H2" s="3545"/>
      <c r="I2" s="3545"/>
      <c r="J2" s="3545"/>
      <c r="K2" s="3545"/>
      <c r="L2" s="3545"/>
      <c r="M2" s="3545"/>
      <c r="N2" s="3545"/>
      <c r="O2" s="3545"/>
      <c r="P2" s="3545"/>
      <c r="Q2" s="3545"/>
      <c r="R2" s="3545"/>
      <c r="S2" s="3545"/>
      <c r="T2" s="3545"/>
      <c r="U2" s="3545"/>
      <c r="V2" s="3545"/>
      <c r="W2" s="3546"/>
      <c r="X2" s="54"/>
      <c r="Y2" s="54"/>
      <c r="Z2" s="54"/>
      <c r="AA2" s="54"/>
      <c r="AB2" s="54"/>
      <c r="AC2" s="54"/>
      <c r="AD2" s="54"/>
      <c r="AE2" s="54"/>
      <c r="AF2" s="106"/>
    </row>
    <row r="3" spans="1:32" ht="15" customHeight="1" x14ac:dyDescent="0.25">
      <c r="A3" s="113">
        <v>2</v>
      </c>
      <c r="B3" s="114" t="s">
        <v>26</v>
      </c>
      <c r="C3" s="113"/>
      <c r="D3" s="3562" t="s">
        <v>121</v>
      </c>
      <c r="E3" s="3563"/>
      <c r="F3" s="3563"/>
      <c r="G3" s="3563"/>
      <c r="H3" s="3563"/>
      <c r="I3" s="3563"/>
      <c r="J3" s="3563"/>
      <c r="K3" s="3563"/>
      <c r="L3" s="3563"/>
      <c r="M3" s="3563"/>
      <c r="N3" s="3563"/>
      <c r="O3" s="3563"/>
      <c r="P3" s="3563"/>
      <c r="Q3" s="3563"/>
      <c r="R3" s="3563"/>
      <c r="S3" s="3563"/>
      <c r="T3" s="3563"/>
      <c r="U3" s="3563"/>
      <c r="V3" s="3563"/>
      <c r="W3" s="3564"/>
      <c r="X3" s="54"/>
      <c r="Y3" s="54"/>
      <c r="Z3" s="54"/>
      <c r="AA3" s="54"/>
      <c r="AB3" s="54"/>
      <c r="AC3" s="54"/>
      <c r="AD3" s="54"/>
      <c r="AE3" s="54"/>
      <c r="AF3" s="2729"/>
    </row>
    <row r="4" spans="1:32" ht="15" customHeight="1" x14ac:dyDescent="0.25">
      <c r="A4" s="113">
        <v>3</v>
      </c>
      <c r="B4" s="114" t="s">
        <v>28</v>
      </c>
      <c r="C4" s="113"/>
      <c r="D4" s="3562" t="s">
        <v>188</v>
      </c>
      <c r="E4" s="3563"/>
      <c r="F4" s="3563"/>
      <c r="G4" s="3563"/>
      <c r="H4" s="3563"/>
      <c r="I4" s="3563"/>
      <c r="J4" s="3563"/>
      <c r="K4" s="3563"/>
      <c r="L4" s="3563"/>
      <c r="M4" s="3563"/>
      <c r="N4" s="3563"/>
      <c r="O4" s="3563"/>
      <c r="P4" s="3563"/>
      <c r="Q4" s="3563"/>
      <c r="R4" s="3563"/>
      <c r="S4" s="3563"/>
      <c r="T4" s="3563"/>
      <c r="U4" s="3563"/>
      <c r="V4" s="3563"/>
      <c r="W4" s="3564"/>
      <c r="X4" s="54"/>
      <c r="Y4" s="54"/>
      <c r="Z4" s="54"/>
      <c r="AA4" s="54"/>
      <c r="AB4" s="54"/>
      <c r="AC4" s="54"/>
      <c r="AD4" s="54"/>
      <c r="AE4" s="54"/>
      <c r="AF4" s="54"/>
    </row>
    <row r="5" spans="1:32" x14ac:dyDescent="0.25">
      <c r="A5" s="113">
        <v>4</v>
      </c>
      <c r="B5" s="114" t="s">
        <v>1</v>
      </c>
      <c r="C5" s="113"/>
      <c r="D5" s="112"/>
      <c r="E5" s="112"/>
      <c r="F5" s="112"/>
      <c r="G5" s="112"/>
      <c r="H5" s="112"/>
      <c r="I5" s="112"/>
      <c r="J5" s="112"/>
      <c r="K5" s="112"/>
      <c r="L5" s="112"/>
      <c r="M5" s="112"/>
      <c r="N5" s="112"/>
      <c r="O5" s="112"/>
      <c r="P5" s="112"/>
      <c r="Q5" s="112"/>
      <c r="R5" s="112"/>
      <c r="S5" s="133"/>
      <c r="T5" s="133"/>
      <c r="U5" s="59"/>
      <c r="V5" s="269"/>
      <c r="W5" s="59"/>
      <c r="X5" s="59"/>
      <c r="Y5" s="59"/>
      <c r="Z5" s="59"/>
      <c r="AA5" s="59"/>
      <c r="AB5" s="59"/>
      <c r="AC5" s="59"/>
      <c r="AD5" s="59"/>
      <c r="AE5" s="59"/>
    </row>
    <row r="6" spans="1:32" x14ac:dyDescent="0.25">
      <c r="D6" s="119" t="s">
        <v>103</v>
      </c>
      <c r="E6" s="119" t="s">
        <v>189</v>
      </c>
      <c r="F6" s="119"/>
      <c r="G6" s="119"/>
      <c r="H6" s="119"/>
      <c r="I6" s="119"/>
      <c r="J6" s="119"/>
      <c r="K6" s="119"/>
      <c r="L6" s="119"/>
      <c r="M6" s="119"/>
      <c r="N6" s="122"/>
      <c r="O6" s="122"/>
      <c r="P6" s="122"/>
      <c r="Q6" s="122"/>
      <c r="R6" s="122"/>
      <c r="S6" s="117"/>
      <c r="T6" s="117"/>
      <c r="U6" s="59"/>
      <c r="V6" s="269"/>
      <c r="W6" s="59"/>
      <c r="X6" s="59"/>
      <c r="Y6" s="59"/>
      <c r="Z6" s="59"/>
      <c r="AA6" s="59"/>
      <c r="AB6" s="59"/>
      <c r="AC6" s="59"/>
      <c r="AD6" s="59"/>
      <c r="AE6" s="59"/>
    </row>
    <row r="7" spans="1:32" x14ac:dyDescent="0.25">
      <c r="D7" s="2975" t="s">
        <v>181</v>
      </c>
      <c r="E7" s="2730">
        <v>36160</v>
      </c>
      <c r="F7" s="2730">
        <v>36525</v>
      </c>
      <c r="G7" s="2730">
        <v>36891</v>
      </c>
      <c r="H7" s="2730">
        <v>37256</v>
      </c>
      <c r="I7" s="2730">
        <v>37621</v>
      </c>
      <c r="J7" s="2730">
        <v>37986</v>
      </c>
      <c r="K7" s="2730">
        <v>38352</v>
      </c>
      <c r="L7" s="2730">
        <v>38717</v>
      </c>
      <c r="M7" s="2730">
        <v>39082</v>
      </c>
      <c r="N7" s="2730">
        <v>39447</v>
      </c>
      <c r="O7" s="2730">
        <v>39813</v>
      </c>
      <c r="P7" s="2730">
        <v>40178</v>
      </c>
      <c r="Q7" s="2730">
        <v>40543</v>
      </c>
      <c r="R7" s="2730">
        <v>40908</v>
      </c>
      <c r="S7" s="2730">
        <v>41274</v>
      </c>
      <c r="T7" s="2730">
        <v>41275</v>
      </c>
      <c r="U7" s="2730">
        <v>41641</v>
      </c>
      <c r="V7" s="3164">
        <v>42007</v>
      </c>
    </row>
    <row r="8" spans="1:32" ht="23.25" x14ac:dyDescent="0.25">
      <c r="D8" s="3163" t="s">
        <v>190</v>
      </c>
      <c r="E8" s="1535">
        <f>+AVERAGE(E39:H39)</f>
        <v>412</v>
      </c>
      <c r="F8" s="1535">
        <f>AVERAGE(I39:L39)</f>
        <v>424.75</v>
      </c>
      <c r="G8" s="1535">
        <f>+AVERAGE(M39:P39)</f>
        <v>333</v>
      </c>
      <c r="H8" s="1535">
        <f>AVERAGE(Q39:T39)</f>
        <v>305.5</v>
      </c>
      <c r="I8" s="1535">
        <f>+AVERAGE(U39:X39)</f>
        <v>266</v>
      </c>
      <c r="J8" s="1535">
        <f>+AVERAGE(Y39:AB39)</f>
        <v>178</v>
      </c>
      <c r="K8" s="1535">
        <f>+AVERAGE(AC39:AF39)</f>
        <v>147</v>
      </c>
      <c r="L8" s="1535">
        <f>+AVERAGE(AG39:AJ39)</f>
        <v>99.25</v>
      </c>
      <c r="M8" s="1535">
        <f>+AVERAGE(AK39:AN39)</f>
        <v>92.25</v>
      </c>
      <c r="N8" s="1535">
        <f>+AVERAGE(AO39:AR39)</f>
        <v>105.25</v>
      </c>
      <c r="O8" s="1535">
        <f>+AVERAGE(AS39:AV39)</f>
        <v>339.25</v>
      </c>
      <c r="P8" s="1535">
        <f>+AVERAGE(AW39:AZ39)</f>
        <v>308.75</v>
      </c>
      <c r="Q8" s="1535">
        <f>+AVERAGE(BA39:BD39)</f>
        <v>186</v>
      </c>
      <c r="R8" s="1535">
        <v>193</v>
      </c>
      <c r="S8" s="1535">
        <f>+AVERAGE(BI39:BL39)</f>
        <v>206.75</v>
      </c>
      <c r="T8" s="1535">
        <f>+AVERAGE(BM39:BP39)</f>
        <v>231</v>
      </c>
      <c r="U8" s="1535">
        <f>+AVERAGE(BQ39:BT39)</f>
        <v>223.25</v>
      </c>
      <c r="V8" s="3165">
        <v>288.75</v>
      </c>
    </row>
    <row r="9" spans="1:32" x14ac:dyDescent="0.25">
      <c r="D9" s="132"/>
      <c r="E9" s="133"/>
      <c r="F9" s="133"/>
      <c r="G9" s="133"/>
      <c r="H9" s="133"/>
      <c r="I9" s="133"/>
      <c r="J9" s="133"/>
      <c r="K9" s="133"/>
      <c r="L9" s="2731"/>
      <c r="M9" s="2732"/>
      <c r="N9" s="122"/>
      <c r="O9" s="122"/>
      <c r="P9" s="122"/>
      <c r="Q9" s="112"/>
      <c r="R9" s="117"/>
      <c r="S9" s="998"/>
      <c r="T9" s="998"/>
      <c r="V9" s="269"/>
    </row>
    <row r="10" spans="1:32" x14ac:dyDescent="0.25">
      <c r="A10" s="113">
        <v>5</v>
      </c>
      <c r="B10" s="114" t="s">
        <v>77</v>
      </c>
      <c r="D10" s="112"/>
      <c r="E10" s="117"/>
      <c r="F10" s="117"/>
      <c r="G10" s="117"/>
      <c r="H10" s="117"/>
      <c r="I10" s="117"/>
      <c r="J10" s="117"/>
      <c r="K10" s="117"/>
      <c r="L10" s="117"/>
      <c r="M10" s="117"/>
      <c r="N10" s="117"/>
      <c r="O10" s="117"/>
      <c r="P10" s="117"/>
      <c r="Q10" s="117"/>
      <c r="R10" s="117"/>
      <c r="S10" s="998"/>
      <c r="T10" s="998"/>
      <c r="V10" s="269"/>
    </row>
    <row r="11" spans="1:32" x14ac:dyDescent="0.25">
      <c r="C11" s="113"/>
      <c r="D11" s="112"/>
      <c r="E11" s="117"/>
      <c r="F11" s="117"/>
      <c r="G11" s="117"/>
      <c r="H11" s="117"/>
      <c r="I11" s="117"/>
      <c r="J11" s="117"/>
      <c r="K11" s="117"/>
      <c r="L11" s="117"/>
      <c r="M11" s="117"/>
      <c r="N11" s="117"/>
      <c r="O11" s="117"/>
      <c r="P11" s="117"/>
      <c r="Q11" s="117"/>
      <c r="R11" s="117"/>
      <c r="S11" s="998"/>
      <c r="T11" s="998"/>
      <c r="V11" s="269"/>
    </row>
    <row r="12" spans="1:32" x14ac:dyDescent="0.25">
      <c r="D12" s="112"/>
      <c r="E12" s="117"/>
      <c r="F12" s="117"/>
      <c r="G12" s="117"/>
      <c r="H12" s="117"/>
      <c r="I12" s="117"/>
      <c r="J12" s="117"/>
      <c r="K12" s="117"/>
      <c r="L12" s="117"/>
      <c r="M12" s="117"/>
      <c r="N12" s="117"/>
      <c r="O12" s="117"/>
      <c r="P12" s="117"/>
      <c r="Q12" s="117"/>
      <c r="R12" s="117"/>
      <c r="S12" s="998"/>
      <c r="T12" s="998"/>
      <c r="V12" s="269"/>
    </row>
    <row r="13" spans="1:32" x14ac:dyDescent="0.25">
      <c r="D13" s="112"/>
      <c r="E13" s="117"/>
      <c r="F13" s="117"/>
      <c r="G13" s="117"/>
      <c r="H13" s="117"/>
      <c r="I13" s="117"/>
      <c r="J13" s="117"/>
      <c r="K13" s="117"/>
      <c r="L13" s="117"/>
      <c r="M13" s="117"/>
      <c r="N13" s="117"/>
      <c r="O13" s="117"/>
      <c r="P13" s="117"/>
      <c r="Q13" s="117"/>
      <c r="R13" s="117"/>
      <c r="S13" s="998"/>
      <c r="T13" s="998"/>
      <c r="V13" s="269"/>
    </row>
    <row r="14" spans="1:32" x14ac:dyDescent="0.25">
      <c r="D14" s="112"/>
      <c r="E14" s="117"/>
      <c r="F14" s="117"/>
      <c r="G14" s="117"/>
      <c r="H14" s="117"/>
      <c r="I14" s="117"/>
      <c r="J14" s="117"/>
      <c r="K14" s="117"/>
      <c r="L14" s="117"/>
      <c r="M14" s="117"/>
      <c r="N14" s="117"/>
      <c r="O14" s="117"/>
      <c r="P14" s="117"/>
      <c r="Q14" s="117"/>
      <c r="R14" s="117"/>
      <c r="S14" s="998"/>
      <c r="T14" s="998"/>
      <c r="V14" s="269"/>
    </row>
    <row r="15" spans="1:32" x14ac:dyDescent="0.25">
      <c r="D15" s="112"/>
      <c r="E15" s="117"/>
      <c r="F15" s="117"/>
      <c r="G15" s="117"/>
      <c r="H15" s="117"/>
      <c r="I15" s="117"/>
      <c r="J15" s="117"/>
      <c r="K15" s="117"/>
      <c r="L15" s="117"/>
      <c r="M15" s="117"/>
      <c r="N15" s="117"/>
      <c r="O15" s="117"/>
      <c r="P15" s="117"/>
      <c r="Q15" s="117"/>
      <c r="R15" s="117"/>
      <c r="S15" s="117"/>
      <c r="T15" s="117"/>
      <c r="V15" s="269"/>
    </row>
    <row r="16" spans="1:32" x14ac:dyDescent="0.25">
      <c r="D16" s="112"/>
      <c r="E16" s="117"/>
      <c r="F16" s="117"/>
      <c r="G16" s="117"/>
      <c r="H16" s="117"/>
      <c r="I16" s="117"/>
      <c r="J16" s="117"/>
      <c r="K16" s="117"/>
      <c r="L16" s="117"/>
      <c r="M16" s="117"/>
      <c r="N16" s="117"/>
      <c r="O16" s="117"/>
      <c r="P16" s="117"/>
      <c r="Q16" s="117"/>
      <c r="R16" s="117"/>
      <c r="S16" s="117"/>
      <c r="T16" s="117"/>
      <c r="V16" s="269"/>
    </row>
    <row r="17" spans="1:51" x14ac:dyDescent="0.25">
      <c r="D17" s="112"/>
      <c r="E17" s="117"/>
      <c r="F17" s="117"/>
      <c r="G17" s="117"/>
      <c r="H17" s="117"/>
      <c r="I17" s="117"/>
      <c r="J17" s="117"/>
      <c r="K17" s="117"/>
      <c r="L17" s="117"/>
      <c r="M17" s="117"/>
      <c r="N17" s="117"/>
      <c r="O17" s="117"/>
      <c r="P17" s="117"/>
      <c r="Q17" s="117"/>
      <c r="R17" s="117"/>
      <c r="S17" s="117"/>
      <c r="T17" s="117"/>
      <c r="V17" s="269"/>
    </row>
    <row r="18" spans="1:51" x14ac:dyDescent="0.25">
      <c r="D18" s="112"/>
      <c r="E18" s="117"/>
      <c r="F18" s="117"/>
      <c r="G18" s="117"/>
      <c r="H18" s="117"/>
      <c r="I18" s="117"/>
      <c r="J18" s="117"/>
      <c r="K18" s="117"/>
      <c r="L18" s="117"/>
      <c r="M18" s="117"/>
      <c r="N18" s="117"/>
      <c r="O18" s="117"/>
      <c r="P18" s="117"/>
      <c r="Q18" s="117"/>
      <c r="R18" s="117"/>
      <c r="S18" s="117"/>
      <c r="T18" s="117"/>
      <c r="V18" s="269"/>
    </row>
    <row r="19" spans="1:51" x14ac:dyDescent="0.25">
      <c r="D19" s="112"/>
      <c r="E19" s="117"/>
      <c r="F19" s="117"/>
      <c r="G19" s="117"/>
      <c r="H19" s="117"/>
      <c r="I19" s="117"/>
      <c r="J19" s="117"/>
      <c r="K19" s="117"/>
      <c r="L19" s="117"/>
      <c r="M19" s="117"/>
      <c r="N19" s="117"/>
      <c r="O19" s="117"/>
      <c r="P19" s="117"/>
      <c r="Q19" s="117"/>
      <c r="R19" s="117"/>
      <c r="S19" s="117"/>
      <c r="T19" s="117"/>
      <c r="V19" s="269"/>
    </row>
    <row r="20" spans="1:51" x14ac:dyDescent="0.25">
      <c r="D20" s="112"/>
      <c r="E20" s="117"/>
      <c r="F20" s="117"/>
      <c r="G20" s="117"/>
      <c r="H20" s="117"/>
      <c r="I20" s="117"/>
      <c r="J20" s="117"/>
      <c r="K20" s="117"/>
      <c r="L20" s="117"/>
      <c r="M20" s="117"/>
      <c r="N20" s="117"/>
      <c r="O20" s="117"/>
      <c r="P20" s="117"/>
      <c r="Q20" s="117"/>
      <c r="R20" s="117"/>
      <c r="S20" s="117"/>
      <c r="T20" s="117"/>
      <c r="V20" s="269"/>
    </row>
    <row r="21" spans="1:51" x14ac:dyDescent="0.25">
      <c r="D21" s="112"/>
      <c r="E21" s="112"/>
      <c r="F21" s="112"/>
      <c r="G21" s="112"/>
      <c r="H21" s="112"/>
      <c r="I21" s="112"/>
      <c r="J21" s="112"/>
      <c r="K21" s="112"/>
      <c r="L21" s="112"/>
      <c r="M21" s="112"/>
      <c r="N21" s="112"/>
      <c r="O21" s="112"/>
      <c r="P21" s="112"/>
      <c r="Q21" s="112"/>
      <c r="R21" s="112"/>
      <c r="S21" s="112"/>
      <c r="T21" s="112"/>
      <c r="V21" s="269"/>
    </row>
    <row r="22" spans="1:51" x14ac:dyDescent="0.25">
      <c r="D22" s="112"/>
      <c r="E22" s="112"/>
      <c r="F22" s="112"/>
      <c r="G22" s="112"/>
      <c r="H22" s="112"/>
      <c r="I22" s="112"/>
      <c r="J22" s="112"/>
      <c r="K22" s="112"/>
      <c r="L22" s="112"/>
      <c r="M22" s="112"/>
      <c r="N22" s="112"/>
      <c r="O22" s="112"/>
      <c r="P22" s="112"/>
      <c r="Q22" s="112"/>
      <c r="R22" s="112"/>
      <c r="S22" s="112"/>
      <c r="T22" s="112"/>
      <c r="V22" s="269"/>
    </row>
    <row r="23" spans="1:51" x14ac:dyDescent="0.25">
      <c r="D23" s="112"/>
      <c r="E23" s="112"/>
      <c r="F23" s="112"/>
      <c r="G23" s="112"/>
      <c r="H23" s="112"/>
      <c r="I23" s="112"/>
      <c r="J23" s="112"/>
      <c r="K23" s="112"/>
      <c r="L23" s="112"/>
      <c r="M23" s="112"/>
      <c r="N23" s="112"/>
      <c r="O23" s="112"/>
      <c r="P23" s="112"/>
      <c r="Q23" s="112"/>
      <c r="R23" s="112"/>
      <c r="S23" s="112"/>
      <c r="T23" s="112"/>
      <c r="V23" s="269"/>
    </row>
    <row r="24" spans="1:51" x14ac:dyDescent="0.25">
      <c r="D24" s="112"/>
      <c r="E24" s="112"/>
      <c r="F24" s="112"/>
      <c r="G24" s="112"/>
      <c r="H24" s="112"/>
      <c r="I24" s="112"/>
      <c r="J24" s="112"/>
      <c r="K24" s="112"/>
      <c r="L24" s="112"/>
      <c r="M24" s="112"/>
      <c r="N24" s="112"/>
      <c r="O24" s="112"/>
      <c r="P24" s="112"/>
      <c r="Q24" s="112"/>
      <c r="R24" s="112"/>
      <c r="S24" s="112"/>
      <c r="T24" s="112"/>
      <c r="V24" s="269"/>
    </row>
    <row r="25" spans="1:51" x14ac:dyDescent="0.25">
      <c r="D25" s="112"/>
      <c r="E25" s="112"/>
      <c r="F25" s="112"/>
      <c r="G25" s="112"/>
      <c r="H25" s="112"/>
      <c r="I25" s="112"/>
      <c r="J25" s="112"/>
      <c r="K25" s="112"/>
      <c r="L25" s="112"/>
      <c r="M25" s="112"/>
      <c r="N25" s="112"/>
      <c r="O25" s="112"/>
      <c r="P25" s="112"/>
      <c r="Q25" s="112"/>
      <c r="R25" s="112"/>
      <c r="S25" s="112"/>
      <c r="T25" s="112"/>
    </row>
    <row r="26" spans="1:51" x14ac:dyDescent="0.25">
      <c r="D26" s="112"/>
      <c r="E26" s="112"/>
      <c r="F26" s="112"/>
      <c r="G26" s="112"/>
      <c r="H26" s="112"/>
      <c r="I26" s="112"/>
      <c r="J26" s="112"/>
      <c r="K26" s="112"/>
      <c r="L26" s="112"/>
      <c r="M26" s="112"/>
      <c r="N26" s="112"/>
      <c r="O26" s="112"/>
      <c r="P26" s="112"/>
      <c r="Q26" s="112"/>
      <c r="R26" s="112"/>
      <c r="S26" s="112"/>
      <c r="T26" s="112"/>
    </row>
    <row r="27" spans="1:51" x14ac:dyDescent="0.25">
      <c r="A27" s="113">
        <v>6</v>
      </c>
      <c r="B27" s="114" t="s">
        <v>78</v>
      </c>
      <c r="C27" s="113"/>
      <c r="D27" s="3553" t="s">
        <v>191</v>
      </c>
      <c r="E27" s="3554"/>
      <c r="F27" s="3554"/>
      <c r="G27" s="3554"/>
      <c r="H27" s="3554"/>
      <c r="I27" s="3554"/>
      <c r="J27" s="3554"/>
      <c r="K27" s="3554"/>
      <c r="L27" s="3554"/>
      <c r="M27" s="3554"/>
      <c r="N27" s="3554"/>
      <c r="O27" s="3554"/>
      <c r="P27" s="3554"/>
      <c r="Q27" s="3554"/>
      <c r="R27" s="3554"/>
      <c r="S27" s="3554"/>
      <c r="T27" s="3554"/>
      <c r="U27" s="3554"/>
      <c r="V27" s="3554"/>
      <c r="W27" s="3555"/>
    </row>
    <row r="28" spans="1:51" ht="13.5" customHeight="1" x14ac:dyDescent="0.25">
      <c r="A28" s="136">
        <v>7</v>
      </c>
      <c r="B28" s="137" t="s">
        <v>80</v>
      </c>
      <c r="C28" s="136"/>
      <c r="D28" s="3568" t="s">
        <v>192</v>
      </c>
      <c r="E28" s="3569"/>
      <c r="F28" s="3569"/>
      <c r="G28" s="3569"/>
      <c r="H28" s="3569"/>
      <c r="I28" s="3569"/>
      <c r="J28" s="3569"/>
      <c r="K28" s="3569"/>
      <c r="L28" s="3569"/>
      <c r="M28" s="3569"/>
      <c r="N28" s="3569"/>
      <c r="O28" s="3569"/>
      <c r="P28" s="3569"/>
      <c r="Q28" s="3569"/>
      <c r="R28" s="3569"/>
      <c r="S28" s="3569"/>
      <c r="T28" s="3569"/>
      <c r="U28" s="3569"/>
      <c r="V28" s="3569"/>
      <c r="W28" s="3570"/>
    </row>
    <row r="29" spans="1:51" ht="13.15" customHeight="1" x14ac:dyDescent="0.25">
      <c r="A29" s="113">
        <v>8</v>
      </c>
      <c r="B29" s="114" t="s">
        <v>20</v>
      </c>
      <c r="C29" s="113"/>
      <c r="D29" s="3556" t="s">
        <v>193</v>
      </c>
      <c r="E29" s="3557"/>
      <c r="F29" s="3557"/>
      <c r="G29" s="3557"/>
      <c r="H29" s="3557"/>
      <c r="I29" s="3557"/>
      <c r="J29" s="3557"/>
      <c r="K29" s="3557"/>
      <c r="L29" s="3557"/>
      <c r="M29" s="3557"/>
      <c r="N29" s="3557"/>
      <c r="O29" s="3557"/>
      <c r="P29" s="3557"/>
      <c r="Q29" s="3557"/>
      <c r="R29" s="3557"/>
      <c r="S29" s="3557"/>
      <c r="T29" s="3557"/>
      <c r="U29" s="3557"/>
      <c r="V29" s="3557"/>
      <c r="W29" s="3558"/>
    </row>
    <row r="30" spans="1:51" ht="12.75" customHeight="1" x14ac:dyDescent="0.25">
      <c r="A30" s="113">
        <v>9</v>
      </c>
      <c r="B30" s="114" t="s">
        <v>83</v>
      </c>
      <c r="C30" s="113"/>
      <c r="D30" s="3568" t="s">
        <v>194</v>
      </c>
      <c r="E30" s="3569"/>
      <c r="F30" s="3569"/>
      <c r="G30" s="3569"/>
      <c r="H30" s="3569"/>
      <c r="I30" s="3569"/>
      <c r="J30" s="3569"/>
      <c r="K30" s="3569"/>
      <c r="L30" s="3569"/>
      <c r="M30" s="3569"/>
      <c r="N30" s="3569"/>
      <c r="O30" s="3569"/>
      <c r="P30" s="3569"/>
      <c r="Q30" s="3569"/>
      <c r="R30" s="3569"/>
      <c r="S30" s="3569"/>
      <c r="T30" s="3569"/>
      <c r="U30" s="3569"/>
      <c r="V30" s="3569"/>
      <c r="W30" s="3570"/>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X30" s="59"/>
      <c r="AY30" s="59"/>
    </row>
    <row r="31" spans="1:51" x14ac:dyDescent="0.25">
      <c r="B31" s="180"/>
      <c r="C31" s="181"/>
      <c r="D31" s="2733"/>
      <c r="E31" s="2733"/>
      <c r="F31" s="2733"/>
      <c r="G31" s="2733"/>
      <c r="H31" s="2733"/>
      <c r="I31" s="2733"/>
      <c r="J31" s="2733"/>
      <c r="K31" s="2733"/>
      <c r="L31" s="2733"/>
      <c r="M31" s="2733"/>
      <c r="N31" s="2733"/>
      <c r="O31" s="2733"/>
      <c r="P31" s="2733"/>
      <c r="Q31" s="2733"/>
      <c r="R31" s="2733"/>
      <c r="S31" s="2733"/>
      <c r="T31" s="2733"/>
      <c r="U31" s="2733"/>
      <c r="V31" s="2733"/>
      <c r="W31" s="2733"/>
      <c r="X31" s="2733"/>
      <c r="Y31" s="2733"/>
      <c r="Z31" s="2733"/>
      <c r="AA31" s="2733"/>
      <c r="AB31" s="2733"/>
      <c r="AC31" s="2733"/>
      <c r="AD31" s="2733"/>
      <c r="AE31" s="2733"/>
      <c r="AF31" s="2733"/>
      <c r="AG31" s="2733"/>
      <c r="AH31" s="2733"/>
      <c r="AI31" s="2733"/>
      <c r="AJ31" s="2733"/>
      <c r="AK31" s="2733"/>
      <c r="AL31" s="2733"/>
      <c r="AM31" s="2733"/>
    </row>
    <row r="32" spans="1:51" x14ac:dyDescent="0.25">
      <c r="E32" s="2734"/>
      <c r="V32" s="2735"/>
      <c r="W32" s="230"/>
    </row>
    <row r="34" spans="1:72" x14ac:dyDescent="0.25">
      <c r="A34" s="51"/>
      <c r="AL34" s="51" t="e">
        <f>+AVERAGE(#REF!)</f>
        <v>#REF!</v>
      </c>
      <c r="AP34" s="51" t="e">
        <f>+AVERAGE(#REF!)</f>
        <v>#REF!</v>
      </c>
      <c r="AT34" s="51" t="e">
        <f>+AVERAGE(#REF!)</f>
        <v>#REF!</v>
      </c>
      <c r="AX34" s="51" t="e">
        <f>+AVERAGE(#REF!)</f>
        <v>#REF!</v>
      </c>
    </row>
    <row r="35" spans="1:72" x14ac:dyDescent="0.25">
      <c r="A35" s="51"/>
      <c r="D35" s="3599"/>
      <c r="E35" s="3599"/>
      <c r="F35" s="3599"/>
      <c r="G35" s="3599"/>
      <c r="H35" s="3599"/>
      <c r="I35" s="3599"/>
      <c r="J35" s="3599"/>
      <c r="K35" s="3599"/>
      <c r="L35" s="3599"/>
      <c r="M35" s="3599"/>
      <c r="N35" s="3599"/>
      <c r="O35" s="3599"/>
      <c r="P35" s="3599"/>
      <c r="Q35" s="3599"/>
      <c r="R35" s="3596"/>
      <c r="S35" s="3596"/>
      <c r="T35" s="3596"/>
      <c r="U35" s="3596"/>
      <c r="V35" s="3596"/>
      <c r="W35" s="3596"/>
      <c r="X35" s="3596"/>
      <c r="Y35" s="3596"/>
      <c r="Z35" s="3596"/>
      <c r="AA35" s="3596"/>
      <c r="AB35" s="3596"/>
      <c r="AC35" s="3596"/>
      <c r="AD35" s="3596"/>
      <c r="AE35" s="3596"/>
      <c r="AF35" s="3596"/>
      <c r="AG35" s="3596"/>
      <c r="AH35" s="3596"/>
      <c r="AI35" s="3597"/>
      <c r="AJ35" s="3597"/>
      <c r="AK35" s="3597"/>
      <c r="AL35" s="3597"/>
      <c r="AM35" s="3598"/>
      <c r="AN35" s="3598"/>
    </row>
    <row r="36" spans="1:72" x14ac:dyDescent="0.25">
      <c r="A36" s="51"/>
      <c r="D36" s="264"/>
      <c r="E36" s="264"/>
      <c r="F36" s="270"/>
      <c r="G36" s="264"/>
      <c r="H36" s="264"/>
      <c r="I36" s="264"/>
      <c r="J36" s="264"/>
      <c r="K36" s="264"/>
      <c r="L36" s="270"/>
      <c r="M36" s="264"/>
      <c r="N36" s="264"/>
      <c r="O36" s="264"/>
      <c r="P36" s="270"/>
      <c r="Q36" s="264"/>
      <c r="R36" s="264"/>
      <c r="S36" s="264"/>
      <c r="T36" s="264"/>
      <c r="U36" s="270"/>
      <c r="V36" s="264"/>
      <c r="W36" s="264"/>
      <c r="X36" s="264"/>
      <c r="Y36" s="270"/>
      <c r="Z36" s="264"/>
      <c r="AA36" s="264"/>
      <c r="AB36" s="264"/>
      <c r="AC36" s="270"/>
      <c r="AD36" s="264"/>
      <c r="AE36" s="264"/>
      <c r="AF36" s="264"/>
      <c r="AG36" s="270"/>
      <c r="AH36" s="264"/>
      <c r="AI36" s="264"/>
      <c r="AJ36" s="264"/>
      <c r="AK36" s="270"/>
      <c r="AL36" s="2736"/>
      <c r="AM36" s="2737"/>
    </row>
    <row r="37" spans="1:72" x14ac:dyDescent="0.25">
      <c r="A37" s="51"/>
      <c r="B37" s="398"/>
      <c r="C37" s="2738"/>
      <c r="D37" s="179"/>
      <c r="E37" s="3594">
        <v>1998</v>
      </c>
      <c r="F37" s="3595"/>
      <c r="G37" s="3595"/>
      <c r="H37" s="3595"/>
      <c r="I37" s="3594">
        <v>1999</v>
      </c>
      <c r="J37" s="3595"/>
      <c r="K37" s="3595"/>
      <c r="L37" s="3595"/>
      <c r="M37" s="3594">
        <v>2000</v>
      </c>
      <c r="N37" s="3595"/>
      <c r="O37" s="3595"/>
      <c r="P37" s="3595"/>
      <c r="Q37" s="3594">
        <v>2001</v>
      </c>
      <c r="R37" s="3595"/>
      <c r="S37" s="3595"/>
      <c r="T37" s="3595"/>
      <c r="U37" s="3594">
        <v>2002</v>
      </c>
      <c r="V37" s="3595"/>
      <c r="W37" s="3595"/>
      <c r="X37" s="3595"/>
      <c r="Y37" s="3594">
        <v>2003</v>
      </c>
      <c r="Z37" s="3595"/>
      <c r="AA37" s="3595"/>
      <c r="AB37" s="3595"/>
      <c r="AC37" s="3594">
        <v>2004</v>
      </c>
      <c r="AD37" s="3595"/>
      <c r="AE37" s="3595"/>
      <c r="AF37" s="3595"/>
      <c r="AG37" s="3594">
        <v>2005</v>
      </c>
      <c r="AH37" s="3595"/>
      <c r="AI37" s="3595"/>
      <c r="AJ37" s="3595"/>
      <c r="AK37" s="3594">
        <v>2006</v>
      </c>
      <c r="AL37" s="3595"/>
      <c r="AM37" s="3595"/>
      <c r="AN37" s="3595"/>
      <c r="AO37" s="3594">
        <v>2007</v>
      </c>
      <c r="AP37" s="3595"/>
      <c r="AQ37" s="3595"/>
      <c r="AR37" s="3595"/>
      <c r="AS37" s="3594">
        <v>2008</v>
      </c>
      <c r="AT37" s="3595"/>
      <c r="AU37" s="3595"/>
      <c r="AV37" s="3595"/>
      <c r="AW37" s="3594">
        <v>2009</v>
      </c>
      <c r="AX37" s="3595"/>
      <c r="AY37" s="3595"/>
      <c r="AZ37" s="3595"/>
      <c r="BA37" s="3594">
        <v>2010</v>
      </c>
      <c r="BB37" s="3595"/>
      <c r="BC37" s="3595"/>
      <c r="BD37" s="3595"/>
      <c r="BE37" s="3594">
        <v>2011</v>
      </c>
      <c r="BF37" s="3595"/>
      <c r="BG37" s="3595"/>
      <c r="BH37" s="3595"/>
      <c r="BI37" s="3594">
        <v>2012</v>
      </c>
      <c r="BJ37" s="3595"/>
      <c r="BK37" s="3595"/>
      <c r="BL37" s="3595"/>
      <c r="BM37" s="3594">
        <v>2013</v>
      </c>
      <c r="BN37" s="3595"/>
      <c r="BO37" s="3595"/>
      <c r="BP37" s="3595"/>
      <c r="BQ37" s="3594">
        <v>2014</v>
      </c>
      <c r="BR37" s="3595"/>
      <c r="BS37" s="3595"/>
      <c r="BT37" s="3595"/>
    </row>
    <row r="38" spans="1:72" x14ac:dyDescent="0.25">
      <c r="A38" s="51"/>
      <c r="E38" s="263" t="s">
        <v>85</v>
      </c>
      <c r="F38" s="264" t="s">
        <v>86</v>
      </c>
      <c r="G38" s="264" t="s">
        <v>87</v>
      </c>
      <c r="H38" s="265" t="s">
        <v>88</v>
      </c>
      <c r="I38" s="263" t="s">
        <v>85</v>
      </c>
      <c r="J38" s="264" t="s">
        <v>86</v>
      </c>
      <c r="K38" s="264" t="s">
        <v>87</v>
      </c>
      <c r="L38" s="265" t="s">
        <v>88</v>
      </c>
      <c r="M38" s="263" t="s">
        <v>85</v>
      </c>
      <c r="N38" s="264" t="s">
        <v>86</v>
      </c>
      <c r="O38" s="264" t="s">
        <v>87</v>
      </c>
      <c r="P38" s="265" t="s">
        <v>88</v>
      </c>
      <c r="Q38" s="263" t="s">
        <v>85</v>
      </c>
      <c r="R38" s="264" t="s">
        <v>86</v>
      </c>
      <c r="S38" s="264" t="s">
        <v>87</v>
      </c>
      <c r="T38" s="265" t="s">
        <v>88</v>
      </c>
      <c r="U38" s="263" t="s">
        <v>85</v>
      </c>
      <c r="V38" s="264" t="s">
        <v>86</v>
      </c>
      <c r="W38" s="264" t="s">
        <v>87</v>
      </c>
      <c r="X38" s="265" t="s">
        <v>88</v>
      </c>
      <c r="Y38" s="263" t="s">
        <v>85</v>
      </c>
      <c r="Z38" s="264" t="s">
        <v>86</v>
      </c>
      <c r="AA38" s="264" t="s">
        <v>87</v>
      </c>
      <c r="AB38" s="265" t="s">
        <v>88</v>
      </c>
      <c r="AC38" s="263" t="s">
        <v>85</v>
      </c>
      <c r="AD38" s="264" t="s">
        <v>86</v>
      </c>
      <c r="AE38" s="264" t="s">
        <v>87</v>
      </c>
      <c r="AF38" s="265" t="s">
        <v>88</v>
      </c>
      <c r="AG38" s="263" t="s">
        <v>85</v>
      </c>
      <c r="AH38" s="264" t="s">
        <v>86</v>
      </c>
      <c r="AI38" s="264" t="s">
        <v>87</v>
      </c>
      <c r="AJ38" s="265" t="s">
        <v>88</v>
      </c>
      <c r="AK38" s="263" t="s">
        <v>85</v>
      </c>
      <c r="AL38" s="264" t="s">
        <v>86</v>
      </c>
      <c r="AM38" s="264" t="s">
        <v>87</v>
      </c>
      <c r="AN38" s="265" t="s">
        <v>88</v>
      </c>
      <c r="AO38" s="263" t="s">
        <v>85</v>
      </c>
      <c r="AP38" s="264" t="s">
        <v>86</v>
      </c>
      <c r="AQ38" s="264" t="s">
        <v>87</v>
      </c>
      <c r="AR38" s="265" t="s">
        <v>88</v>
      </c>
      <c r="AS38" s="263" t="s">
        <v>85</v>
      </c>
      <c r="AT38" s="264" t="s">
        <v>86</v>
      </c>
      <c r="AU38" s="264" t="s">
        <v>87</v>
      </c>
      <c r="AV38" s="265" t="s">
        <v>88</v>
      </c>
      <c r="AW38" s="263" t="s">
        <v>85</v>
      </c>
      <c r="AX38" s="264" t="s">
        <v>86</v>
      </c>
      <c r="AY38" s="264" t="s">
        <v>87</v>
      </c>
      <c r="AZ38" s="265" t="s">
        <v>88</v>
      </c>
      <c r="BA38" s="263" t="s">
        <v>85</v>
      </c>
      <c r="BB38" s="264" t="s">
        <v>86</v>
      </c>
      <c r="BC38" s="264" t="s">
        <v>87</v>
      </c>
      <c r="BD38" s="265" t="s">
        <v>88</v>
      </c>
      <c r="BE38" s="263" t="s">
        <v>85</v>
      </c>
      <c r="BF38" s="264" t="s">
        <v>86</v>
      </c>
      <c r="BG38" s="264" t="s">
        <v>87</v>
      </c>
      <c r="BH38" s="265" t="s">
        <v>88</v>
      </c>
      <c r="BI38" s="263" t="s">
        <v>85</v>
      </c>
      <c r="BJ38" s="264" t="s">
        <v>86</v>
      </c>
      <c r="BK38" s="264" t="s">
        <v>87</v>
      </c>
      <c r="BL38" s="265" t="s">
        <v>88</v>
      </c>
      <c r="BM38" s="263" t="s">
        <v>85</v>
      </c>
      <c r="BN38" s="264" t="s">
        <v>86</v>
      </c>
      <c r="BO38" s="264" t="s">
        <v>87</v>
      </c>
      <c r="BP38" s="265" t="s">
        <v>88</v>
      </c>
      <c r="BQ38" s="263" t="s">
        <v>85</v>
      </c>
      <c r="BR38" s="264" t="s">
        <v>86</v>
      </c>
      <c r="BS38" s="264" t="s">
        <v>87</v>
      </c>
      <c r="BT38" s="265" t="s">
        <v>88</v>
      </c>
    </row>
    <row r="39" spans="1:72" x14ac:dyDescent="0.25">
      <c r="A39" s="51"/>
      <c r="D39" s="2734" t="s">
        <v>195</v>
      </c>
      <c r="E39" s="2739">
        <v>284</v>
      </c>
      <c r="F39" s="2740">
        <v>269</v>
      </c>
      <c r="G39" s="2740">
        <v>477</v>
      </c>
      <c r="H39" s="2741">
        <v>618</v>
      </c>
      <c r="I39" s="2739">
        <v>581</v>
      </c>
      <c r="J39" s="2740">
        <v>419</v>
      </c>
      <c r="K39" s="2740">
        <v>380</v>
      </c>
      <c r="L39" s="2741">
        <v>319</v>
      </c>
      <c r="M39" s="2739">
        <v>256</v>
      </c>
      <c r="N39" s="2740">
        <v>359</v>
      </c>
      <c r="O39" s="2740">
        <v>328</v>
      </c>
      <c r="P39" s="2741">
        <v>389</v>
      </c>
      <c r="Q39" s="2739">
        <v>348</v>
      </c>
      <c r="R39" s="2740">
        <v>298</v>
      </c>
      <c r="S39" s="2740">
        <v>285</v>
      </c>
      <c r="T39" s="2741">
        <v>291</v>
      </c>
      <c r="U39" s="2739">
        <v>273</v>
      </c>
      <c r="V39" s="2740">
        <v>245</v>
      </c>
      <c r="W39" s="2740">
        <v>282</v>
      </c>
      <c r="X39" s="2741">
        <v>264</v>
      </c>
      <c r="Y39" s="2739">
        <v>209</v>
      </c>
      <c r="Z39" s="2740">
        <v>177</v>
      </c>
      <c r="AA39" s="2740">
        <v>177</v>
      </c>
      <c r="AB39" s="2741">
        <v>149</v>
      </c>
      <c r="AC39" s="2739">
        <v>147</v>
      </c>
      <c r="AD39" s="2740">
        <v>164</v>
      </c>
      <c r="AE39" s="2740">
        <v>159</v>
      </c>
      <c r="AF39" s="2741">
        <v>118</v>
      </c>
      <c r="AG39" s="2739">
        <v>104</v>
      </c>
      <c r="AH39" s="2740">
        <v>111</v>
      </c>
      <c r="AI39" s="2740">
        <v>93</v>
      </c>
      <c r="AJ39" s="2741">
        <v>89</v>
      </c>
      <c r="AK39" s="2739">
        <v>76</v>
      </c>
      <c r="AL39" s="2740">
        <v>97</v>
      </c>
      <c r="AM39" s="2740">
        <v>103</v>
      </c>
      <c r="AN39" s="2741">
        <v>93</v>
      </c>
      <c r="AO39" s="2739">
        <v>78</v>
      </c>
      <c r="AP39" s="2740">
        <v>71</v>
      </c>
      <c r="AQ39" s="2740">
        <v>124</v>
      </c>
      <c r="AR39" s="2741">
        <v>148</v>
      </c>
      <c r="AS39" s="2739">
        <v>258</v>
      </c>
      <c r="AT39" s="2740">
        <v>229</v>
      </c>
      <c r="AU39" s="2740">
        <v>261</v>
      </c>
      <c r="AV39" s="2741">
        <v>609</v>
      </c>
      <c r="AW39" s="2739">
        <v>465</v>
      </c>
      <c r="AX39" s="2740">
        <v>342</v>
      </c>
      <c r="AY39" s="2740">
        <v>230</v>
      </c>
      <c r="AZ39" s="2741">
        <v>198</v>
      </c>
      <c r="BA39" s="2739">
        <v>193</v>
      </c>
      <c r="BB39" s="2740">
        <v>197</v>
      </c>
      <c r="BC39" s="2740">
        <v>188</v>
      </c>
      <c r="BD39" s="2741">
        <v>166</v>
      </c>
      <c r="BE39" s="2739">
        <v>186</v>
      </c>
      <c r="BF39" s="2740">
        <v>153</v>
      </c>
      <c r="BG39" s="2740">
        <v>195</v>
      </c>
      <c r="BH39" s="2741">
        <v>241</v>
      </c>
      <c r="BI39" s="2739">
        <v>234</v>
      </c>
      <c r="BJ39" s="2740">
        <v>229</v>
      </c>
      <c r="BK39" s="2740">
        <v>182</v>
      </c>
      <c r="BL39" s="2741">
        <v>182</v>
      </c>
      <c r="BM39" s="2739">
        <v>196</v>
      </c>
      <c r="BN39" s="2740">
        <v>215</v>
      </c>
      <c r="BO39" s="2740">
        <v>260</v>
      </c>
      <c r="BP39" s="2741">
        <v>253</v>
      </c>
      <c r="BQ39" s="2739">
        <v>248</v>
      </c>
      <c r="BR39" s="2740">
        <v>206</v>
      </c>
      <c r="BS39" s="2740">
        <v>212</v>
      </c>
      <c r="BT39" s="2741">
        <v>227</v>
      </c>
    </row>
    <row r="40" spans="1:72" x14ac:dyDescent="0.25">
      <c r="E40" s="2742"/>
      <c r="O40" s="2734">
        <f>AVERAGE(M39:P39)</f>
        <v>333</v>
      </c>
    </row>
    <row r="41" spans="1:72" x14ac:dyDescent="0.25">
      <c r="E41" s="2742"/>
    </row>
    <row r="42" spans="1:72" x14ac:dyDescent="0.25">
      <c r="E42" s="2742"/>
    </row>
    <row r="43" spans="1:72" x14ac:dyDescent="0.25">
      <c r="E43" s="2742"/>
    </row>
    <row r="44" spans="1:72" x14ac:dyDescent="0.25">
      <c r="E44" s="2742"/>
    </row>
    <row r="45" spans="1:72" x14ac:dyDescent="0.25">
      <c r="E45" s="2742"/>
    </row>
    <row r="46" spans="1:72" x14ac:dyDescent="0.25">
      <c r="E46" s="2742"/>
    </row>
    <row r="47" spans="1:72" x14ac:dyDescent="0.25">
      <c r="E47" s="2742"/>
    </row>
    <row r="48" spans="1:72" x14ac:dyDescent="0.25">
      <c r="E48" s="2742"/>
    </row>
    <row r="49" spans="2:17" x14ac:dyDescent="0.25">
      <c r="E49" s="2742"/>
    </row>
    <row r="50" spans="2:17" x14ac:dyDescent="0.25">
      <c r="E50" s="2742"/>
    </row>
    <row r="51" spans="2:17" x14ac:dyDescent="0.25">
      <c r="E51" s="2742"/>
    </row>
    <row r="52" spans="2:17" x14ac:dyDescent="0.25">
      <c r="E52" s="2742"/>
    </row>
    <row r="53" spans="2:17" x14ac:dyDescent="0.25">
      <c r="E53" s="2742"/>
    </row>
    <row r="54" spans="2:17" x14ac:dyDescent="0.25">
      <c r="E54" s="2742"/>
    </row>
    <row r="55" spans="2:17" x14ac:dyDescent="0.25">
      <c r="E55" s="2742"/>
    </row>
    <row r="56" spans="2:17" x14ac:dyDescent="0.25">
      <c r="E56" s="2742"/>
    </row>
    <row r="57" spans="2:17" x14ac:dyDescent="0.25">
      <c r="E57" s="2742"/>
    </row>
    <row r="58" spans="2:17" x14ac:dyDescent="0.25">
      <c r="E58" s="2742"/>
    </row>
    <row r="59" spans="2:17" x14ac:dyDescent="0.25">
      <c r="E59" s="2742"/>
    </row>
    <row r="60" spans="2:17" x14ac:dyDescent="0.25">
      <c r="E60" s="2742"/>
    </row>
    <row r="61" spans="2:17" x14ac:dyDescent="0.25">
      <c r="E61" s="2742"/>
    </row>
    <row r="62" spans="2:17" x14ac:dyDescent="0.25">
      <c r="B62" s="269"/>
      <c r="C62" s="269"/>
      <c r="D62" s="269"/>
      <c r="E62" s="2742"/>
      <c r="F62" s="269"/>
      <c r="G62" s="269"/>
      <c r="H62" s="269"/>
      <c r="I62" s="269"/>
      <c r="J62" s="269"/>
      <c r="K62" s="269"/>
      <c r="L62" s="269"/>
      <c r="M62" s="269"/>
      <c r="N62" s="269"/>
      <c r="O62" s="269"/>
      <c r="P62" s="269"/>
      <c r="Q62" s="269"/>
    </row>
    <row r="63" spans="2:17" x14ac:dyDescent="0.25">
      <c r="E63" s="2742"/>
    </row>
    <row r="64" spans="2:17" x14ac:dyDescent="0.25">
      <c r="E64" s="2742"/>
    </row>
    <row r="65" spans="5:5" x14ac:dyDescent="0.25">
      <c r="E65" s="2742"/>
    </row>
    <row r="66" spans="5:5" x14ac:dyDescent="0.25">
      <c r="E66" s="2742"/>
    </row>
    <row r="67" spans="5:5" x14ac:dyDescent="0.25">
      <c r="E67" s="2742"/>
    </row>
    <row r="68" spans="5:5" x14ac:dyDescent="0.25">
      <c r="E68" s="2742"/>
    </row>
    <row r="69" spans="5:5" x14ac:dyDescent="0.25">
      <c r="E69" s="2742"/>
    </row>
    <row r="70" spans="5:5" x14ac:dyDescent="0.25">
      <c r="E70" s="2742"/>
    </row>
    <row r="71" spans="5:5" x14ac:dyDescent="0.25">
      <c r="E71" s="2742"/>
    </row>
    <row r="72" spans="5:5" x14ac:dyDescent="0.25">
      <c r="E72" s="2742"/>
    </row>
    <row r="73" spans="5:5" x14ac:dyDescent="0.25">
      <c r="E73" s="2742"/>
    </row>
    <row r="74" spans="5:5" x14ac:dyDescent="0.25">
      <c r="E74" s="2742"/>
    </row>
    <row r="75" spans="5:5" x14ac:dyDescent="0.25">
      <c r="E75" s="2742"/>
    </row>
    <row r="76" spans="5:5" x14ac:dyDescent="0.25">
      <c r="E76" s="2742"/>
    </row>
    <row r="77" spans="5:5" x14ac:dyDescent="0.25">
      <c r="E77" s="2742"/>
    </row>
    <row r="78" spans="5:5" x14ac:dyDescent="0.25">
      <c r="E78" s="2742"/>
    </row>
    <row r="79" spans="5:5" x14ac:dyDescent="0.25">
      <c r="E79" s="2742"/>
    </row>
    <row r="80" spans="5:5" x14ac:dyDescent="0.25">
      <c r="E80" s="2742"/>
    </row>
    <row r="81" spans="5:5" x14ac:dyDescent="0.25">
      <c r="E81" s="2742"/>
    </row>
    <row r="82" spans="5:5" x14ac:dyDescent="0.25">
      <c r="E82" s="2742"/>
    </row>
    <row r="83" spans="5:5" x14ac:dyDescent="0.25">
      <c r="E83" s="2742"/>
    </row>
    <row r="84" spans="5:5" x14ac:dyDescent="0.25">
      <c r="E84" s="2742"/>
    </row>
    <row r="85" spans="5:5" x14ac:dyDescent="0.25">
      <c r="E85" s="2742"/>
    </row>
    <row r="86" spans="5:5" x14ac:dyDescent="0.25">
      <c r="E86" s="2742"/>
    </row>
    <row r="87" spans="5:5" x14ac:dyDescent="0.25">
      <c r="E87" s="2742"/>
    </row>
    <row r="88" spans="5:5" x14ac:dyDescent="0.25">
      <c r="E88" s="2742"/>
    </row>
    <row r="89" spans="5:5" x14ac:dyDescent="0.25">
      <c r="E89" s="2742"/>
    </row>
    <row r="90" spans="5:5" x14ac:dyDescent="0.25">
      <c r="E90" s="2742"/>
    </row>
    <row r="91" spans="5:5" x14ac:dyDescent="0.25">
      <c r="E91" s="2742"/>
    </row>
    <row r="92" spans="5:5" x14ac:dyDescent="0.25">
      <c r="E92" s="2742"/>
    </row>
    <row r="93" spans="5:5" x14ac:dyDescent="0.25">
      <c r="E93" s="2742"/>
    </row>
    <row r="94" spans="5:5" x14ac:dyDescent="0.25">
      <c r="E94" s="2742"/>
    </row>
    <row r="95" spans="5:5" x14ac:dyDescent="0.25">
      <c r="E95" s="2742"/>
    </row>
    <row r="96" spans="5:5" x14ac:dyDescent="0.25">
      <c r="E96" s="2742"/>
    </row>
    <row r="97" spans="5:5" x14ac:dyDescent="0.25">
      <c r="E97" s="2742"/>
    </row>
    <row r="98" spans="5:5" x14ac:dyDescent="0.25">
      <c r="E98" s="269"/>
    </row>
    <row r="99" spans="5:5" x14ac:dyDescent="0.25">
      <c r="E99" s="269"/>
    </row>
    <row r="100" spans="5:5" x14ac:dyDescent="0.25">
      <c r="E100" s="269"/>
    </row>
    <row r="101" spans="5:5" x14ac:dyDescent="0.25">
      <c r="E101" s="269"/>
    </row>
    <row r="102" spans="5:5" x14ac:dyDescent="0.25">
      <c r="E102" s="269"/>
    </row>
    <row r="103" spans="5:5" x14ac:dyDescent="0.25">
      <c r="E103" s="269"/>
    </row>
    <row r="104" spans="5:5" x14ac:dyDescent="0.25">
      <c r="E104" s="269"/>
    </row>
  </sheetData>
  <mergeCells count="33">
    <mergeCell ref="D2:W2"/>
    <mergeCell ref="D3:W3"/>
    <mergeCell ref="D4:W4"/>
    <mergeCell ref="D27:W27"/>
    <mergeCell ref="D28:W28"/>
    <mergeCell ref="D29:W29"/>
    <mergeCell ref="D35:F35"/>
    <mergeCell ref="G35:L35"/>
    <mergeCell ref="M35:Q35"/>
    <mergeCell ref="R35:V35"/>
    <mergeCell ref="D30:W30"/>
    <mergeCell ref="E37:H37"/>
    <mergeCell ref="I37:L37"/>
    <mergeCell ref="M37:P37"/>
    <mergeCell ref="Q37:T37"/>
    <mergeCell ref="U37:X37"/>
    <mergeCell ref="AW37:AZ37"/>
    <mergeCell ref="AA35:AD35"/>
    <mergeCell ref="AE35:AH35"/>
    <mergeCell ref="AI35:AL35"/>
    <mergeCell ref="AM35:AN35"/>
    <mergeCell ref="Y37:AB37"/>
    <mergeCell ref="W35:Z35"/>
    <mergeCell ref="AC37:AF37"/>
    <mergeCell ref="AG37:AJ37"/>
    <mergeCell ref="AK37:AN37"/>
    <mergeCell ref="AO37:AR37"/>
    <mergeCell ref="AS37:AV37"/>
    <mergeCell ref="BA37:BD37"/>
    <mergeCell ref="BE37:BH37"/>
    <mergeCell ref="BI37:BL37"/>
    <mergeCell ref="BM37:BP37"/>
    <mergeCell ref="BQ37:BT37"/>
  </mergeCells>
  <pageMargins left="0.74803149606299213" right="0.74803149606299213" top="0.98425196850393704" bottom="0.98425196850393704" header="0.51181102362204722" footer="0.51181102362204722"/>
  <pageSetup paperSize="9" scale="6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D70"/>
  <sheetViews>
    <sheetView showGridLines="0" view="pageBreakPreview" zoomScale="90" zoomScaleNormal="100" zoomScaleSheetLayoutView="90" workbookViewId="0">
      <selection activeCell="R33" sqref="R33"/>
    </sheetView>
  </sheetViews>
  <sheetFormatPr defaultColWidth="9.140625" defaultRowHeight="15" x14ac:dyDescent="0.25"/>
  <cols>
    <col min="1" max="1" width="3.7109375" style="113" customWidth="1"/>
    <col min="2" max="2" width="14.42578125" style="110" customWidth="1"/>
    <col min="3" max="3" width="3.7109375" style="111" customWidth="1"/>
    <col min="4" max="4" width="22" style="51" customWidth="1"/>
    <col min="5" max="5" width="13.42578125" style="51" customWidth="1"/>
    <col min="6" max="6" width="15.42578125" style="51" customWidth="1"/>
    <col min="7" max="8" width="9.7109375" style="51" customWidth="1"/>
    <col min="9" max="9" width="10.7109375" style="51" customWidth="1"/>
    <col min="10" max="10" width="14" style="51" customWidth="1"/>
    <col min="11" max="11" width="11.140625" style="51" customWidth="1"/>
    <col min="12" max="12" width="11.28515625" style="51" customWidth="1"/>
    <col min="13" max="13" width="10.85546875" style="51" customWidth="1"/>
    <col min="14" max="14" width="14.140625" style="51" customWidth="1"/>
    <col min="15" max="15" width="11.140625" style="51" customWidth="1"/>
    <col min="16" max="16" width="15.28515625" style="51" customWidth="1"/>
    <col min="17" max="17" width="14.7109375" style="51" customWidth="1"/>
    <col min="18" max="18" width="11.140625" style="51" customWidth="1"/>
    <col min="19" max="19" width="15.28515625" style="51" customWidth="1"/>
    <col min="20" max="20" width="17.28515625" style="59" customWidth="1"/>
    <col min="21" max="21" width="15" style="59" customWidth="1"/>
    <col min="22" max="22" width="16.7109375" style="51" customWidth="1"/>
    <col min="23" max="23" width="14.85546875" style="51" customWidth="1"/>
    <col min="24" max="24" width="14.7109375" style="51" customWidth="1"/>
    <col min="25" max="25" width="16.140625" style="51" customWidth="1"/>
    <col min="26" max="26" width="14.7109375" style="51" customWidth="1"/>
    <col min="27" max="27" width="15.7109375" style="51" customWidth="1"/>
    <col min="28" max="16384" width="9.140625" style="51"/>
  </cols>
  <sheetData>
    <row r="1" spans="1:24" x14ac:dyDescent="0.25">
      <c r="D1" s="112"/>
      <c r="E1" s="112"/>
      <c r="F1" s="112"/>
      <c r="G1" s="112"/>
      <c r="H1" s="112"/>
      <c r="I1" s="112"/>
      <c r="J1" s="112"/>
      <c r="K1" s="112"/>
      <c r="L1" s="112"/>
      <c r="M1" s="112"/>
      <c r="N1" s="112"/>
      <c r="O1" s="112"/>
      <c r="P1" s="112"/>
      <c r="Q1" s="112"/>
      <c r="R1" s="112"/>
      <c r="S1" s="112"/>
    </row>
    <row r="2" spans="1:24" ht="12.75" customHeight="1" x14ac:dyDescent="0.25">
      <c r="A2" s="113">
        <v>1</v>
      </c>
      <c r="B2" s="114" t="s">
        <v>24</v>
      </c>
      <c r="C2" s="113">
        <f>'[5]Bondpoints Spread'!C2+1</f>
        <v>10</v>
      </c>
      <c r="D2" s="271" t="s">
        <v>196</v>
      </c>
      <c r="E2" s="2703"/>
      <c r="F2" s="2703"/>
      <c r="G2" s="2703"/>
      <c r="H2" s="2703"/>
      <c r="I2" s="2703"/>
      <c r="J2" s="2703"/>
      <c r="K2" s="2703"/>
      <c r="L2" s="2703"/>
      <c r="M2" s="2703"/>
      <c r="N2" s="2703"/>
      <c r="O2" s="2703"/>
      <c r="P2" s="2703"/>
      <c r="Q2" s="2703"/>
      <c r="R2" s="2703"/>
      <c r="S2" s="2704"/>
      <c r="T2" s="162"/>
      <c r="U2" s="162"/>
      <c r="V2" s="272"/>
      <c r="W2" s="272"/>
      <c r="X2" s="272"/>
    </row>
    <row r="3" spans="1:24" x14ac:dyDescent="0.25">
      <c r="A3" s="113">
        <v>2</v>
      </c>
      <c r="B3" s="114" t="s">
        <v>26</v>
      </c>
      <c r="C3" s="113"/>
      <c r="D3" s="3553" t="s">
        <v>197</v>
      </c>
      <c r="E3" s="3600"/>
      <c r="F3" s="3600"/>
      <c r="G3" s="3600"/>
      <c r="H3" s="3600"/>
      <c r="I3" s="3600"/>
      <c r="J3" s="3600"/>
      <c r="K3" s="3600"/>
      <c r="L3" s="3600"/>
      <c r="M3" s="3600"/>
      <c r="N3" s="3600"/>
      <c r="O3" s="3600"/>
      <c r="P3" s="3600"/>
      <c r="Q3" s="3600"/>
      <c r="R3" s="3600"/>
      <c r="S3" s="3601"/>
    </row>
    <row r="4" spans="1:24" ht="12.75" customHeight="1" x14ac:dyDescent="0.25">
      <c r="A4" s="113">
        <v>3</v>
      </c>
      <c r="B4" s="114" t="s">
        <v>28</v>
      </c>
      <c r="C4" s="113"/>
      <c r="D4" s="3553" t="s">
        <v>198</v>
      </c>
      <c r="E4" s="3600"/>
      <c r="F4" s="3600"/>
      <c r="G4" s="3600"/>
      <c r="H4" s="3600"/>
      <c r="I4" s="3600"/>
      <c r="J4" s="3600"/>
      <c r="K4" s="3600"/>
      <c r="L4" s="3600"/>
      <c r="M4" s="3600"/>
      <c r="N4" s="3600"/>
      <c r="O4" s="3600"/>
      <c r="P4" s="3600"/>
      <c r="Q4" s="3600"/>
      <c r="R4" s="3600"/>
      <c r="S4" s="3601"/>
    </row>
    <row r="5" spans="1:24" x14ac:dyDescent="0.25">
      <c r="C5" s="113"/>
      <c r="D5" s="112"/>
      <c r="E5" s="112"/>
      <c r="F5" s="112"/>
      <c r="G5" s="112"/>
      <c r="H5" s="112"/>
      <c r="I5" s="112"/>
      <c r="J5" s="112"/>
      <c r="K5" s="112"/>
      <c r="L5" s="112"/>
      <c r="M5" s="112"/>
      <c r="N5" s="112"/>
      <c r="O5" s="112"/>
      <c r="P5" s="112"/>
      <c r="Q5" s="112"/>
      <c r="R5" s="112"/>
      <c r="S5" s="112"/>
    </row>
    <row r="6" spans="1:24" x14ac:dyDescent="0.25">
      <c r="A6" s="113">
        <v>4</v>
      </c>
      <c r="B6" s="114" t="s">
        <v>1</v>
      </c>
      <c r="D6" s="273"/>
      <c r="E6" s="274"/>
      <c r="F6" s="275"/>
      <c r="G6" s="275"/>
      <c r="H6" s="275"/>
      <c r="I6" s="275"/>
      <c r="J6" s="275"/>
      <c r="K6" s="275"/>
      <c r="L6" s="119"/>
      <c r="M6" s="122"/>
      <c r="N6" s="122"/>
      <c r="O6" s="122"/>
      <c r="P6" s="122"/>
      <c r="Q6" s="122"/>
      <c r="R6" s="122"/>
      <c r="S6" s="122"/>
    </row>
    <row r="7" spans="1:24" s="77" customFormat="1" ht="11.25" x14ac:dyDescent="0.2">
      <c r="A7" s="126"/>
      <c r="B7" s="127"/>
      <c r="C7" s="128"/>
      <c r="D7" s="119" t="s">
        <v>93</v>
      </c>
      <c r="E7" s="119" t="s">
        <v>199</v>
      </c>
      <c r="F7" s="119"/>
      <c r="G7" s="119"/>
      <c r="H7" s="119"/>
      <c r="I7" s="119"/>
      <c r="J7" s="275"/>
      <c r="K7" s="275"/>
      <c r="L7" s="276"/>
      <c r="M7" s="277"/>
      <c r="N7" s="277"/>
      <c r="O7" s="277"/>
      <c r="P7" s="277"/>
      <c r="Q7" s="277"/>
      <c r="R7" s="277"/>
      <c r="S7" s="277"/>
      <c r="T7" s="58"/>
      <c r="U7" s="58"/>
    </row>
    <row r="8" spans="1:24" s="77" customFormat="1" ht="14.25" customHeight="1" x14ac:dyDescent="0.2">
      <c r="A8" s="278"/>
      <c r="B8" s="127"/>
      <c r="C8" s="128"/>
      <c r="D8" s="2975" t="s">
        <v>200</v>
      </c>
      <c r="E8" s="2705" t="s">
        <v>201</v>
      </c>
      <c r="F8" s="2705" t="s">
        <v>124</v>
      </c>
      <c r="G8" s="2705" t="s">
        <v>128</v>
      </c>
      <c r="H8" s="2705" t="s">
        <v>132</v>
      </c>
      <c r="I8" s="2706" t="s">
        <v>134</v>
      </c>
      <c r="J8" s="2706" t="s">
        <v>135</v>
      </c>
      <c r="K8" s="2706" t="s">
        <v>136</v>
      </c>
      <c r="L8" s="2706" t="s">
        <v>137</v>
      </c>
      <c r="M8" s="2706" t="s">
        <v>138</v>
      </c>
      <c r="N8" s="2706" t="s">
        <v>139</v>
      </c>
      <c r="O8" s="2706" t="s">
        <v>140</v>
      </c>
      <c r="P8" s="2706" t="s">
        <v>141</v>
      </c>
      <c r="Q8" s="2706" t="s">
        <v>142</v>
      </c>
      <c r="R8" s="2706" t="s">
        <v>143</v>
      </c>
      <c r="S8" s="3170" t="s">
        <v>144</v>
      </c>
      <c r="T8" s="58"/>
      <c r="U8" s="58"/>
    </row>
    <row r="9" spans="1:24" s="77" customFormat="1" ht="14.25" customHeight="1" x14ac:dyDescent="0.2">
      <c r="A9" s="126"/>
      <c r="B9" s="127"/>
      <c r="C9" s="128"/>
      <c r="D9" s="2976" t="s">
        <v>202</v>
      </c>
      <c r="E9" s="2707"/>
      <c r="F9" s="2708">
        <v>1336227</v>
      </c>
      <c r="G9" s="2708">
        <v>2216000</v>
      </c>
      <c r="H9" s="2708">
        <v>4023576</v>
      </c>
      <c r="I9" s="2708">
        <v>5591325</v>
      </c>
      <c r="J9" s="2708">
        <v>6766361</v>
      </c>
      <c r="K9" s="2708">
        <v>8243776</v>
      </c>
      <c r="L9" s="2708">
        <v>9243165</v>
      </c>
      <c r="M9" s="2708">
        <v>10738456</v>
      </c>
      <c r="N9" s="2708">
        <v>12332012</v>
      </c>
      <c r="O9" s="2708">
        <v>11139237</v>
      </c>
      <c r="P9" s="2708">
        <v>10059010</v>
      </c>
      <c r="Q9" s="2708">
        <v>10464022</v>
      </c>
      <c r="R9" s="1536">
        <v>10570726</v>
      </c>
      <c r="S9" s="3171">
        <v>11782848</v>
      </c>
      <c r="T9" s="58"/>
      <c r="U9" s="58"/>
    </row>
    <row r="10" spans="1:24" s="77" customFormat="1" ht="14.25" customHeight="1" x14ac:dyDescent="0.2">
      <c r="A10" s="126"/>
      <c r="B10" s="127"/>
      <c r="C10" s="128"/>
      <c r="D10" s="2976" t="s">
        <v>203</v>
      </c>
      <c r="E10" s="2707"/>
      <c r="F10" s="2708">
        <v>810618</v>
      </c>
      <c r="G10" s="2708">
        <v>1380000</v>
      </c>
      <c r="H10" s="2708">
        <v>203110</v>
      </c>
      <c r="I10" s="2708">
        <v>465367</v>
      </c>
      <c r="J10" s="2708">
        <v>515331</v>
      </c>
      <c r="K10" s="2708">
        <v>844640</v>
      </c>
      <c r="L10" s="2708">
        <v>1021355</v>
      </c>
      <c r="M10" s="2708">
        <v>1154399</v>
      </c>
      <c r="N10" s="2708">
        <v>1139676</v>
      </c>
      <c r="O10" s="2708">
        <v>1067302</v>
      </c>
      <c r="P10" s="2708">
        <v>1011340</v>
      </c>
      <c r="Q10" s="2708">
        <v>1235669</v>
      </c>
      <c r="R10" s="1536">
        <v>1437509</v>
      </c>
      <c r="S10" s="3171">
        <v>1697151</v>
      </c>
      <c r="T10" s="58"/>
      <c r="U10" s="58"/>
    </row>
    <row r="11" spans="1:24" s="77" customFormat="1" ht="14.25" customHeight="1" x14ac:dyDescent="0.2">
      <c r="A11" s="126"/>
      <c r="B11" s="127"/>
      <c r="C11" s="128"/>
      <c r="D11" s="2976" t="s">
        <v>204</v>
      </c>
      <c r="E11" s="2707"/>
      <c r="F11" s="2708">
        <v>415648</v>
      </c>
      <c r="G11" s="2708">
        <v>496000</v>
      </c>
      <c r="H11" s="2708">
        <v>1896156</v>
      </c>
      <c r="I11" s="2708">
        <v>2071351</v>
      </c>
      <c r="J11" s="2708">
        <v>2533971</v>
      </c>
      <c r="K11" s="2708">
        <v>2732215</v>
      </c>
      <c r="L11" s="2708">
        <v>3298808</v>
      </c>
      <c r="M11" s="2708">
        <v>3621862</v>
      </c>
      <c r="N11" s="2708">
        <v>4191366</v>
      </c>
      <c r="O11" s="2708">
        <v>5101224</v>
      </c>
      <c r="P11" s="2708">
        <v>5424602</v>
      </c>
      <c r="Q11" s="2708">
        <v>6609216</v>
      </c>
      <c r="R11" s="1536">
        <v>7333153</v>
      </c>
      <c r="S11" s="3171">
        <v>7292853</v>
      </c>
      <c r="T11" s="58"/>
      <c r="U11" s="58"/>
    </row>
    <row r="12" spans="1:24" ht="14.25" customHeight="1" x14ac:dyDescent="0.25">
      <c r="C12" s="50"/>
      <c r="D12" s="2976" t="s">
        <v>205</v>
      </c>
      <c r="E12" s="2707"/>
      <c r="F12" s="2708">
        <v>31615</v>
      </c>
      <c r="G12" s="2708">
        <v>11000</v>
      </c>
      <c r="H12" s="2708">
        <v>70778</v>
      </c>
      <c r="I12" s="2708">
        <v>209023</v>
      </c>
      <c r="J12" s="2708">
        <v>198268</v>
      </c>
      <c r="K12" s="2708">
        <v>226514</v>
      </c>
      <c r="L12" s="2708">
        <v>212538</v>
      </c>
      <c r="M12" s="2708">
        <v>223202</v>
      </c>
      <c r="N12" s="2708">
        <v>240649</v>
      </c>
      <c r="O12" s="2708">
        <v>188840</v>
      </c>
      <c r="P12" s="2708">
        <v>162830</v>
      </c>
      <c r="Q12" s="2708">
        <v>170605</v>
      </c>
      <c r="R12" s="1536">
        <v>503833</v>
      </c>
      <c r="S12" s="3171">
        <v>583165</v>
      </c>
    </row>
    <row r="13" spans="1:24" ht="14.25" customHeight="1" x14ac:dyDescent="0.25">
      <c r="D13" s="3037" t="s">
        <v>206</v>
      </c>
      <c r="E13" s="2709"/>
      <c r="F13" s="2710"/>
      <c r="G13" s="2710"/>
      <c r="H13" s="2710">
        <v>1294454</v>
      </c>
      <c r="I13" s="2710">
        <v>1745493</v>
      </c>
      <c r="J13" s="2710">
        <v>1996050</v>
      </c>
      <c r="K13" s="2710">
        <v>2102094</v>
      </c>
      <c r="L13" s="2710">
        <v>2744718</v>
      </c>
      <c r="M13" s="2710">
        <v>2886094</v>
      </c>
      <c r="N13" s="2710">
        <v>3137343</v>
      </c>
      <c r="O13" s="2710">
        <v>3458074</v>
      </c>
      <c r="P13" s="2710">
        <v>3596023</v>
      </c>
      <c r="Q13" s="2710">
        <v>3729680</v>
      </c>
      <c r="R13" s="1537">
        <v>4025998</v>
      </c>
      <c r="S13" s="3172">
        <v>4304556</v>
      </c>
    </row>
    <row r="14" spans="1:24" ht="14.25" customHeight="1" x14ac:dyDescent="0.25">
      <c r="D14" s="3166" t="s">
        <v>207</v>
      </c>
      <c r="E14" s="2711">
        <v>2786087</v>
      </c>
      <c r="F14" s="2711">
        <v>2594107</v>
      </c>
      <c r="G14" s="2711">
        <v>4103000</v>
      </c>
      <c r="H14" s="2711">
        <v>7488074</v>
      </c>
      <c r="I14" s="2711">
        <v>10082559</v>
      </c>
      <c r="J14" s="2711">
        <v>12009981</v>
      </c>
      <c r="K14" s="2711">
        <v>14149239</v>
      </c>
      <c r="L14" s="2711">
        <v>16520584</v>
      </c>
      <c r="M14" s="2711">
        <v>18624013</v>
      </c>
      <c r="N14" s="2711">
        <v>21041046</v>
      </c>
      <c r="O14" s="2711">
        <v>20954677</v>
      </c>
      <c r="P14" s="2711">
        <v>20253805</v>
      </c>
      <c r="Q14" s="2711">
        <v>22209192</v>
      </c>
      <c r="R14" s="1538">
        <v>23871219</v>
      </c>
      <c r="S14" s="3173">
        <v>25660573</v>
      </c>
    </row>
    <row r="15" spans="1:24" x14ac:dyDescent="0.25">
      <c r="D15" s="2976" t="s">
        <v>208</v>
      </c>
      <c r="E15" s="2707">
        <v>1.04</v>
      </c>
      <c r="F15" s="2707">
        <v>0.75</v>
      </c>
      <c r="G15" s="2707">
        <v>0.69</v>
      </c>
      <c r="H15" s="2707">
        <v>0.76</v>
      </c>
      <c r="I15" s="2707">
        <v>0.81</v>
      </c>
      <c r="J15" s="2707">
        <v>0.87</v>
      </c>
      <c r="K15" s="2707">
        <v>0.92</v>
      </c>
      <c r="L15" s="2707">
        <v>0.95</v>
      </c>
      <c r="M15" s="2707">
        <v>0.93</v>
      </c>
      <c r="N15" s="2707">
        <v>0.92</v>
      </c>
      <c r="O15" s="2707">
        <v>0.87</v>
      </c>
      <c r="P15" s="2707">
        <v>0.76</v>
      </c>
      <c r="Q15" s="1539">
        <v>0.73</v>
      </c>
      <c r="R15" s="1539">
        <v>0.73</v>
      </c>
      <c r="S15" s="3174">
        <v>0.73</v>
      </c>
    </row>
    <row r="16" spans="1:24" x14ac:dyDescent="0.25">
      <c r="A16" s="51"/>
      <c r="D16" s="3167" t="s">
        <v>209</v>
      </c>
      <c r="E16" s="2712"/>
      <c r="F16" s="2712"/>
      <c r="G16" s="2712"/>
      <c r="H16" s="2713">
        <v>26913</v>
      </c>
      <c r="I16" s="2713">
        <v>30703</v>
      </c>
      <c r="J16" s="2713">
        <v>37001</v>
      </c>
      <c r="K16" s="2713">
        <v>39264</v>
      </c>
      <c r="L16" s="2713">
        <v>39591</v>
      </c>
      <c r="M16" s="2713">
        <v>40084</v>
      </c>
      <c r="N16" s="2713">
        <v>39955</v>
      </c>
      <c r="O16" s="2713">
        <v>40797</v>
      </c>
      <c r="P16" s="2713">
        <v>37901</v>
      </c>
      <c r="Q16" s="2713">
        <v>40653</v>
      </c>
      <c r="R16" s="1540">
        <v>42828</v>
      </c>
      <c r="S16" s="3175">
        <v>45935</v>
      </c>
      <c r="T16" s="51"/>
      <c r="U16" s="51"/>
    </row>
    <row r="17" spans="1:21" x14ac:dyDescent="0.25">
      <c r="A17" s="51"/>
      <c r="D17" s="3168" t="s">
        <v>210</v>
      </c>
      <c r="E17" s="2714"/>
      <c r="F17" s="2714"/>
      <c r="G17" s="2714"/>
      <c r="H17" s="2715">
        <v>14182</v>
      </c>
      <c r="I17" s="2715">
        <v>14129</v>
      </c>
      <c r="J17" s="2715">
        <v>17915</v>
      </c>
      <c r="K17" s="2715">
        <v>17303</v>
      </c>
      <c r="L17" s="2715">
        <v>18572</v>
      </c>
      <c r="M17" s="2715">
        <v>19320</v>
      </c>
      <c r="N17" s="2715">
        <v>19384</v>
      </c>
      <c r="O17" s="2715">
        <v>19793.099999999999</v>
      </c>
      <c r="P17" s="2715">
        <v>18719.599999999999</v>
      </c>
      <c r="Q17" s="2715">
        <v>20115.099999999999</v>
      </c>
      <c r="R17" s="1541">
        <v>21382</v>
      </c>
      <c r="S17" s="3176">
        <v>23346</v>
      </c>
      <c r="T17" s="51"/>
      <c r="U17" s="51"/>
    </row>
    <row r="18" spans="1:21" x14ac:dyDescent="0.25">
      <c r="A18" s="51"/>
      <c r="D18" s="3169" t="s">
        <v>211</v>
      </c>
      <c r="E18" s="2716"/>
      <c r="F18" s="2716"/>
      <c r="G18" s="2716"/>
      <c r="H18" s="2716">
        <v>3.1</v>
      </c>
      <c r="I18" s="2716">
        <v>1.2</v>
      </c>
      <c r="J18" s="2716">
        <v>1.6</v>
      </c>
      <c r="K18" s="2716">
        <v>1.5</v>
      </c>
      <c r="L18" s="2716">
        <v>1.5</v>
      </c>
      <c r="M18" s="2716">
        <v>1.5</v>
      </c>
      <c r="N18" s="2716">
        <v>1.4</v>
      </c>
      <c r="O18" s="2716">
        <v>1.5</v>
      </c>
      <c r="P18" s="2716">
        <v>1.4</v>
      </c>
      <c r="Q18" s="2716">
        <v>1.5</v>
      </c>
      <c r="R18" s="1542">
        <v>1.5</v>
      </c>
      <c r="S18" s="3177">
        <v>1.6</v>
      </c>
      <c r="T18" s="51"/>
      <c r="U18" s="51"/>
    </row>
    <row r="19" spans="1:21" x14ac:dyDescent="0.25">
      <c r="A19" s="51"/>
      <c r="D19" s="133"/>
      <c r="E19" s="133"/>
      <c r="F19" s="133"/>
      <c r="G19" s="133"/>
      <c r="H19" s="133"/>
      <c r="I19" s="133"/>
      <c r="J19" s="133"/>
      <c r="K19" s="133"/>
      <c r="L19" s="281"/>
      <c r="T19" s="51"/>
      <c r="U19" s="51"/>
    </row>
    <row r="22" spans="1:21" ht="14.25" customHeight="1" x14ac:dyDescent="0.25">
      <c r="A22" s="51"/>
      <c r="B22" s="114"/>
      <c r="C22" s="113"/>
      <c r="D22" s="2717"/>
      <c r="E22" s="2718"/>
      <c r="F22" s="2719"/>
      <c r="G22" s="2718"/>
      <c r="H22" s="2719"/>
      <c r="I22" s="2718"/>
      <c r="J22" s="2719"/>
      <c r="K22" s="2718"/>
      <c r="L22" s="2719"/>
      <c r="M22" s="2718"/>
      <c r="N22" s="2719"/>
      <c r="O22" s="2441"/>
      <c r="P22" s="2441"/>
      <c r="Q22" s="2441"/>
      <c r="R22" s="2441"/>
      <c r="S22" s="2441"/>
      <c r="T22" s="51"/>
      <c r="U22" s="51"/>
    </row>
    <row r="23" spans="1:21" ht="14.25" customHeight="1" x14ac:dyDescent="0.25">
      <c r="A23" s="51"/>
      <c r="B23" s="114"/>
      <c r="C23" s="113"/>
      <c r="D23" s="2717"/>
      <c r="E23" s="2718"/>
      <c r="F23" s="2719"/>
      <c r="G23" s="2718"/>
      <c r="H23" s="2719"/>
      <c r="I23" s="2718"/>
      <c r="J23" s="2719"/>
      <c r="K23" s="2718"/>
      <c r="L23" s="2719"/>
      <c r="M23" s="2718"/>
      <c r="N23" s="2719"/>
      <c r="O23" s="2441"/>
      <c r="P23" s="2441"/>
      <c r="Q23" s="2441"/>
      <c r="R23" s="2441"/>
      <c r="S23" s="2441"/>
      <c r="T23" s="51"/>
      <c r="U23" s="51"/>
    </row>
    <row r="24" spans="1:21" ht="14.25" customHeight="1" x14ac:dyDescent="0.25">
      <c r="A24" s="51"/>
      <c r="B24" s="114"/>
      <c r="C24" s="113"/>
      <c r="D24" s="2717"/>
      <c r="E24" s="2718"/>
      <c r="F24" s="2719"/>
      <c r="G24" s="2718"/>
      <c r="H24" s="2719"/>
      <c r="I24" s="2718"/>
      <c r="J24" s="2719"/>
      <c r="K24" s="2718"/>
      <c r="L24" s="2719"/>
      <c r="M24" s="2718"/>
      <c r="N24" s="2719"/>
      <c r="O24" s="2441"/>
      <c r="P24" s="2441"/>
      <c r="Q24" s="2441"/>
      <c r="R24" s="2441"/>
      <c r="S24" s="2441"/>
      <c r="T24" s="51"/>
      <c r="U24" s="51"/>
    </row>
    <row r="25" spans="1:21" ht="14.25" customHeight="1" x14ac:dyDescent="0.25">
      <c r="A25" s="51"/>
      <c r="B25" s="114"/>
      <c r="C25" s="113"/>
      <c r="D25" s="2717"/>
      <c r="E25" s="2718"/>
      <c r="F25" s="2719"/>
      <c r="G25" s="2718"/>
      <c r="H25" s="2719"/>
      <c r="I25" s="2718"/>
      <c r="J25" s="2719"/>
      <c r="K25" s="2718"/>
      <c r="L25" s="2719"/>
      <c r="M25" s="2718"/>
      <c r="N25" s="2719"/>
      <c r="O25" s="2441"/>
      <c r="P25" s="2441"/>
      <c r="Q25" s="2441"/>
      <c r="R25" s="2441"/>
      <c r="S25" s="2441"/>
      <c r="T25" s="51"/>
      <c r="U25" s="51"/>
    </row>
    <row r="26" spans="1:21" ht="14.25" customHeight="1" x14ac:dyDescent="0.25">
      <c r="A26" s="51"/>
      <c r="B26" s="114"/>
      <c r="C26" s="113"/>
      <c r="D26" s="2717"/>
      <c r="E26" s="2718"/>
      <c r="F26" s="2719"/>
      <c r="G26" s="2718"/>
      <c r="H26" s="2719"/>
      <c r="I26" s="2718"/>
      <c r="J26" s="2719"/>
      <c r="K26" s="2718"/>
      <c r="L26" s="2719"/>
      <c r="M26" s="2718"/>
      <c r="N26" s="2719"/>
      <c r="O26" s="2441"/>
      <c r="P26" s="2441"/>
      <c r="Q26" s="2441"/>
      <c r="R26" s="2441"/>
      <c r="S26" s="2441"/>
      <c r="T26" s="51"/>
      <c r="U26" s="51"/>
    </row>
    <row r="27" spans="1:21" ht="14.25" customHeight="1" x14ac:dyDescent="0.25">
      <c r="A27" s="51"/>
      <c r="B27" s="114"/>
      <c r="C27" s="113"/>
      <c r="D27" s="2717"/>
      <c r="E27" s="2718"/>
      <c r="F27" s="2719"/>
      <c r="G27" s="2718"/>
      <c r="H27" s="2719"/>
      <c r="I27" s="2718"/>
      <c r="J27" s="2719"/>
      <c r="K27" s="2718"/>
      <c r="L27" s="2719"/>
      <c r="M27" s="2718"/>
      <c r="N27" s="2719"/>
      <c r="O27" s="2441"/>
      <c r="P27" s="2441"/>
      <c r="Q27" s="2441"/>
      <c r="R27" s="2441"/>
      <c r="S27" s="2441"/>
      <c r="T27" s="51"/>
      <c r="U27" s="51"/>
    </row>
    <row r="28" spans="1:21" ht="14.25" customHeight="1" x14ac:dyDescent="0.25">
      <c r="A28" s="51"/>
      <c r="B28" s="114"/>
      <c r="C28" s="113"/>
      <c r="D28" s="2717"/>
      <c r="E28" s="2718"/>
      <c r="F28" s="2719"/>
      <c r="G28" s="2718"/>
      <c r="H28" s="2719"/>
      <c r="I28" s="2718"/>
      <c r="J28" s="2719"/>
      <c r="K28" s="2718"/>
      <c r="L28" s="2719"/>
      <c r="M28" s="2718"/>
      <c r="N28" s="2719"/>
      <c r="O28" s="2441"/>
      <c r="P28" s="2441"/>
      <c r="Q28" s="2441"/>
      <c r="R28" s="2441"/>
      <c r="S28" s="2441"/>
      <c r="T28" s="51"/>
      <c r="U28" s="51"/>
    </row>
    <row r="29" spans="1:21" ht="14.25" customHeight="1" x14ac:dyDescent="0.25">
      <c r="A29" s="51"/>
      <c r="B29" s="114"/>
      <c r="C29" s="113"/>
      <c r="D29" s="2717"/>
      <c r="E29" s="2718"/>
      <c r="F29" s="2719"/>
      <c r="G29" s="2718"/>
      <c r="H29" s="2719"/>
      <c r="I29" s="2718"/>
      <c r="J29" s="2719"/>
      <c r="K29" s="2718"/>
      <c r="L29" s="2719"/>
      <c r="M29" s="2718"/>
      <c r="N29" s="2719"/>
      <c r="O29" s="2441"/>
      <c r="P29" s="2441"/>
      <c r="Q29" s="2441"/>
      <c r="R29" s="2441"/>
      <c r="S29" s="2441"/>
      <c r="T29" s="51"/>
      <c r="U29" s="51"/>
    </row>
    <row r="30" spans="1:21" ht="14.25" customHeight="1" x14ac:dyDescent="0.25">
      <c r="A30" s="51"/>
      <c r="B30" s="114"/>
      <c r="C30" s="113"/>
      <c r="D30" s="2717"/>
      <c r="E30" s="2718"/>
      <c r="F30" s="2719"/>
      <c r="G30" s="2718"/>
      <c r="H30" s="2719"/>
      <c r="I30" s="2718"/>
      <c r="J30" s="2719"/>
      <c r="K30" s="2718"/>
      <c r="L30" s="2719"/>
      <c r="M30" s="2718"/>
      <c r="N30" s="2719"/>
      <c r="O30" s="2441"/>
      <c r="P30" s="2441"/>
      <c r="Q30" s="2441"/>
      <c r="R30" s="2441"/>
      <c r="S30" s="2441"/>
      <c r="T30" s="51"/>
      <c r="U30" s="51"/>
    </row>
    <row r="31" spans="1:21" ht="14.25" customHeight="1" x14ac:dyDescent="0.25">
      <c r="A31" s="51"/>
      <c r="B31" s="114"/>
      <c r="C31" s="113"/>
      <c r="D31" s="2717"/>
      <c r="E31" s="2718"/>
      <c r="F31" s="2719"/>
      <c r="G31" s="2718"/>
      <c r="H31" s="2719"/>
      <c r="I31" s="2718"/>
      <c r="J31" s="2719"/>
      <c r="K31" s="2718"/>
      <c r="L31" s="2719"/>
      <c r="M31" s="2718"/>
      <c r="N31" s="2719"/>
      <c r="O31" s="2441"/>
      <c r="P31" s="2441"/>
      <c r="Q31" s="2441"/>
      <c r="R31" s="2441"/>
      <c r="S31" s="2441"/>
      <c r="T31" s="51"/>
      <c r="U31" s="51"/>
    </row>
    <row r="32" spans="1:21" ht="14.25" customHeight="1" x14ac:dyDescent="0.25">
      <c r="A32" s="51"/>
      <c r="B32" s="114"/>
      <c r="C32" s="113"/>
      <c r="D32" s="2717"/>
      <c r="E32" s="2718"/>
      <c r="F32" s="2719"/>
      <c r="G32" s="2718"/>
      <c r="H32" s="2719"/>
      <c r="I32" s="2718"/>
      <c r="J32" s="2719"/>
      <c r="K32" s="2718"/>
      <c r="L32" s="2719"/>
      <c r="M32" s="2718"/>
      <c r="N32" s="2719"/>
      <c r="O32" s="2441"/>
      <c r="P32" s="2441"/>
      <c r="Q32" s="2441"/>
      <c r="R32" s="2441"/>
      <c r="S32" s="2441"/>
      <c r="T32" s="51"/>
      <c r="U32" s="51"/>
    </row>
    <row r="33" spans="1:21" ht="14.25" customHeight="1" x14ac:dyDescent="0.25">
      <c r="A33" s="51"/>
      <c r="B33" s="114"/>
      <c r="C33" s="113"/>
      <c r="D33" s="2717"/>
      <c r="E33" s="2718"/>
      <c r="F33" s="2719"/>
      <c r="G33" s="2718"/>
      <c r="H33" s="2719"/>
      <c r="I33" s="2718"/>
      <c r="J33" s="2719"/>
      <c r="K33" s="2718"/>
      <c r="L33" s="2719"/>
      <c r="M33" s="2718"/>
      <c r="N33" s="2719"/>
      <c r="O33" s="2441"/>
      <c r="P33" s="2441"/>
      <c r="Q33" s="2441"/>
      <c r="R33" s="2441"/>
      <c r="S33" s="2441"/>
      <c r="T33" s="51"/>
      <c r="U33" s="51"/>
    </row>
    <row r="34" spans="1:21" ht="14.25" customHeight="1" x14ac:dyDescent="0.25">
      <c r="A34" s="51"/>
      <c r="B34" s="114"/>
      <c r="C34" s="113"/>
      <c r="D34" s="2717"/>
      <c r="E34" s="2718"/>
      <c r="F34" s="2719"/>
      <c r="G34" s="2718"/>
      <c r="H34" s="2719"/>
      <c r="I34" s="2718"/>
      <c r="J34" s="2719"/>
      <c r="K34" s="2718"/>
      <c r="L34" s="2719"/>
      <c r="M34" s="2718"/>
      <c r="N34" s="2719"/>
      <c r="O34" s="2441"/>
      <c r="P34" s="2441"/>
      <c r="Q34" s="2441"/>
      <c r="R34" s="2441"/>
      <c r="S34" s="2441"/>
      <c r="T34" s="51"/>
      <c r="U34" s="51"/>
    </row>
    <row r="35" spans="1:21" ht="14.25" customHeight="1" x14ac:dyDescent="0.25">
      <c r="A35" s="51"/>
      <c r="B35" s="114"/>
      <c r="C35" s="113"/>
      <c r="D35" s="2717"/>
      <c r="E35" s="2718"/>
      <c r="F35" s="2719"/>
      <c r="G35" s="2718"/>
      <c r="H35" s="2719"/>
      <c r="I35" s="2718"/>
      <c r="J35" s="2719"/>
      <c r="K35" s="2718"/>
      <c r="L35" s="2719"/>
      <c r="M35" s="2718"/>
      <c r="N35" s="2719"/>
      <c r="O35" s="2441"/>
      <c r="P35" s="2441"/>
      <c r="Q35" s="2441"/>
      <c r="R35" s="2441"/>
      <c r="S35" s="2441"/>
      <c r="T35" s="51"/>
      <c r="U35" s="51"/>
    </row>
    <row r="36" spans="1:21" ht="14.25" customHeight="1" x14ac:dyDescent="0.25">
      <c r="A36" s="51"/>
      <c r="B36" s="114"/>
      <c r="C36" s="113"/>
      <c r="D36" s="2717"/>
      <c r="E36" s="2718"/>
      <c r="F36" s="2719"/>
      <c r="G36" s="2718"/>
      <c r="H36" s="2719"/>
      <c r="I36" s="2718"/>
      <c r="J36" s="2719"/>
      <c r="K36" s="2718"/>
      <c r="L36" s="2719"/>
      <c r="M36" s="2718"/>
      <c r="N36" s="2719"/>
      <c r="O36" s="2441"/>
      <c r="P36" s="2441"/>
      <c r="Q36" s="2441"/>
      <c r="R36" s="2441"/>
      <c r="S36" s="2441"/>
      <c r="T36" s="51"/>
      <c r="U36" s="51"/>
    </row>
    <row r="37" spans="1:21" ht="14.25" customHeight="1" x14ac:dyDescent="0.25">
      <c r="A37" s="51"/>
      <c r="B37" s="114"/>
      <c r="C37" s="113"/>
      <c r="D37" s="2717"/>
      <c r="E37" s="2718"/>
      <c r="F37" s="2719"/>
      <c r="G37" s="2718"/>
      <c r="H37" s="2719"/>
      <c r="I37" s="2718"/>
      <c r="J37" s="2719"/>
      <c r="K37" s="2718"/>
      <c r="L37" s="2719"/>
      <c r="M37" s="2718"/>
      <c r="N37" s="2719"/>
      <c r="O37" s="2441"/>
      <c r="P37" s="2441"/>
      <c r="Q37" s="2441"/>
      <c r="R37" s="2441"/>
      <c r="S37" s="2441"/>
      <c r="T37" s="51"/>
      <c r="U37" s="51"/>
    </row>
    <row r="38" spans="1:21" ht="14.25" customHeight="1" x14ac:dyDescent="0.25">
      <c r="A38" s="51"/>
      <c r="B38" s="114"/>
      <c r="C38" s="113"/>
      <c r="D38" s="2717"/>
      <c r="E38" s="2718"/>
      <c r="F38" s="2719"/>
      <c r="G38" s="2718"/>
      <c r="H38" s="2719"/>
      <c r="I38" s="2718"/>
      <c r="J38" s="2719"/>
      <c r="K38" s="2718"/>
      <c r="L38" s="2719"/>
      <c r="M38" s="2718"/>
      <c r="N38" s="2719"/>
      <c r="O38" s="2441"/>
      <c r="P38" s="2441"/>
      <c r="Q38" s="2441"/>
      <c r="R38" s="2441"/>
      <c r="S38" s="2441"/>
      <c r="T38" s="51"/>
      <c r="U38" s="51"/>
    </row>
    <row r="39" spans="1:21" ht="14.25" customHeight="1" x14ac:dyDescent="0.25">
      <c r="A39" s="51"/>
      <c r="B39" s="114"/>
      <c r="C39" s="113"/>
      <c r="D39" s="2717"/>
      <c r="E39" s="2718"/>
      <c r="F39" s="2719"/>
      <c r="G39" s="2718"/>
      <c r="H39" s="2719"/>
      <c r="I39" s="2718"/>
      <c r="J39" s="2719"/>
      <c r="K39" s="2718"/>
      <c r="L39" s="2719"/>
      <c r="M39" s="2718"/>
      <c r="N39" s="2719"/>
      <c r="O39" s="2441"/>
      <c r="P39" s="2441"/>
      <c r="Q39" s="2441"/>
      <c r="R39" s="2441"/>
      <c r="S39" s="2441"/>
      <c r="T39" s="51"/>
      <c r="U39" s="51"/>
    </row>
    <row r="40" spans="1:21" ht="14.25" customHeight="1" x14ac:dyDescent="0.25">
      <c r="A40" s="51"/>
      <c r="B40" s="114"/>
      <c r="C40" s="113"/>
      <c r="D40" s="2717"/>
      <c r="E40" s="2718"/>
      <c r="F40" s="2719"/>
      <c r="G40" s="2718"/>
      <c r="H40" s="2719"/>
      <c r="I40" s="2718"/>
      <c r="J40" s="2719"/>
      <c r="K40" s="2718"/>
      <c r="L40" s="2719"/>
      <c r="M40" s="2718"/>
      <c r="N40" s="2719"/>
      <c r="O40" s="2441"/>
      <c r="P40" s="2441"/>
      <c r="Q40" s="2441"/>
      <c r="R40" s="2441"/>
      <c r="S40" s="2441"/>
      <c r="T40" s="51"/>
      <c r="U40" s="51"/>
    </row>
    <row r="41" spans="1:21" ht="14.25" customHeight="1" x14ac:dyDescent="0.25">
      <c r="A41" s="51"/>
      <c r="B41" s="114"/>
      <c r="C41" s="113"/>
      <c r="D41" s="2717"/>
      <c r="E41" s="2718"/>
      <c r="F41" s="2719"/>
      <c r="G41" s="2718"/>
      <c r="H41" s="2719"/>
      <c r="I41" s="2718"/>
      <c r="J41" s="2719"/>
      <c r="K41" s="2718"/>
      <c r="L41" s="2719"/>
      <c r="M41" s="2718"/>
      <c r="N41" s="2719"/>
      <c r="O41" s="2441"/>
      <c r="P41" s="2441"/>
      <c r="Q41" s="2441"/>
      <c r="R41" s="2441"/>
      <c r="S41" s="2441"/>
      <c r="T41" s="51"/>
      <c r="U41" s="51"/>
    </row>
    <row r="42" spans="1:21" ht="14.25" customHeight="1" x14ac:dyDescent="0.25">
      <c r="A42" s="51"/>
      <c r="B42" s="114"/>
      <c r="C42" s="113"/>
      <c r="D42" s="2717"/>
      <c r="E42" s="2718"/>
      <c r="F42" s="2719"/>
      <c r="G42" s="2718"/>
      <c r="H42" s="2719"/>
      <c r="I42" s="2718"/>
      <c r="J42" s="2719"/>
      <c r="K42" s="2718"/>
      <c r="L42" s="2719"/>
      <c r="M42" s="2718"/>
      <c r="N42" s="2719"/>
      <c r="O42" s="2441"/>
      <c r="P42" s="2441"/>
      <c r="Q42" s="2441"/>
      <c r="R42" s="2441"/>
      <c r="S42" s="2441"/>
      <c r="T42" s="51"/>
      <c r="U42" s="51"/>
    </row>
    <row r="43" spans="1:21" ht="14.25" customHeight="1" x14ac:dyDescent="0.25">
      <c r="A43" s="51"/>
      <c r="B43" s="114"/>
      <c r="C43" s="113"/>
      <c r="D43" s="2717"/>
      <c r="E43" s="2718"/>
      <c r="F43" s="2719"/>
      <c r="G43" s="2718"/>
      <c r="H43" s="2719"/>
      <c r="I43" s="2718"/>
      <c r="J43" s="2719"/>
      <c r="K43" s="2718"/>
      <c r="L43" s="2719"/>
      <c r="M43" s="2718"/>
      <c r="N43" s="2719"/>
      <c r="O43" s="2441"/>
      <c r="P43" s="2441"/>
      <c r="Q43" s="2441"/>
      <c r="R43" s="2441"/>
      <c r="S43" s="2441"/>
      <c r="T43" s="51"/>
      <c r="U43" s="51"/>
    </row>
    <row r="44" spans="1:21" ht="14.25" customHeight="1" x14ac:dyDescent="0.25">
      <c r="A44" s="51"/>
      <c r="B44" s="114"/>
      <c r="C44" s="113"/>
      <c r="D44" s="2717"/>
      <c r="E44" s="2718"/>
      <c r="F44" s="2719"/>
      <c r="G44" s="2718"/>
      <c r="H44" s="2719"/>
      <c r="I44" s="2718"/>
      <c r="J44" s="2719"/>
      <c r="K44" s="2718"/>
      <c r="L44" s="2719"/>
      <c r="M44" s="2718"/>
      <c r="N44" s="2719"/>
      <c r="O44" s="2441"/>
      <c r="P44" s="2441"/>
      <c r="Q44" s="2441"/>
      <c r="R44" s="2441"/>
      <c r="S44" s="2441"/>
      <c r="T44" s="51"/>
      <c r="U44" s="51"/>
    </row>
    <row r="45" spans="1:21" ht="14.25" customHeight="1" x14ac:dyDescent="0.25">
      <c r="A45" s="51"/>
      <c r="B45" s="114"/>
      <c r="C45" s="113"/>
      <c r="D45" s="2717"/>
      <c r="E45" s="2718"/>
      <c r="F45" s="2719"/>
      <c r="G45" s="2718"/>
      <c r="H45" s="2719"/>
      <c r="I45" s="2718"/>
      <c r="J45" s="2719"/>
      <c r="K45" s="2718"/>
      <c r="L45" s="2719"/>
      <c r="M45" s="2718"/>
      <c r="N45" s="2719"/>
      <c r="O45" s="2441"/>
      <c r="P45" s="2441"/>
      <c r="Q45" s="2441"/>
      <c r="R45" s="2441"/>
      <c r="S45" s="2441"/>
      <c r="T45" s="51"/>
      <c r="U45" s="51"/>
    </row>
    <row r="46" spans="1:21" ht="14.25" customHeight="1" x14ac:dyDescent="0.25">
      <c r="A46" s="51"/>
      <c r="B46" s="114"/>
      <c r="C46" s="113"/>
      <c r="D46" s="2720"/>
      <c r="E46" s="2721"/>
      <c r="F46" s="2722"/>
      <c r="G46" s="2721"/>
      <c r="H46" s="2723"/>
      <c r="I46" s="2721"/>
      <c r="J46" s="2723"/>
      <c r="K46" s="2721"/>
      <c r="L46" s="2723"/>
      <c r="M46" s="2721"/>
      <c r="N46" s="2723"/>
      <c r="O46" s="2441"/>
      <c r="P46" s="2441"/>
      <c r="Q46" s="2441"/>
      <c r="R46" s="2441"/>
      <c r="S46" s="2441"/>
      <c r="T46" s="51"/>
      <c r="U46" s="51"/>
    </row>
    <row r="47" spans="1:21" ht="14.25" customHeight="1" x14ac:dyDescent="0.25">
      <c r="A47" s="51"/>
      <c r="B47" s="114"/>
      <c r="C47" s="113"/>
      <c r="D47" s="2720"/>
      <c r="E47" s="2721"/>
      <c r="F47" s="2722"/>
      <c r="G47" s="2721"/>
      <c r="H47" s="2723"/>
      <c r="I47" s="2721"/>
      <c r="J47" s="2723"/>
      <c r="K47" s="2721"/>
      <c r="L47" s="2723"/>
      <c r="M47" s="2721"/>
      <c r="N47" s="2723"/>
      <c r="O47" s="2441"/>
      <c r="P47" s="2441"/>
      <c r="Q47" s="2441"/>
      <c r="R47" s="2441"/>
      <c r="S47" s="2441"/>
      <c r="T47" s="51"/>
      <c r="U47" s="51"/>
    </row>
    <row r="48" spans="1:21" ht="54" customHeight="1" x14ac:dyDescent="0.25">
      <c r="A48" s="136">
        <v>5</v>
      </c>
      <c r="B48" s="137" t="s">
        <v>80</v>
      </c>
      <c r="C48" s="136"/>
      <c r="D48" s="3568" t="s">
        <v>212</v>
      </c>
      <c r="E48" s="3600"/>
      <c r="F48" s="3600"/>
      <c r="G48" s="3600"/>
      <c r="H48" s="3600"/>
      <c r="I48" s="3600"/>
      <c r="J48" s="3600"/>
      <c r="K48" s="3600"/>
      <c r="L48" s="3600"/>
      <c r="M48" s="3600"/>
      <c r="N48" s="3600"/>
      <c r="O48" s="3600"/>
      <c r="P48" s="3600"/>
      <c r="Q48" s="3600"/>
      <c r="R48" s="3600"/>
      <c r="S48" s="3601"/>
    </row>
    <row r="49" spans="1:30" ht="42" customHeight="1" x14ac:dyDescent="0.25">
      <c r="A49" s="113">
        <v>6</v>
      </c>
      <c r="B49" s="114" t="s">
        <v>20</v>
      </c>
      <c r="C49" s="113"/>
      <c r="D49" s="3556" t="s">
        <v>213</v>
      </c>
      <c r="E49" s="3557"/>
      <c r="F49" s="3557"/>
      <c r="G49" s="3557"/>
      <c r="H49" s="3557"/>
      <c r="I49" s="3557"/>
      <c r="J49" s="3557"/>
      <c r="K49" s="3557"/>
      <c r="L49" s="3557"/>
      <c r="M49" s="3557"/>
      <c r="N49" s="3557"/>
      <c r="O49" s="3557"/>
      <c r="P49" s="3557"/>
      <c r="Q49" s="3557"/>
      <c r="R49" s="3557"/>
      <c r="S49" s="3558"/>
    </row>
    <row r="56" spans="1:30" s="284" customFormat="1" x14ac:dyDescent="0.25">
      <c r="A56" s="282"/>
      <c r="B56" s="283"/>
      <c r="C56" s="111"/>
      <c r="D56" s="51"/>
      <c r="E56" s="51"/>
      <c r="F56" s="51"/>
      <c r="G56" s="51"/>
      <c r="H56" s="51"/>
      <c r="I56" s="51"/>
      <c r="J56" s="51"/>
      <c r="K56" s="51"/>
      <c r="L56" s="51"/>
      <c r="M56" s="51"/>
      <c r="N56" s="51"/>
      <c r="O56" s="51"/>
      <c r="P56" s="51"/>
      <c r="Q56" s="51"/>
      <c r="R56" s="51"/>
      <c r="S56" s="51"/>
      <c r="T56" s="59"/>
      <c r="U56" s="59"/>
      <c r="V56" s="51"/>
      <c r="W56" s="51"/>
      <c r="X56" s="51"/>
      <c r="Y56" s="51"/>
      <c r="Z56" s="51"/>
      <c r="AA56" s="51"/>
    </row>
    <row r="57" spans="1:30" s="284" customFormat="1" x14ac:dyDescent="0.25">
      <c r="A57" s="282"/>
      <c r="B57" s="283"/>
      <c r="C57" s="285"/>
      <c r="D57" s="286" t="s">
        <v>93</v>
      </c>
      <c r="E57" s="286" t="s">
        <v>199</v>
      </c>
      <c r="F57" s="286"/>
      <c r="G57" s="286"/>
      <c r="H57" s="286"/>
      <c r="I57" s="286"/>
      <c r="J57" s="287"/>
      <c r="K57" s="287"/>
      <c r="L57" s="288"/>
      <c r="M57" s="289"/>
      <c r="N57" s="290"/>
      <c r="O57" s="290"/>
      <c r="P57" s="290"/>
      <c r="Q57" s="290"/>
      <c r="R57" s="290"/>
      <c r="S57" s="290"/>
      <c r="T57" s="291"/>
      <c r="U57" s="291"/>
      <c r="V57" s="290"/>
      <c r="W57" s="290"/>
      <c r="X57" s="290"/>
      <c r="Y57" s="290"/>
      <c r="Z57" s="290"/>
      <c r="AA57" s="51"/>
    </row>
    <row r="58" spans="1:30" s="284" customFormat="1" x14ac:dyDescent="0.25">
      <c r="A58" s="282"/>
      <c r="B58" s="283"/>
      <c r="C58" s="285"/>
      <c r="D58" s="292" t="s">
        <v>200</v>
      </c>
      <c r="E58" s="2724" t="s">
        <v>201</v>
      </c>
      <c r="F58" s="2724" t="s">
        <v>124</v>
      </c>
      <c r="G58" s="2724" t="s">
        <v>125</v>
      </c>
      <c r="H58" s="2724" t="s">
        <v>126</v>
      </c>
      <c r="I58" s="2724" t="s">
        <v>127</v>
      </c>
      <c r="J58" s="2724" t="s">
        <v>128</v>
      </c>
      <c r="K58" s="2724" t="s">
        <v>129</v>
      </c>
      <c r="L58" s="2724" t="s">
        <v>130</v>
      </c>
      <c r="M58" s="2724" t="s">
        <v>131</v>
      </c>
      <c r="N58" s="2724" t="s">
        <v>132</v>
      </c>
      <c r="O58" s="2724" t="s">
        <v>133</v>
      </c>
      <c r="P58" s="2725" t="s">
        <v>134</v>
      </c>
      <c r="Q58" s="2725" t="s">
        <v>135</v>
      </c>
      <c r="R58" s="2725"/>
      <c r="S58" s="2725" t="s">
        <v>136</v>
      </c>
      <c r="T58" s="2725" t="s">
        <v>137</v>
      </c>
      <c r="U58" s="2725" t="s">
        <v>138</v>
      </c>
      <c r="V58" s="2725" t="s">
        <v>139</v>
      </c>
      <c r="W58" s="2725" t="s">
        <v>140</v>
      </c>
      <c r="X58" s="2725" t="s">
        <v>141</v>
      </c>
      <c r="Y58" s="2725" t="s">
        <v>142</v>
      </c>
      <c r="Z58" s="2725" t="s">
        <v>143</v>
      </c>
      <c r="AA58" s="2725" t="s">
        <v>144</v>
      </c>
      <c r="AB58" s="284" t="s">
        <v>144</v>
      </c>
      <c r="AC58" s="293"/>
      <c r="AD58" s="293"/>
    </row>
    <row r="59" spans="1:30" s="284" customFormat="1" x14ac:dyDescent="0.25">
      <c r="A59" s="282"/>
      <c r="B59" s="283"/>
      <c r="C59" s="285"/>
      <c r="D59" s="294" t="s">
        <v>202</v>
      </c>
      <c r="E59" s="1539"/>
      <c r="F59" s="1536">
        <v>1336227000</v>
      </c>
      <c r="G59" s="1536"/>
      <c r="H59" s="1536"/>
      <c r="I59" s="1536"/>
      <c r="J59" s="1536">
        <v>2216000000</v>
      </c>
      <c r="K59" s="1536"/>
      <c r="L59" s="1536"/>
      <c r="M59" s="1536"/>
      <c r="N59" s="1536">
        <v>4023576000</v>
      </c>
      <c r="O59" s="1536"/>
      <c r="P59" s="1536">
        <v>5591325000</v>
      </c>
      <c r="Q59" s="1536">
        <v>6766361000</v>
      </c>
      <c r="R59" s="1536"/>
      <c r="S59" s="1536">
        <v>8243776000</v>
      </c>
      <c r="T59" s="1536">
        <v>9243165000</v>
      </c>
      <c r="U59" s="1536">
        <v>10738456000</v>
      </c>
      <c r="V59" s="1536">
        <v>12332012000</v>
      </c>
      <c r="W59" s="1536">
        <v>11139237000</v>
      </c>
      <c r="X59" s="1536">
        <v>10059010000</v>
      </c>
      <c r="Y59" s="1536">
        <v>10464022000</v>
      </c>
      <c r="Z59" s="1536">
        <v>10570726000</v>
      </c>
      <c r="AA59" s="1536">
        <v>11782848000</v>
      </c>
      <c r="AB59" s="284">
        <v>11782848</v>
      </c>
      <c r="AC59" s="293"/>
      <c r="AD59" s="293"/>
    </row>
    <row r="60" spans="1:30" s="284" customFormat="1" x14ac:dyDescent="0.25">
      <c r="A60" s="282"/>
      <c r="B60" s="283"/>
      <c r="C60" s="285"/>
      <c r="D60" s="294" t="s">
        <v>203</v>
      </c>
      <c r="E60" s="1539"/>
      <c r="F60" s="1536">
        <v>810618000</v>
      </c>
      <c r="G60" s="1536"/>
      <c r="H60" s="1536"/>
      <c r="I60" s="1536"/>
      <c r="J60" s="1536">
        <v>1380000000</v>
      </c>
      <c r="K60" s="1536"/>
      <c r="L60" s="1536"/>
      <c r="M60" s="1536"/>
      <c r="N60" s="1536">
        <v>203110000</v>
      </c>
      <c r="O60" s="1536"/>
      <c r="P60" s="1536">
        <v>465367000</v>
      </c>
      <c r="Q60" s="1536">
        <v>515331000</v>
      </c>
      <c r="R60" s="1536"/>
      <c r="S60" s="1536">
        <v>844640000</v>
      </c>
      <c r="T60" s="1536">
        <v>1021355000</v>
      </c>
      <c r="U60" s="1536">
        <v>1154399000</v>
      </c>
      <c r="V60" s="1536">
        <v>1139676000</v>
      </c>
      <c r="W60" s="1536">
        <v>1067302000</v>
      </c>
      <c r="X60" s="1536">
        <v>1011340000</v>
      </c>
      <c r="Y60" s="1536">
        <v>1235669000</v>
      </c>
      <c r="Z60" s="1536">
        <v>1437509000</v>
      </c>
      <c r="AA60" s="1536">
        <v>1697151000</v>
      </c>
      <c r="AB60" s="284">
        <v>1697151</v>
      </c>
      <c r="AC60" s="293"/>
      <c r="AD60" s="293"/>
    </row>
    <row r="61" spans="1:30" s="284" customFormat="1" x14ac:dyDescent="0.25">
      <c r="A61" s="282"/>
      <c r="B61" s="283"/>
      <c r="C61" s="285"/>
      <c r="D61" s="294" t="s">
        <v>204</v>
      </c>
      <c r="E61" s="1539"/>
      <c r="F61" s="1536">
        <v>415648000</v>
      </c>
      <c r="G61" s="1536"/>
      <c r="H61" s="1536"/>
      <c r="I61" s="1536"/>
      <c r="J61" s="1536">
        <v>496000000</v>
      </c>
      <c r="K61" s="1536"/>
      <c r="L61" s="1536"/>
      <c r="M61" s="1536"/>
      <c r="N61" s="1536">
        <v>1896156000</v>
      </c>
      <c r="O61" s="1536"/>
      <c r="P61" s="1536">
        <v>2071351000</v>
      </c>
      <c r="Q61" s="1536">
        <v>2533971000</v>
      </c>
      <c r="R61" s="1536"/>
      <c r="S61" s="1536">
        <v>2732215000</v>
      </c>
      <c r="T61" s="1536">
        <v>3298808000</v>
      </c>
      <c r="U61" s="1536">
        <v>3621862000</v>
      </c>
      <c r="V61" s="1536">
        <v>4191366000</v>
      </c>
      <c r="W61" s="1536">
        <v>5101224000</v>
      </c>
      <c r="X61" s="1536">
        <v>5424602000</v>
      </c>
      <c r="Y61" s="1536">
        <v>6609216000</v>
      </c>
      <c r="Z61" s="1536">
        <v>7333153000</v>
      </c>
      <c r="AA61" s="1536">
        <v>7292853000</v>
      </c>
      <c r="AB61" s="284">
        <v>7292853</v>
      </c>
      <c r="AC61" s="293"/>
      <c r="AD61" s="293"/>
    </row>
    <row r="62" spans="1:30" s="284" customFormat="1" x14ac:dyDescent="0.25">
      <c r="A62" s="282"/>
      <c r="B62" s="283"/>
      <c r="C62" s="285"/>
      <c r="D62" s="294" t="s">
        <v>205</v>
      </c>
      <c r="E62" s="1539"/>
      <c r="F62" s="1536">
        <v>31615000</v>
      </c>
      <c r="G62" s="1536"/>
      <c r="H62" s="1536"/>
      <c r="I62" s="1536"/>
      <c r="J62" s="1536">
        <v>11000000</v>
      </c>
      <c r="K62" s="1536"/>
      <c r="L62" s="1536"/>
      <c r="M62" s="1536"/>
      <c r="N62" s="1536">
        <v>70778000</v>
      </c>
      <c r="O62" s="1536"/>
      <c r="P62" s="1536">
        <v>209023000</v>
      </c>
      <c r="Q62" s="1536">
        <v>198268000</v>
      </c>
      <c r="R62" s="1536"/>
      <c r="S62" s="1536">
        <v>226514000</v>
      </c>
      <c r="T62" s="1536">
        <v>212538000</v>
      </c>
      <c r="U62" s="1536">
        <v>223202000</v>
      </c>
      <c r="V62" s="1536">
        <v>240649000</v>
      </c>
      <c r="W62" s="1536">
        <v>188840000</v>
      </c>
      <c r="X62" s="1536">
        <v>162830000</v>
      </c>
      <c r="Y62" s="1536">
        <v>170605000</v>
      </c>
      <c r="Z62" s="1536">
        <v>503833000</v>
      </c>
      <c r="AA62" s="1536">
        <v>583165000</v>
      </c>
      <c r="AB62" s="284">
        <v>583165</v>
      </c>
      <c r="AC62" s="293"/>
      <c r="AD62" s="293"/>
    </row>
    <row r="63" spans="1:30" s="284" customFormat="1" x14ac:dyDescent="0.25">
      <c r="A63" s="282"/>
      <c r="B63" s="283"/>
      <c r="C63" s="285"/>
      <c r="D63" s="295" t="s">
        <v>206</v>
      </c>
      <c r="E63" s="2726"/>
      <c r="F63" s="1537"/>
      <c r="G63" s="1537"/>
      <c r="H63" s="1537"/>
      <c r="I63" s="1537"/>
      <c r="J63" s="1537"/>
      <c r="K63" s="1537"/>
      <c r="L63" s="1537"/>
      <c r="M63" s="1537"/>
      <c r="N63" s="1537">
        <v>1294454000</v>
      </c>
      <c r="O63" s="1537"/>
      <c r="P63" s="1537">
        <v>1745493000</v>
      </c>
      <c r="Q63" s="1537">
        <v>1996050000</v>
      </c>
      <c r="R63" s="1537"/>
      <c r="S63" s="1537">
        <v>2102094000</v>
      </c>
      <c r="T63" s="1537">
        <v>2744718000</v>
      </c>
      <c r="U63" s="1537">
        <v>2886094000</v>
      </c>
      <c r="V63" s="1537">
        <v>3137343000</v>
      </c>
      <c r="W63" s="1537">
        <v>3458074000</v>
      </c>
      <c r="X63" s="1537">
        <v>3596023000</v>
      </c>
      <c r="Y63" s="1537">
        <v>3729680000</v>
      </c>
      <c r="Z63" s="1537">
        <v>4025998000</v>
      </c>
      <c r="AA63" s="1537">
        <v>4304556000</v>
      </c>
      <c r="AB63" s="284">
        <v>4304556</v>
      </c>
      <c r="AC63" s="293"/>
      <c r="AD63" s="293"/>
    </row>
    <row r="64" spans="1:30" s="284" customFormat="1" x14ac:dyDescent="0.25">
      <c r="A64" s="282"/>
      <c r="B64" s="283"/>
      <c r="C64" s="285"/>
      <c r="D64" s="289" t="s">
        <v>207</v>
      </c>
      <c r="E64" s="1538">
        <v>2786087000</v>
      </c>
      <c r="F64" s="1538">
        <f>SUM(F59:F63)</f>
        <v>2594108000</v>
      </c>
      <c r="G64" s="1538"/>
      <c r="H64" s="1538"/>
      <c r="I64" s="1538"/>
      <c r="J64" s="1538">
        <f>SUM(J59:J63)</f>
        <v>4103000000</v>
      </c>
      <c r="K64" s="1538"/>
      <c r="L64" s="1538"/>
      <c r="M64" s="1538"/>
      <c r="N64" s="1538">
        <f>SUM(N59:N63)</f>
        <v>7488074000</v>
      </c>
      <c r="O64" s="1538"/>
      <c r="P64" s="1538">
        <f>SUM(P59:P63)</f>
        <v>10082559000</v>
      </c>
      <c r="Q64" s="1538">
        <f>SUM(Q59:Q63)</f>
        <v>12009981000</v>
      </c>
      <c r="R64" s="1538"/>
      <c r="S64" s="1538">
        <f>SUM(S59:S63)</f>
        <v>14149239000</v>
      </c>
      <c r="T64" s="1538">
        <f>SUM(T59:T63)</f>
        <v>16520584000</v>
      </c>
      <c r="U64" s="1538">
        <f>SUM(U59:U63)</f>
        <v>18624013000</v>
      </c>
      <c r="V64" s="1538">
        <v>21041046000</v>
      </c>
      <c r="W64" s="1538">
        <f>SUM(W59:W63)</f>
        <v>20954677000</v>
      </c>
      <c r="X64" s="1538">
        <v>21041046000</v>
      </c>
      <c r="Y64" s="1538">
        <f>SUM(Y59:Y63)</f>
        <v>22209192000</v>
      </c>
      <c r="Z64" s="1538">
        <v>23871219000</v>
      </c>
      <c r="AA64" s="1538">
        <v>25660573000</v>
      </c>
      <c r="AB64" s="284">
        <v>25660573</v>
      </c>
      <c r="AC64" s="293"/>
      <c r="AD64" s="293"/>
    </row>
    <row r="65" spans="1:30" s="284" customFormat="1" x14ac:dyDescent="0.25">
      <c r="A65" s="282"/>
      <c r="B65" s="283"/>
      <c r="C65" s="285"/>
      <c r="D65" s="294" t="s">
        <v>208</v>
      </c>
      <c r="E65" s="1539">
        <v>1.04</v>
      </c>
      <c r="F65" s="1539">
        <v>0.75</v>
      </c>
      <c r="G65" s="1539"/>
      <c r="H65" s="1539"/>
      <c r="I65" s="1539"/>
      <c r="J65" s="1539">
        <v>0.69</v>
      </c>
      <c r="K65" s="1539"/>
      <c r="L65" s="1539"/>
      <c r="M65" s="1539"/>
      <c r="N65" s="1539">
        <v>0.76</v>
      </c>
      <c r="O65" s="1539"/>
      <c r="P65" s="2707">
        <v>0.81</v>
      </c>
      <c r="Q65" s="2707">
        <v>0.87</v>
      </c>
      <c r="R65" s="2707"/>
      <c r="S65" s="2707">
        <v>0.92</v>
      </c>
      <c r="T65" s="2707">
        <v>0.95</v>
      </c>
      <c r="U65" s="2707">
        <v>0.93</v>
      </c>
      <c r="V65" s="2707">
        <v>0.92</v>
      </c>
      <c r="W65" s="2707">
        <v>0.87</v>
      </c>
      <c r="X65" s="2707">
        <v>0.76</v>
      </c>
      <c r="Y65" s="2707">
        <v>0.76</v>
      </c>
      <c r="Z65" s="2707">
        <v>0.73</v>
      </c>
      <c r="AA65" s="2707">
        <v>0.73</v>
      </c>
      <c r="AB65" s="284">
        <v>0.73</v>
      </c>
      <c r="AC65" s="293"/>
      <c r="AD65" s="293"/>
    </row>
    <row r="66" spans="1:30" s="284" customFormat="1" x14ac:dyDescent="0.25">
      <c r="A66" s="282"/>
      <c r="B66" s="283"/>
      <c r="C66" s="285"/>
      <c r="D66" s="296" t="s">
        <v>209</v>
      </c>
      <c r="E66" s="2727"/>
      <c r="F66" s="2727"/>
      <c r="G66" s="2727"/>
      <c r="H66" s="2727"/>
      <c r="I66" s="2727"/>
      <c r="J66" s="2727"/>
      <c r="K66" s="2727"/>
      <c r="L66" s="2727"/>
      <c r="M66" s="2727"/>
      <c r="N66" s="1540">
        <v>26913</v>
      </c>
      <c r="O66" s="1540"/>
      <c r="P66" s="1540">
        <v>30703</v>
      </c>
      <c r="Q66" s="1540">
        <v>37001</v>
      </c>
      <c r="R66" s="1540"/>
      <c r="S66" s="1540">
        <v>39264</v>
      </c>
      <c r="T66" s="1540">
        <v>39591</v>
      </c>
      <c r="U66" s="1540">
        <v>40084</v>
      </c>
      <c r="V66" s="1540">
        <v>39955</v>
      </c>
      <c r="W66" s="1540">
        <v>40797</v>
      </c>
      <c r="X66" s="1540">
        <v>37901</v>
      </c>
      <c r="Y66" s="1540">
        <v>40653</v>
      </c>
      <c r="Z66" s="1540">
        <v>42828</v>
      </c>
      <c r="AA66" s="1540">
        <v>45935</v>
      </c>
      <c r="AB66" s="284">
        <v>45935</v>
      </c>
      <c r="AC66" s="293"/>
      <c r="AD66" s="293"/>
    </row>
    <row r="67" spans="1:30" s="284" customFormat="1" x14ac:dyDescent="0.25">
      <c r="A67" s="282"/>
      <c r="B67" s="283"/>
      <c r="C67" s="285"/>
      <c r="D67" s="297" t="s">
        <v>214</v>
      </c>
      <c r="E67" s="2728"/>
      <c r="F67" s="2728"/>
      <c r="G67" s="2728"/>
      <c r="H67" s="2728"/>
      <c r="I67" s="2728"/>
      <c r="J67" s="2728"/>
      <c r="K67" s="2728"/>
      <c r="L67" s="2728"/>
      <c r="M67" s="2728"/>
      <c r="N67" s="1541">
        <v>14182</v>
      </c>
      <c r="O67" s="1541"/>
      <c r="P67" s="1541">
        <v>14129</v>
      </c>
      <c r="Q67" s="1541">
        <v>17915</v>
      </c>
      <c r="R67" s="1541"/>
      <c r="S67" s="1541">
        <v>17303</v>
      </c>
      <c r="T67" s="1541">
        <v>18572</v>
      </c>
      <c r="U67" s="1541">
        <v>19320</v>
      </c>
      <c r="V67" s="1541">
        <v>19384</v>
      </c>
      <c r="W67" s="1541">
        <v>19793.099999999999</v>
      </c>
      <c r="X67" s="1541">
        <v>18719.599999999999</v>
      </c>
      <c r="Y67" s="1541">
        <v>20115.099999999999</v>
      </c>
      <c r="Z67" s="1541">
        <v>21382</v>
      </c>
      <c r="AA67" s="1541">
        <v>23346</v>
      </c>
      <c r="AB67" s="284">
        <v>23346</v>
      </c>
      <c r="AC67" s="293"/>
      <c r="AD67" s="293"/>
    </row>
    <row r="68" spans="1:30" s="284" customFormat="1" x14ac:dyDescent="0.25">
      <c r="A68" s="282"/>
      <c r="B68" s="283"/>
      <c r="C68" s="285"/>
      <c r="D68" s="298" t="s">
        <v>215</v>
      </c>
      <c r="E68" s="1542"/>
      <c r="F68" s="1542"/>
      <c r="G68" s="1542"/>
      <c r="H68" s="1542"/>
      <c r="I68" s="1542"/>
      <c r="J68" s="1542"/>
      <c r="K68" s="1542"/>
      <c r="L68" s="1542"/>
      <c r="M68" s="1542"/>
      <c r="N68" s="1542">
        <v>3.1</v>
      </c>
      <c r="O68" s="1542"/>
      <c r="P68" s="1542">
        <v>1.2</v>
      </c>
      <c r="Q68" s="1542">
        <v>1.6</v>
      </c>
      <c r="R68" s="1542"/>
      <c r="S68" s="1542">
        <v>1.5</v>
      </c>
      <c r="T68" s="1542">
        <v>1.5</v>
      </c>
      <c r="U68" s="1542">
        <v>1.5</v>
      </c>
      <c r="V68" s="1542">
        <v>1.4</v>
      </c>
      <c r="W68" s="1542">
        <v>1.5</v>
      </c>
      <c r="X68" s="1542">
        <v>1.4</v>
      </c>
      <c r="Y68" s="1542">
        <v>1.5</v>
      </c>
      <c r="Z68" s="1542">
        <v>1.5</v>
      </c>
      <c r="AA68" s="1542">
        <v>1.6</v>
      </c>
      <c r="AB68" s="284">
        <v>1.6</v>
      </c>
      <c r="AC68" s="293"/>
      <c r="AD68" s="293"/>
    </row>
    <row r="69" spans="1:30" s="284" customFormat="1" x14ac:dyDescent="0.25">
      <c r="A69" s="282"/>
      <c r="B69" s="283"/>
      <c r="C69" s="285"/>
      <c r="D69" s="290"/>
      <c r="E69" s="290"/>
      <c r="F69" s="290"/>
      <c r="G69" s="290"/>
      <c r="H69" s="290"/>
      <c r="I69" s="290"/>
      <c r="J69" s="290"/>
      <c r="K69" s="290"/>
      <c r="L69" s="290"/>
      <c r="M69" s="290"/>
      <c r="N69" s="290"/>
      <c r="O69" s="290"/>
      <c r="P69" s="290"/>
      <c r="Q69" s="290"/>
      <c r="R69" s="290"/>
      <c r="S69" s="290"/>
      <c r="T69" s="291"/>
      <c r="U69" s="291"/>
      <c r="V69" s="290"/>
      <c r="W69" s="290"/>
      <c r="X69" s="1542"/>
      <c r="Y69" s="1542"/>
      <c r="Z69" s="1539"/>
      <c r="AA69" s="51"/>
    </row>
    <row r="70" spans="1:30" s="284" customFormat="1" x14ac:dyDescent="0.25">
      <c r="A70" s="282"/>
      <c r="B70" s="283"/>
      <c r="C70" s="285"/>
      <c r="D70" s="290"/>
      <c r="E70" s="290"/>
      <c r="F70" s="290"/>
      <c r="G70" s="290"/>
      <c r="H70" s="290"/>
      <c r="I70" s="290"/>
      <c r="J70" s="290"/>
      <c r="K70" s="290"/>
      <c r="L70" s="290"/>
      <c r="M70" s="290"/>
      <c r="N70" s="290"/>
      <c r="O70" s="290"/>
      <c r="P70" s="290"/>
      <c r="Q70" s="290"/>
      <c r="R70" s="290"/>
      <c r="S70" s="290"/>
      <c r="T70" s="291"/>
      <c r="U70" s="291"/>
      <c r="V70" s="290"/>
      <c r="W70" s="290"/>
      <c r="X70" s="290"/>
      <c r="Y70" s="290"/>
      <c r="Z70" s="290"/>
      <c r="AA70" s="51"/>
    </row>
  </sheetData>
  <mergeCells count="4">
    <mergeCell ref="D3:S3"/>
    <mergeCell ref="D4:S4"/>
    <mergeCell ref="D48:S48"/>
    <mergeCell ref="D49:S49"/>
  </mergeCells>
  <pageMargins left="0.74803149606299213" right="0.74803149606299213" top="0.98425196850393704" bottom="0.98425196850393704" header="0.51181102362204722" footer="0.51181102362204722"/>
  <pageSetup paperSize="9" scale="52"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N70"/>
  <sheetViews>
    <sheetView showGridLines="0" view="pageBreakPreview" topLeftCell="F1" zoomScaleNormal="100" zoomScaleSheetLayoutView="100" workbookViewId="0">
      <selection activeCell="T24" sqref="T24:T35"/>
    </sheetView>
  </sheetViews>
  <sheetFormatPr defaultColWidth="9.140625" defaultRowHeight="15" x14ac:dyDescent="0.25"/>
  <cols>
    <col min="1" max="1" width="3.7109375" style="303" customWidth="1"/>
    <col min="2" max="2" width="12.7109375" style="300" customWidth="1"/>
    <col min="3" max="3" width="3.7109375" style="301" customWidth="1"/>
    <col min="4" max="4" width="29.7109375" style="302" customWidth="1"/>
    <col min="5" max="16" width="9.7109375" style="302" customWidth="1"/>
    <col min="17" max="17" width="11" style="302" bestFit="1" customWidth="1"/>
    <col min="18" max="18" width="9.7109375" style="302" customWidth="1"/>
    <col min="19" max="21" width="10" style="302" customWidth="1"/>
    <col min="22" max="22" width="9.85546875" style="302" bestFit="1" customWidth="1"/>
    <col min="23" max="23" width="9.7109375" style="302" customWidth="1"/>
    <col min="24" max="25" width="10" style="302" customWidth="1"/>
    <col min="26" max="26" width="9.85546875" style="302" bestFit="1" customWidth="1"/>
    <col min="27" max="27" width="9.42578125" style="302" customWidth="1"/>
    <col min="28" max="29" width="10" style="302" customWidth="1"/>
    <col min="30" max="30" width="9.85546875" style="302" bestFit="1" customWidth="1"/>
    <col min="31" max="31" width="9.7109375" style="302" customWidth="1"/>
    <col min="32" max="33" width="10" style="302" customWidth="1"/>
    <col min="34" max="34" width="9.85546875" style="302" bestFit="1" customWidth="1"/>
    <col min="35" max="35" width="9.7109375" style="302" customWidth="1"/>
    <col min="36" max="37" width="10" style="302" customWidth="1"/>
    <col min="38" max="38" width="9.85546875" style="302" bestFit="1" customWidth="1"/>
    <col min="39" max="39" width="9.7109375" style="302" customWidth="1"/>
    <col min="40" max="41" width="10" style="302" customWidth="1"/>
    <col min="42" max="42" width="9.85546875" style="302" bestFit="1" customWidth="1"/>
    <col min="43" max="43" width="9.7109375" style="302" customWidth="1"/>
    <col min="44" max="45" width="10" style="302" customWidth="1"/>
    <col min="46" max="46" width="9.85546875" style="302" bestFit="1" customWidth="1"/>
    <col min="47" max="47" width="9.7109375" style="302" customWidth="1"/>
    <col min="48" max="49" width="10" style="302" customWidth="1"/>
    <col min="50" max="50" width="9.85546875" style="302" bestFit="1" customWidth="1"/>
    <col min="51" max="51" width="10.7109375" style="302" customWidth="1"/>
    <col min="52" max="52" width="13.140625" style="302" customWidth="1"/>
    <col min="53" max="53" width="10" style="302" bestFit="1" customWidth="1"/>
    <col min="54" max="54" width="9.85546875" style="302" bestFit="1" customWidth="1"/>
    <col min="55" max="55" width="9.7109375" style="302" bestFit="1" customWidth="1"/>
    <col min="56" max="57" width="10" style="302" bestFit="1" customWidth="1"/>
    <col min="58" max="58" width="10.28515625" style="302" bestFit="1" customWidth="1"/>
    <col min="59" max="59" width="10.140625" style="302" bestFit="1" customWidth="1"/>
    <col min="60" max="60" width="10.28515625" style="302" bestFit="1" customWidth="1"/>
    <col min="61" max="61" width="10.140625" style="302" bestFit="1" customWidth="1"/>
    <col min="62" max="62" width="9.28515625" style="302" customWidth="1"/>
    <col min="63" max="16384" width="9.140625" style="302"/>
  </cols>
  <sheetData>
    <row r="1" spans="1:62" x14ac:dyDescent="0.25">
      <c r="A1" s="299"/>
    </row>
    <row r="2" spans="1:62" ht="12.75" customHeight="1" x14ac:dyDescent="0.25">
      <c r="A2" s="303">
        <v>1</v>
      </c>
      <c r="B2" s="304" t="s">
        <v>24</v>
      </c>
      <c r="C2" s="303">
        <v>11</v>
      </c>
      <c r="D2" s="3535" t="s">
        <v>216</v>
      </c>
      <c r="E2" s="3536"/>
      <c r="F2" s="3536"/>
      <c r="G2" s="3536"/>
      <c r="H2" s="3536"/>
      <c r="I2" s="3536"/>
      <c r="J2" s="3536"/>
      <c r="K2" s="3536"/>
      <c r="L2" s="3536"/>
      <c r="M2" s="3536"/>
      <c r="N2" s="3536"/>
      <c r="O2" s="3536"/>
      <c r="P2" s="3536"/>
      <c r="Q2" s="3536"/>
      <c r="R2" s="3536"/>
      <c r="S2" s="3536"/>
      <c r="T2" s="3537"/>
      <c r="U2" s="305"/>
      <c r="V2" s="305"/>
      <c r="W2" s="305"/>
      <c r="X2" s="305"/>
    </row>
    <row r="3" spans="1:62" ht="12.75" customHeight="1" x14ac:dyDescent="0.25">
      <c r="A3" s="303">
        <v>2</v>
      </c>
      <c r="B3" s="304" t="s">
        <v>26</v>
      </c>
      <c r="C3" s="303"/>
      <c r="D3" s="3538" t="s">
        <v>217</v>
      </c>
      <c r="E3" s="3539"/>
      <c r="F3" s="3539"/>
      <c r="G3" s="3539"/>
      <c r="H3" s="3539"/>
      <c r="I3" s="3539"/>
      <c r="J3" s="3539"/>
      <c r="K3" s="3539"/>
      <c r="L3" s="3539"/>
      <c r="M3" s="3539"/>
      <c r="N3" s="3539"/>
      <c r="O3" s="3539"/>
      <c r="P3" s="3539"/>
      <c r="Q3" s="3539"/>
      <c r="R3" s="3539"/>
      <c r="S3" s="3539"/>
      <c r="T3" s="3540"/>
    </row>
    <row r="4" spans="1:62" ht="12.75" customHeight="1" x14ac:dyDescent="0.25">
      <c r="A4" s="303">
        <v>3</v>
      </c>
      <c r="B4" s="304" t="s">
        <v>28</v>
      </c>
      <c r="C4" s="303"/>
      <c r="D4" s="3538" t="s">
        <v>218</v>
      </c>
      <c r="E4" s="3539"/>
      <c r="F4" s="3539"/>
      <c r="G4" s="3539"/>
      <c r="H4" s="3539"/>
      <c r="I4" s="3539"/>
      <c r="J4" s="3539"/>
      <c r="K4" s="3539"/>
      <c r="L4" s="3539"/>
      <c r="M4" s="3539"/>
      <c r="N4" s="3539"/>
      <c r="O4" s="3539"/>
      <c r="P4" s="3539"/>
      <c r="Q4" s="3539"/>
      <c r="R4" s="3539"/>
      <c r="S4" s="3539"/>
      <c r="T4" s="3540"/>
    </row>
    <row r="5" spans="1:62" ht="14.25" customHeight="1" x14ac:dyDescent="0.25">
      <c r="B5" s="304"/>
      <c r="C5" s="303"/>
      <c r="D5" s="307"/>
      <c r="E5" s="307"/>
      <c r="F5" s="307"/>
      <c r="G5" s="308"/>
      <c r="H5" s="308"/>
      <c r="I5" s="308"/>
      <c r="J5" s="308"/>
      <c r="K5" s="308"/>
      <c r="L5" s="308"/>
      <c r="M5" s="306"/>
      <c r="N5" s="306"/>
      <c r="O5" s="306"/>
      <c r="P5" s="306"/>
      <c r="Q5" s="306"/>
      <c r="R5" s="306"/>
      <c r="S5" s="306"/>
      <c r="T5" s="306"/>
      <c r="U5" s="306"/>
      <c r="V5" s="306"/>
      <c r="W5" s="306"/>
      <c r="X5" s="306"/>
      <c r="Y5" s="306"/>
      <c r="Z5" s="306"/>
      <c r="AA5" s="306"/>
      <c r="AB5" s="306"/>
      <c r="AC5" s="306"/>
      <c r="AD5" s="306"/>
      <c r="AE5" s="306"/>
      <c r="AF5" s="306"/>
      <c r="AG5" s="306"/>
      <c r="AH5" s="306"/>
    </row>
    <row r="6" spans="1:62" x14ac:dyDescent="0.25">
      <c r="A6" s="303">
        <v>4</v>
      </c>
      <c r="B6" s="309" t="s">
        <v>1</v>
      </c>
      <c r="D6" s="310" t="s">
        <v>31</v>
      </c>
      <c r="E6" s="310" t="s">
        <v>219</v>
      </c>
      <c r="F6" s="310"/>
      <c r="G6" s="310"/>
      <c r="H6" s="310"/>
      <c r="I6" s="310"/>
      <c r="J6" s="310"/>
      <c r="K6" s="311"/>
      <c r="L6" s="311"/>
      <c r="M6" s="311"/>
      <c r="N6" s="312"/>
      <c r="O6" s="312"/>
      <c r="P6" s="312"/>
      <c r="Q6" s="312"/>
      <c r="R6" s="312"/>
      <c r="S6" s="312"/>
      <c r="T6" s="312"/>
      <c r="U6" s="312"/>
      <c r="V6" s="312"/>
      <c r="W6" s="312"/>
      <c r="X6" s="312"/>
      <c r="Y6" s="312"/>
      <c r="Z6" s="312"/>
      <c r="AA6" s="312"/>
      <c r="AB6" s="312"/>
      <c r="AC6" s="312"/>
      <c r="AD6" s="312"/>
      <c r="AE6" s="312"/>
      <c r="AF6" s="312"/>
      <c r="AG6" s="312"/>
      <c r="AH6" s="312"/>
      <c r="AI6" s="312"/>
      <c r="AJ6" s="312"/>
      <c r="AK6" s="312"/>
      <c r="AL6" s="312"/>
      <c r="AM6" s="312"/>
      <c r="AN6" s="312"/>
      <c r="AO6" s="312"/>
      <c r="AP6" s="312"/>
      <c r="AQ6" s="312"/>
      <c r="AR6" s="312"/>
      <c r="AS6" s="312"/>
      <c r="AT6" s="312"/>
      <c r="AU6" s="312"/>
      <c r="AV6" s="312"/>
      <c r="AW6" s="312"/>
      <c r="AX6" s="312"/>
      <c r="AY6" s="312"/>
      <c r="AZ6" s="312"/>
      <c r="BA6" s="312"/>
      <c r="BB6" s="312"/>
      <c r="BC6" s="312"/>
      <c r="BD6" s="312"/>
      <c r="BE6" s="312"/>
      <c r="BF6" s="312"/>
      <c r="BG6" s="312"/>
      <c r="BH6" s="312"/>
      <c r="BI6" s="312"/>
      <c r="BJ6" s="312"/>
    </row>
    <row r="7" spans="1:62" s="316" customFormat="1" x14ac:dyDescent="0.25">
      <c r="A7" s="303"/>
      <c r="B7" s="313"/>
      <c r="C7" s="314"/>
      <c r="D7" s="3185"/>
      <c r="E7" s="2695">
        <v>2000</v>
      </c>
      <c r="F7" s="2695">
        <v>2001</v>
      </c>
      <c r="G7" s="2695">
        <v>2002</v>
      </c>
      <c r="H7" s="2695">
        <v>2003</v>
      </c>
      <c r="I7" s="2695">
        <v>2004</v>
      </c>
      <c r="J7" s="2695">
        <v>2005</v>
      </c>
      <c r="K7" s="2695">
        <v>2006</v>
      </c>
      <c r="L7" s="2695">
        <v>2007</v>
      </c>
      <c r="M7" s="2695">
        <v>2008</v>
      </c>
      <c r="N7" s="2695">
        <v>2009</v>
      </c>
      <c r="O7" s="2695">
        <v>2010</v>
      </c>
      <c r="P7" s="2695">
        <v>2011</v>
      </c>
      <c r="Q7" s="2695">
        <v>2012</v>
      </c>
      <c r="R7" s="2695">
        <v>2013</v>
      </c>
      <c r="S7" s="2695">
        <v>2014</v>
      </c>
      <c r="T7" s="3194">
        <v>2015</v>
      </c>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row>
    <row r="8" spans="1:62" ht="11.45" customHeight="1" x14ac:dyDescent="0.25">
      <c r="D8" s="3186" t="s">
        <v>220</v>
      </c>
      <c r="E8" s="1544">
        <v>8339000</v>
      </c>
      <c r="F8" s="1544">
        <v>10787000</v>
      </c>
      <c r="G8" s="1544">
        <v>13702000</v>
      </c>
      <c r="H8" s="1544">
        <v>16860000</v>
      </c>
      <c r="I8" s="1544">
        <v>20839000</v>
      </c>
      <c r="J8" s="1544">
        <v>33959958</v>
      </c>
      <c r="K8" s="1544">
        <v>39662000</v>
      </c>
      <c r="L8" s="1544">
        <v>42300000</v>
      </c>
      <c r="M8" s="1544">
        <v>45000000</v>
      </c>
      <c r="N8" s="1544">
        <v>46436000</v>
      </c>
      <c r="O8" s="1544">
        <v>50372000</v>
      </c>
      <c r="P8" s="1544">
        <v>64000000</v>
      </c>
      <c r="Q8" s="1544">
        <v>68394000</v>
      </c>
      <c r="R8" s="1544">
        <v>76865278</v>
      </c>
      <c r="S8" s="1544">
        <v>79280731</v>
      </c>
      <c r="T8" s="3195">
        <v>85197164</v>
      </c>
      <c r="U8" s="312"/>
      <c r="V8" s="312"/>
      <c r="W8" s="312"/>
      <c r="X8" s="312"/>
      <c r="Y8" s="312"/>
      <c r="Z8" s="312"/>
      <c r="AA8" s="312"/>
      <c r="AB8" s="312"/>
      <c r="AC8" s="312"/>
      <c r="AD8" s="312"/>
      <c r="AE8" s="312"/>
      <c r="AF8" s="312"/>
      <c r="AG8" s="312"/>
      <c r="AH8" s="312"/>
      <c r="AI8" s="312"/>
      <c r="AJ8" s="312"/>
      <c r="AK8" s="312"/>
      <c r="AL8" s="312"/>
      <c r="AM8" s="312"/>
      <c r="AN8" s="312"/>
      <c r="AO8" s="312"/>
      <c r="AP8" s="312"/>
      <c r="AQ8" s="312"/>
      <c r="AR8" s="312"/>
      <c r="AS8" s="312"/>
      <c r="AT8" s="312"/>
      <c r="AU8" s="312"/>
      <c r="AV8" s="312"/>
      <c r="AW8" s="312"/>
      <c r="AX8" s="312"/>
      <c r="AY8" s="312"/>
      <c r="AZ8" s="312"/>
      <c r="BA8" s="312"/>
      <c r="BB8" s="312"/>
      <c r="BC8" s="312"/>
      <c r="BD8" s="312"/>
      <c r="BE8" s="312"/>
      <c r="BF8" s="312"/>
      <c r="BG8" s="312"/>
      <c r="BH8" s="312"/>
      <c r="BI8" s="312"/>
      <c r="BJ8" s="312"/>
    </row>
    <row r="9" spans="1:62" ht="16.149999999999999" customHeight="1" x14ac:dyDescent="0.25">
      <c r="D9" s="3186" t="s">
        <v>221</v>
      </c>
      <c r="E9" s="1545">
        <v>18.594627880667801</v>
      </c>
      <c r="F9" s="1545">
        <v>23.700807613753199</v>
      </c>
      <c r="G9" s="1545">
        <v>29.6658463489293</v>
      </c>
      <c r="H9" s="1545">
        <v>35.972583003001503</v>
      </c>
      <c r="I9" s="1545">
        <v>43.822659021166402</v>
      </c>
      <c r="J9" s="1545">
        <v>70.404795526163596</v>
      </c>
      <c r="K9" s="1545">
        <v>81.076287201555502</v>
      </c>
      <c r="L9" s="1545">
        <v>85.277481837811607</v>
      </c>
      <c r="M9" s="1545">
        <v>89.521083687332904</v>
      </c>
      <c r="N9" s="1545">
        <v>91.248608776070199</v>
      </c>
      <c r="O9" s="1545">
        <v>97.900286463095</v>
      </c>
      <c r="P9" s="1545">
        <v>123.197654409058</v>
      </c>
      <c r="Q9" s="1545">
        <v>130.55798199210801</v>
      </c>
      <c r="R9" s="1545">
        <v>145.644021264917</v>
      </c>
      <c r="S9" s="1545">
        <v>149.193517488526</v>
      </c>
      <c r="T9" s="3196">
        <v>159.27283771372799</v>
      </c>
      <c r="U9" s="312"/>
      <c r="V9" s="312"/>
      <c r="W9" s="312"/>
      <c r="X9" s="312"/>
      <c r="Y9" s="312"/>
      <c r="Z9" s="312"/>
      <c r="AA9" s="312"/>
      <c r="AB9" s="312"/>
      <c r="AC9" s="312"/>
      <c r="AD9" s="312"/>
      <c r="AE9" s="312"/>
      <c r="AF9" s="312"/>
      <c r="AG9" s="312"/>
      <c r="AH9" s="312"/>
      <c r="AI9" s="312"/>
      <c r="AJ9" s="312"/>
      <c r="AK9" s="312"/>
      <c r="AL9" s="312"/>
      <c r="AM9" s="312"/>
      <c r="AN9" s="312"/>
      <c r="AO9" s="312"/>
      <c r="AP9" s="312"/>
      <c r="AQ9" s="312"/>
      <c r="AR9" s="312"/>
      <c r="AS9" s="312"/>
      <c r="AT9" s="312"/>
      <c r="AU9" s="312"/>
      <c r="AV9" s="312"/>
      <c r="AW9" s="312"/>
      <c r="AX9" s="312"/>
      <c r="AY9" s="312"/>
      <c r="AZ9" s="312"/>
      <c r="BA9" s="312"/>
      <c r="BB9" s="312"/>
      <c r="BC9" s="312"/>
      <c r="BD9" s="312"/>
      <c r="BE9" s="312"/>
      <c r="BF9" s="312"/>
      <c r="BG9" s="312"/>
      <c r="BH9" s="312"/>
      <c r="BI9" s="312"/>
      <c r="BJ9" s="312"/>
    </row>
    <row r="10" spans="1:62" x14ac:dyDescent="0.25">
      <c r="D10" s="3186" t="s">
        <v>222</v>
      </c>
      <c r="E10" s="1544">
        <v>4961743</v>
      </c>
      <c r="F10" s="1544">
        <v>4924458</v>
      </c>
      <c r="G10" s="1544">
        <v>4917000</v>
      </c>
      <c r="H10" s="1544">
        <v>4910000</v>
      </c>
      <c r="I10" s="1544">
        <v>4903000</v>
      </c>
      <c r="J10" s="1544">
        <v>4896000</v>
      </c>
      <c r="K10" s="1544">
        <v>4889000</v>
      </c>
      <c r="L10" s="1544">
        <v>4882000</v>
      </c>
      <c r="M10" s="1544">
        <v>4875000</v>
      </c>
      <c r="N10" s="1544">
        <v>4868000</v>
      </c>
      <c r="O10" s="1544">
        <v>4861000</v>
      </c>
      <c r="P10" s="1544">
        <v>4854000</v>
      </c>
      <c r="Q10" s="1544">
        <v>4847000</v>
      </c>
      <c r="R10" s="1544">
        <v>3875582</v>
      </c>
      <c r="S10" s="1544">
        <v>3647770</v>
      </c>
      <c r="T10" s="3195">
        <v>4131055</v>
      </c>
      <c r="U10" s="312"/>
      <c r="V10" s="312"/>
      <c r="W10" s="312"/>
      <c r="X10" s="312"/>
      <c r="Y10" s="312"/>
      <c r="Z10" s="312"/>
      <c r="AA10" s="312"/>
      <c r="AB10" s="312"/>
      <c r="AC10" s="312"/>
      <c r="AD10" s="312"/>
      <c r="AE10" s="312"/>
      <c r="AF10" s="312"/>
      <c r="AG10" s="312"/>
      <c r="AH10" s="312"/>
      <c r="AI10" s="312"/>
      <c r="AJ10" s="312"/>
      <c r="AK10" s="312"/>
      <c r="AL10" s="312"/>
      <c r="AM10" s="312"/>
      <c r="AN10" s="312"/>
      <c r="AO10" s="312"/>
      <c r="AP10" s="312"/>
      <c r="AQ10" s="312"/>
      <c r="AR10" s="312"/>
      <c r="AS10" s="312"/>
      <c r="AT10" s="312"/>
      <c r="AU10" s="312"/>
      <c r="AV10" s="312"/>
      <c r="AW10" s="312"/>
      <c r="AX10" s="312"/>
      <c r="AY10" s="312"/>
      <c r="AZ10" s="312"/>
      <c r="BA10" s="312"/>
      <c r="BB10" s="312"/>
      <c r="BC10" s="312"/>
      <c r="BD10" s="312"/>
      <c r="BE10" s="312"/>
      <c r="BF10" s="312"/>
      <c r="BG10" s="312"/>
      <c r="BH10" s="312"/>
      <c r="BI10" s="312"/>
      <c r="BJ10" s="312"/>
    </row>
    <row r="11" spans="1:62" s="321" customFormat="1" ht="13.5" x14ac:dyDescent="0.25">
      <c r="A11" s="317"/>
      <c r="B11" s="318"/>
      <c r="C11" s="319"/>
      <c r="D11" s="3186" t="s">
        <v>223</v>
      </c>
      <c r="E11" s="1545">
        <v>11.0638883228814</v>
      </c>
      <c r="F11" s="1545">
        <v>10.8198416297402</v>
      </c>
      <c r="G11" s="1545">
        <v>10.645669719580001</v>
      </c>
      <c r="H11" s="1545">
        <v>10.476001337173001</v>
      </c>
      <c r="I11" s="1545">
        <v>10.3105953827333</v>
      </c>
      <c r="J11" s="1545">
        <v>10.1502445584914</v>
      </c>
      <c r="K11" s="1545">
        <v>9.9939984904544605</v>
      </c>
      <c r="L11" s="1545">
        <v>9.8421906934325296</v>
      </c>
      <c r="M11" s="1545">
        <v>9.6981173994610597</v>
      </c>
      <c r="N11" s="1545">
        <v>9.5658159083880907</v>
      </c>
      <c r="O11" s="1545">
        <v>9.4475758853550609</v>
      </c>
      <c r="P11" s="1545">
        <v>9.3437721015870192</v>
      </c>
      <c r="Q11" s="1545">
        <v>9.2524861642212297</v>
      </c>
      <c r="R11" s="1545">
        <v>7.3434372698415</v>
      </c>
      <c r="S11" s="1545">
        <v>6.8645133618800704</v>
      </c>
      <c r="T11" s="3196">
        <v>7.7228492324167703</v>
      </c>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row>
    <row r="12" spans="1:62" s="321" customFormat="1" ht="13.5" x14ac:dyDescent="0.25">
      <c r="A12" s="317"/>
      <c r="B12" s="318"/>
      <c r="C12" s="319"/>
      <c r="D12" s="3186" t="s">
        <v>224</v>
      </c>
      <c r="E12" s="714"/>
      <c r="F12" s="714"/>
      <c r="G12" s="1544">
        <v>2669</v>
      </c>
      <c r="H12" s="1544">
        <v>20313</v>
      </c>
      <c r="I12" s="1544">
        <v>60000</v>
      </c>
      <c r="J12" s="1544">
        <v>165290</v>
      </c>
      <c r="K12" s="1544">
        <v>335112</v>
      </c>
      <c r="L12" s="1544">
        <v>378000</v>
      </c>
      <c r="M12" s="1544">
        <v>426000</v>
      </c>
      <c r="N12" s="1544">
        <v>481000</v>
      </c>
      <c r="O12" s="1544">
        <v>743000</v>
      </c>
      <c r="P12" s="1544">
        <v>907000</v>
      </c>
      <c r="Q12" s="1544">
        <v>1107200</v>
      </c>
      <c r="R12" s="1544">
        <v>1615210</v>
      </c>
      <c r="S12" s="1544">
        <v>1706313</v>
      </c>
      <c r="T12" s="3195">
        <v>2809043</v>
      </c>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row>
    <row r="13" spans="1:62" s="321" customFormat="1" ht="16.899999999999999" customHeight="1" x14ac:dyDescent="0.25">
      <c r="A13" s="317"/>
      <c r="B13" s="318"/>
      <c r="C13" s="319"/>
      <c r="D13" s="3186" t="s">
        <v>225</v>
      </c>
      <c r="E13" s="714"/>
      <c r="F13" s="714"/>
      <c r="G13" s="1545">
        <v>5.7785829736748196E-3</v>
      </c>
      <c r="H13" s="1545">
        <v>4.3339921621587701E-2</v>
      </c>
      <c r="I13" s="1545">
        <v>0.12617493839771499</v>
      </c>
      <c r="J13" s="1545">
        <v>0.34267441239237101</v>
      </c>
      <c r="K13" s="1545">
        <v>0.68502941749502499</v>
      </c>
      <c r="L13" s="1545">
        <v>0.76205409301874205</v>
      </c>
      <c r="M13" s="1545">
        <v>0.84746625890675098</v>
      </c>
      <c r="N13" s="1545">
        <v>0.94518435742289897</v>
      </c>
      <c r="O13" s="1545">
        <v>1.4440544914253901</v>
      </c>
      <c r="P13" s="1545">
        <v>1.7459417585783701</v>
      </c>
      <c r="Q13" s="1545">
        <v>2.1135450136219802</v>
      </c>
      <c r="R13" s="1545">
        <v>3.0604934465638198</v>
      </c>
      <c r="S13" s="1545">
        <v>3.2110051861958602</v>
      </c>
      <c r="T13" s="3196">
        <v>5.2513983900905998</v>
      </c>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row>
    <row r="14" spans="1:62" s="321" customFormat="1" ht="13.5" x14ac:dyDescent="0.25">
      <c r="A14" s="317"/>
      <c r="B14" s="318"/>
      <c r="C14" s="319"/>
      <c r="D14" s="3186" t="s">
        <v>226</v>
      </c>
      <c r="E14" s="714"/>
      <c r="F14" s="1544">
        <v>521</v>
      </c>
      <c r="G14" s="1544"/>
      <c r="H14" s="1544">
        <v>648</v>
      </c>
      <c r="I14" s="1544">
        <v>909</v>
      </c>
      <c r="J14" s="1544">
        <v>962</v>
      </c>
      <c r="K14" s="1544">
        <v>1104</v>
      </c>
      <c r="L14" s="1544">
        <v>1477</v>
      </c>
      <c r="M14" s="1544">
        <v>1792</v>
      </c>
      <c r="N14" s="1544">
        <v>1994</v>
      </c>
      <c r="O14" s="1544">
        <v>3129</v>
      </c>
      <c r="P14" s="1544">
        <v>3737</v>
      </c>
      <c r="Q14" s="1544">
        <v>4287</v>
      </c>
      <c r="R14" s="1544">
        <v>4575</v>
      </c>
      <c r="S14" s="1544">
        <v>6240</v>
      </c>
      <c r="T14" s="3195">
        <v>7143</v>
      </c>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c r="BC14" s="320"/>
      <c r="BD14" s="320"/>
      <c r="BE14" s="320"/>
      <c r="BF14" s="320"/>
      <c r="BG14" s="320"/>
      <c r="BH14" s="320"/>
      <c r="BI14" s="320"/>
      <c r="BJ14" s="320"/>
    </row>
    <row r="15" spans="1:62" s="321" customFormat="1" ht="13.5" x14ac:dyDescent="0.25">
      <c r="A15" s="317"/>
      <c r="B15" s="318"/>
      <c r="C15" s="319"/>
      <c r="D15" s="3186" t="s">
        <v>227</v>
      </c>
      <c r="E15" s="714"/>
      <c r="F15" s="1545">
        <v>11.60104741648682</v>
      </c>
      <c r="G15" s="1545"/>
      <c r="H15" s="1545">
        <v>14.076544163223959</v>
      </c>
      <c r="I15" s="1545">
        <v>19.489247499142547</v>
      </c>
      <c r="J15" s="1545">
        <v>20.351146982816587</v>
      </c>
      <c r="K15" s="1545">
        <v>23.03758870567189</v>
      </c>
      <c r="L15" s="1545">
        <v>30.392959566601746</v>
      </c>
      <c r="M15" s="1545">
        <v>36.351669376373927</v>
      </c>
      <c r="N15" s="1545">
        <v>39.863322780281642</v>
      </c>
      <c r="O15" s="1545">
        <v>61.628667836370518</v>
      </c>
      <c r="P15" s="1545">
        <v>72.492784572200804</v>
      </c>
      <c r="Q15" s="1545">
        <v>81.881136895233453</v>
      </c>
      <c r="R15" s="1545">
        <v>86.008825050642756</v>
      </c>
      <c r="S15" s="1545">
        <v>115.43019195430475</v>
      </c>
      <c r="T15" s="3196">
        <v>129.97453277949347</v>
      </c>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row>
    <row r="16" spans="1:62" x14ac:dyDescent="0.25">
      <c r="D16" s="3187" t="s">
        <v>228</v>
      </c>
      <c r="E16" s="1533">
        <v>5.3485597320353699</v>
      </c>
      <c r="F16" s="1533">
        <v>6.3466193183976802</v>
      </c>
      <c r="G16" s="1533">
        <v>6.7103224370540397</v>
      </c>
      <c r="H16" s="1533">
        <v>7.00769172611251</v>
      </c>
      <c r="I16" s="1533">
        <v>8.4251186825405995</v>
      </c>
      <c r="J16" s="1533">
        <v>7.4885425299292097</v>
      </c>
      <c r="K16" s="1533">
        <v>7.6071396747738103</v>
      </c>
      <c r="L16" s="1533">
        <v>8.0653751735550401</v>
      </c>
      <c r="M16" s="1533">
        <v>8.43</v>
      </c>
      <c r="N16" s="1533">
        <v>10</v>
      </c>
      <c r="O16" s="1533">
        <v>24</v>
      </c>
      <c r="P16" s="1533">
        <v>33.97</v>
      </c>
      <c r="Q16" s="1533">
        <v>41</v>
      </c>
      <c r="R16" s="1533">
        <v>46.5</v>
      </c>
      <c r="S16" s="1533">
        <v>49</v>
      </c>
      <c r="T16" s="3183">
        <v>51.919115722747001</v>
      </c>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22"/>
      <c r="AR16" s="312"/>
      <c r="AS16" s="312"/>
      <c r="AT16" s="312"/>
      <c r="AU16" s="312"/>
      <c r="AV16" s="312"/>
      <c r="AW16" s="312"/>
      <c r="AX16" s="312"/>
      <c r="AY16" s="312"/>
      <c r="AZ16" s="312"/>
      <c r="BA16" s="312"/>
      <c r="BB16" s="312"/>
      <c r="BC16" s="312"/>
      <c r="BD16" s="312"/>
      <c r="BE16" s="312"/>
      <c r="BF16" s="312"/>
      <c r="BG16" s="312"/>
      <c r="BH16" s="312"/>
      <c r="BI16" s="312"/>
      <c r="BJ16" s="312"/>
    </row>
    <row r="17" spans="1:66" x14ac:dyDescent="0.25">
      <c r="D17" s="2427"/>
      <c r="E17" s="2427"/>
      <c r="F17" s="2427"/>
      <c r="G17" s="2427"/>
      <c r="H17" s="2427"/>
      <c r="I17" s="2427"/>
      <c r="J17" s="2427"/>
      <c r="K17" s="2427"/>
      <c r="L17" s="2427"/>
      <c r="M17" s="2427"/>
      <c r="N17" s="2427"/>
      <c r="O17" s="2427"/>
      <c r="P17" s="2427"/>
      <c r="Q17" s="2427"/>
      <c r="R17" s="2427"/>
      <c r="S17" s="1543"/>
      <c r="T17" s="1543"/>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22"/>
      <c r="AR17" s="312"/>
      <c r="AS17" s="312"/>
      <c r="AT17" s="312"/>
      <c r="AU17" s="312"/>
      <c r="AV17" s="312"/>
      <c r="AW17" s="312"/>
      <c r="AX17" s="312"/>
      <c r="AY17" s="312"/>
      <c r="AZ17" s="312"/>
      <c r="BA17" s="312"/>
      <c r="BB17" s="312"/>
      <c r="BC17" s="312"/>
      <c r="BD17" s="312"/>
      <c r="BE17" s="312"/>
      <c r="BF17" s="312"/>
      <c r="BG17" s="312"/>
      <c r="BH17" s="312"/>
      <c r="BI17" s="312"/>
      <c r="BJ17" s="312"/>
    </row>
    <row r="18" spans="1:66" x14ac:dyDescent="0.25">
      <c r="D18" s="2427"/>
      <c r="E18" s="2427"/>
      <c r="F18" s="2427"/>
      <c r="G18" s="2427"/>
      <c r="H18" s="2427"/>
      <c r="I18" s="2427"/>
      <c r="J18" s="2427"/>
      <c r="K18" s="2427"/>
      <c r="L18" s="2427"/>
      <c r="M18" s="2427"/>
      <c r="N18" s="2427"/>
      <c r="O18" s="2427"/>
      <c r="P18" s="2427"/>
      <c r="Q18" s="2427"/>
      <c r="R18" s="2427"/>
      <c r="S18" s="1543"/>
      <c r="T18" s="1543"/>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22"/>
      <c r="AR18" s="312"/>
      <c r="AS18" s="312"/>
      <c r="AT18" s="312"/>
      <c r="AU18" s="312"/>
      <c r="AV18" s="312"/>
      <c r="AW18" s="312"/>
      <c r="AX18" s="312"/>
      <c r="AY18" s="312"/>
      <c r="AZ18" s="312"/>
      <c r="BA18" s="312"/>
      <c r="BB18" s="312"/>
      <c r="BC18" s="312"/>
      <c r="BD18" s="312"/>
      <c r="BE18" s="312"/>
      <c r="BF18" s="312"/>
      <c r="BG18" s="312"/>
      <c r="BH18" s="312"/>
      <c r="BI18" s="312"/>
      <c r="BJ18" s="312"/>
    </row>
    <row r="19" spans="1:66" x14ac:dyDescent="0.25">
      <c r="D19" s="323" t="s">
        <v>55</v>
      </c>
      <c r="E19" s="323" t="s">
        <v>229</v>
      </c>
      <c r="F19" s="324"/>
      <c r="G19" s="325"/>
      <c r="H19" s="325"/>
      <c r="I19" s="326"/>
      <c r="J19" s="325"/>
      <c r="K19" s="325"/>
      <c r="L19" s="325"/>
      <c r="M19" s="325"/>
      <c r="N19" s="325"/>
      <c r="O19" s="325"/>
      <c r="P19" s="325"/>
      <c r="Q19" s="312"/>
      <c r="R19" s="312"/>
      <c r="S19" s="1543"/>
      <c r="T19" s="1543"/>
      <c r="U19" s="312"/>
      <c r="V19" s="312"/>
      <c r="W19" s="312"/>
      <c r="X19" s="312"/>
      <c r="Y19" s="312"/>
      <c r="Z19" s="312"/>
      <c r="AA19" s="312"/>
      <c r="AB19" s="312"/>
      <c r="AC19" s="312"/>
      <c r="AD19" s="312"/>
      <c r="AE19" s="312"/>
      <c r="AF19" s="312"/>
      <c r="AG19" s="312"/>
      <c r="AH19" s="312"/>
      <c r="AI19" s="312"/>
      <c r="AJ19" s="312"/>
      <c r="AK19" s="312"/>
      <c r="AL19" s="312"/>
      <c r="AM19" s="312"/>
      <c r="AN19" s="312"/>
      <c r="AO19" s="312"/>
      <c r="AP19" s="312"/>
      <c r="AQ19" s="322"/>
      <c r="AR19" s="312"/>
      <c r="AS19" s="312"/>
      <c r="AT19" s="312"/>
      <c r="AU19" s="312"/>
      <c r="AV19" s="312"/>
      <c r="AW19" s="312"/>
      <c r="AX19" s="312"/>
      <c r="AY19" s="312"/>
      <c r="AZ19" s="312"/>
      <c r="BA19" s="312"/>
      <c r="BB19" s="312"/>
      <c r="BC19" s="312"/>
      <c r="BD19" s="312"/>
      <c r="BE19" s="312"/>
      <c r="BF19" s="312"/>
      <c r="BG19" s="312"/>
      <c r="BH19" s="312"/>
      <c r="BI19" s="312"/>
      <c r="BJ19" s="312"/>
    </row>
    <row r="20" spans="1:66" s="315" customFormat="1" x14ac:dyDescent="0.25">
      <c r="A20" s="327"/>
      <c r="B20" s="328"/>
      <c r="C20" s="329"/>
      <c r="D20" s="3188"/>
      <c r="E20" s="330"/>
      <c r="F20" s="331"/>
      <c r="G20" s="331">
        <v>2002</v>
      </c>
      <c r="H20" s="331">
        <v>2003</v>
      </c>
      <c r="I20" s="331">
        <v>2004</v>
      </c>
      <c r="J20" s="331">
        <v>2005</v>
      </c>
      <c r="K20" s="331">
        <v>2006</v>
      </c>
      <c r="L20" s="331">
        <v>2007</v>
      </c>
      <c r="M20" s="331">
        <v>2008</v>
      </c>
      <c r="N20" s="331">
        <v>2009</v>
      </c>
      <c r="O20" s="331">
        <v>2010</v>
      </c>
      <c r="P20" s="331">
        <v>2011</v>
      </c>
      <c r="Q20" s="331">
        <v>2012</v>
      </c>
      <c r="R20" s="331">
        <v>2013</v>
      </c>
      <c r="S20" s="1546">
        <v>2014</v>
      </c>
      <c r="T20" s="3197">
        <v>2015</v>
      </c>
      <c r="U20" s="2696"/>
      <c r="AU20" s="332"/>
    </row>
    <row r="21" spans="1:66" x14ac:dyDescent="0.25">
      <c r="D21" s="3189" t="s">
        <v>230</v>
      </c>
      <c r="E21" s="333"/>
      <c r="F21" s="334"/>
      <c r="G21" s="334">
        <v>36</v>
      </c>
      <c r="H21" s="334">
        <v>36</v>
      </c>
      <c r="I21" s="334">
        <v>37</v>
      </c>
      <c r="J21" s="334">
        <v>34</v>
      </c>
      <c r="K21" s="334">
        <v>37</v>
      </c>
      <c r="L21" s="334">
        <v>47</v>
      </c>
      <c r="M21" s="334">
        <v>51</v>
      </c>
      <c r="N21" s="334">
        <v>52</v>
      </c>
      <c r="O21" s="334">
        <v>62</v>
      </c>
      <c r="P21" s="334">
        <v>61</v>
      </c>
      <c r="Q21" s="334">
        <v>72</v>
      </c>
      <c r="R21" s="334">
        <v>70</v>
      </c>
      <c r="S21" s="1547">
        <v>70</v>
      </c>
      <c r="T21" s="3198">
        <v>75</v>
      </c>
      <c r="U21" s="325"/>
      <c r="V21" s="312"/>
      <c r="W21" s="312"/>
      <c r="X21" s="312"/>
      <c r="Y21" s="312"/>
      <c r="Z21" s="312"/>
      <c r="AA21" s="312"/>
      <c r="AB21" s="312"/>
      <c r="AC21" s="312"/>
      <c r="AD21" s="312"/>
      <c r="AE21" s="312"/>
      <c r="AF21" s="312"/>
      <c r="AG21" s="312"/>
      <c r="AH21" s="312"/>
      <c r="AI21" s="312"/>
      <c r="AJ21" s="312"/>
      <c r="AK21" s="312"/>
      <c r="AL21" s="312"/>
      <c r="AM21" s="312"/>
      <c r="AN21" s="312"/>
      <c r="AO21" s="312"/>
      <c r="AP21" s="312"/>
      <c r="AQ21" s="312"/>
      <c r="AR21" s="312"/>
      <c r="AS21" s="312"/>
      <c r="AT21" s="312"/>
      <c r="AU21" s="322"/>
      <c r="AV21" s="312"/>
      <c r="AW21" s="312"/>
      <c r="AX21" s="312"/>
      <c r="AY21" s="312"/>
      <c r="AZ21" s="312"/>
      <c r="BA21" s="312"/>
      <c r="BB21" s="312"/>
      <c r="BC21" s="312"/>
      <c r="BD21" s="312"/>
      <c r="BE21" s="312"/>
      <c r="BF21" s="312"/>
      <c r="BG21" s="312"/>
      <c r="BH21" s="312"/>
      <c r="BI21" s="312"/>
      <c r="BJ21" s="312"/>
      <c r="BK21" s="312"/>
      <c r="BL21" s="312"/>
      <c r="BM21" s="312"/>
      <c r="BN21" s="312"/>
    </row>
    <row r="22" spans="1:66" x14ac:dyDescent="0.25">
      <c r="D22" s="324"/>
      <c r="E22" s="324"/>
      <c r="F22" s="335"/>
      <c r="G22" s="335"/>
      <c r="H22" s="335"/>
      <c r="I22" s="335"/>
      <c r="J22" s="335"/>
      <c r="K22" s="335"/>
      <c r="L22" s="335"/>
      <c r="M22" s="335"/>
      <c r="N22" s="335"/>
      <c r="O22" s="335"/>
      <c r="P22" s="335"/>
      <c r="Q22" s="335"/>
      <c r="R22" s="325"/>
      <c r="S22" s="325"/>
      <c r="T22" s="325"/>
      <c r="U22" s="325"/>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22"/>
      <c r="AV22" s="312"/>
      <c r="AW22" s="312"/>
      <c r="AX22" s="312"/>
      <c r="AY22" s="312"/>
      <c r="AZ22" s="312"/>
      <c r="BA22" s="312"/>
      <c r="BB22" s="312"/>
      <c r="BC22" s="312"/>
      <c r="BD22" s="312"/>
      <c r="BE22" s="312"/>
      <c r="BF22" s="312"/>
      <c r="BG22" s="312"/>
      <c r="BH22" s="312"/>
      <c r="BI22" s="312"/>
      <c r="BJ22" s="312"/>
      <c r="BK22" s="312"/>
      <c r="BL22" s="312"/>
      <c r="BM22" s="312"/>
      <c r="BN22" s="312"/>
    </row>
    <row r="23" spans="1:66" x14ac:dyDescent="0.25">
      <c r="D23" s="323" t="s">
        <v>231</v>
      </c>
      <c r="E23" s="323" t="s">
        <v>232</v>
      </c>
      <c r="F23" s="335"/>
      <c r="G23" s="335"/>
      <c r="H23" s="335"/>
      <c r="I23" s="335"/>
      <c r="J23" s="335"/>
      <c r="K23" s="335"/>
      <c r="L23" s="335"/>
      <c r="M23" s="335"/>
      <c r="N23" s="335"/>
      <c r="O23" s="335"/>
      <c r="P23" s="335"/>
      <c r="Q23" s="335"/>
      <c r="R23" s="325"/>
      <c r="S23" s="325"/>
      <c r="T23" s="325"/>
      <c r="U23" s="325"/>
      <c r="V23" s="312"/>
      <c r="W23" s="312"/>
      <c r="X23" s="312"/>
      <c r="Y23" s="312"/>
      <c r="Z23" s="312"/>
      <c r="AA23" s="312"/>
      <c r="AB23" s="312"/>
      <c r="AC23" s="312"/>
      <c r="AD23" s="312"/>
      <c r="AE23" s="312"/>
      <c r="AF23" s="312"/>
      <c r="AG23" s="312"/>
      <c r="AH23" s="312"/>
      <c r="AI23" s="312"/>
      <c r="AJ23" s="312"/>
      <c r="AK23" s="312"/>
      <c r="AL23" s="312"/>
      <c r="AM23" s="312"/>
      <c r="AN23" s="312"/>
      <c r="AO23" s="312"/>
      <c r="AP23" s="312"/>
      <c r="AQ23" s="312"/>
      <c r="AR23" s="312"/>
      <c r="AS23" s="312"/>
      <c r="AT23" s="312"/>
      <c r="AU23" s="322"/>
      <c r="AV23" s="312"/>
      <c r="AW23" s="312"/>
      <c r="AX23" s="312"/>
      <c r="AY23" s="312"/>
      <c r="AZ23" s="312"/>
      <c r="BA23" s="312"/>
      <c r="BB23" s="312"/>
      <c r="BC23" s="312"/>
      <c r="BD23" s="312"/>
      <c r="BE23" s="312"/>
      <c r="BF23" s="312"/>
      <c r="BG23" s="312"/>
      <c r="BH23" s="312"/>
      <c r="BI23" s="312"/>
      <c r="BJ23" s="312"/>
      <c r="BK23" s="312"/>
      <c r="BL23" s="312"/>
      <c r="BM23" s="312"/>
      <c r="BN23" s="312"/>
    </row>
    <row r="24" spans="1:66" x14ac:dyDescent="0.25">
      <c r="D24" s="3117"/>
      <c r="E24" s="1756"/>
      <c r="F24" s="1755">
        <v>2001</v>
      </c>
      <c r="G24" s="1755">
        <v>2002</v>
      </c>
      <c r="H24" s="1755">
        <v>2003</v>
      </c>
      <c r="I24" s="1755">
        <v>2004</v>
      </c>
      <c r="J24" s="1755">
        <v>2005</v>
      </c>
      <c r="K24" s="1755">
        <v>2006</v>
      </c>
      <c r="L24" s="1755">
        <v>2007</v>
      </c>
      <c r="M24" s="1755">
        <v>2008</v>
      </c>
      <c r="N24" s="1755">
        <v>2009</v>
      </c>
      <c r="O24" s="1755">
        <v>2010</v>
      </c>
      <c r="P24" s="1755">
        <v>2011</v>
      </c>
      <c r="Q24" s="1755">
        <v>2012</v>
      </c>
      <c r="R24" s="1755">
        <v>2013</v>
      </c>
      <c r="S24" s="1755">
        <v>2014</v>
      </c>
      <c r="T24" s="3194">
        <v>2015</v>
      </c>
      <c r="U24" s="325"/>
      <c r="V24" s="312"/>
      <c r="W24" s="312"/>
      <c r="X24" s="312"/>
      <c r="Y24" s="312"/>
      <c r="Z24" s="312"/>
      <c r="AA24" s="312"/>
      <c r="AB24" s="312"/>
      <c r="AC24" s="312"/>
      <c r="AD24" s="312"/>
      <c r="AE24" s="312"/>
      <c r="AF24" s="312"/>
      <c r="AG24" s="312"/>
      <c r="AH24" s="312"/>
      <c r="AI24" s="312"/>
      <c r="AJ24" s="312"/>
      <c r="AK24" s="312"/>
      <c r="AL24" s="312"/>
      <c r="AM24" s="312"/>
      <c r="AN24" s="312"/>
      <c r="AO24" s="312"/>
      <c r="AP24" s="312"/>
      <c r="AQ24" s="312"/>
      <c r="AR24" s="312"/>
      <c r="AS24" s="312"/>
      <c r="AT24" s="312"/>
      <c r="AU24" s="322"/>
      <c r="AV24" s="312"/>
      <c r="AW24" s="312"/>
      <c r="AX24" s="312"/>
      <c r="AY24" s="312"/>
      <c r="AZ24" s="312"/>
      <c r="BA24" s="312"/>
      <c r="BB24" s="312"/>
      <c r="BC24" s="312"/>
      <c r="BD24" s="312"/>
      <c r="BE24" s="312"/>
      <c r="BF24" s="312"/>
      <c r="BG24" s="312"/>
      <c r="BH24" s="312"/>
      <c r="BI24" s="312"/>
      <c r="BJ24" s="312"/>
      <c r="BK24" s="312"/>
      <c r="BL24" s="312"/>
      <c r="BM24" s="312"/>
      <c r="BN24" s="312"/>
    </row>
    <row r="25" spans="1:66" x14ac:dyDescent="0.25">
      <c r="D25" s="3190" t="s">
        <v>233</v>
      </c>
      <c r="E25" s="1758"/>
      <c r="F25" s="2697">
        <v>0.31900000000000001</v>
      </c>
      <c r="G25" s="349"/>
      <c r="H25" s="349"/>
      <c r="I25" s="349"/>
      <c r="J25" s="349"/>
      <c r="K25" s="349"/>
      <c r="L25" s="337">
        <v>0.72699999999999998</v>
      </c>
      <c r="M25" s="336"/>
      <c r="N25" s="335"/>
      <c r="O25" s="335"/>
      <c r="P25" s="337">
        <v>0.88900000000000001</v>
      </c>
      <c r="Q25" s="337"/>
      <c r="R25" s="337"/>
      <c r="S25" s="337"/>
      <c r="T25" s="3199"/>
      <c r="U25" s="325"/>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22"/>
      <c r="AV25" s="312"/>
      <c r="AW25" s="312"/>
      <c r="AX25" s="312"/>
      <c r="AY25" s="312"/>
      <c r="AZ25" s="312"/>
      <c r="BA25" s="312"/>
      <c r="BB25" s="312"/>
      <c r="BC25" s="312"/>
      <c r="BD25" s="312"/>
      <c r="BE25" s="312"/>
      <c r="BF25" s="312"/>
      <c r="BG25" s="312"/>
      <c r="BH25" s="312"/>
      <c r="BI25" s="312"/>
      <c r="BJ25" s="312"/>
      <c r="BK25" s="312"/>
      <c r="BL25" s="312"/>
      <c r="BM25" s="312"/>
      <c r="BN25" s="312"/>
    </row>
    <row r="26" spans="1:66" x14ac:dyDescent="0.25">
      <c r="D26" s="3190" t="s">
        <v>234</v>
      </c>
      <c r="E26" s="1758"/>
      <c r="F26" s="2697">
        <v>0.72150000000000003</v>
      </c>
      <c r="G26" s="349"/>
      <c r="H26" s="349"/>
      <c r="I26" s="349"/>
      <c r="J26" s="349"/>
      <c r="K26" s="349"/>
      <c r="L26" s="337">
        <v>0.76500000000000001</v>
      </c>
      <c r="M26" s="336"/>
      <c r="N26" s="335"/>
      <c r="O26" s="335"/>
      <c r="P26" s="337">
        <v>0.67500000000000004</v>
      </c>
      <c r="Q26" s="337"/>
      <c r="R26" s="337"/>
      <c r="S26" s="337"/>
      <c r="T26" s="3199"/>
      <c r="U26" s="325"/>
      <c r="V26" s="312"/>
      <c r="W26" s="312"/>
      <c r="X26" s="312"/>
      <c r="Y26" s="312"/>
      <c r="Z26" s="312"/>
      <c r="AA26" s="312"/>
      <c r="AB26" s="312"/>
      <c r="AC26" s="312"/>
      <c r="AD26" s="312"/>
      <c r="AE26" s="312"/>
      <c r="AF26" s="312"/>
      <c r="AG26" s="312"/>
      <c r="AH26" s="312"/>
      <c r="AI26" s="312"/>
      <c r="AJ26" s="312"/>
      <c r="AK26" s="312"/>
      <c r="AL26" s="312"/>
      <c r="AM26" s="312"/>
      <c r="AN26" s="312"/>
      <c r="AO26" s="312"/>
      <c r="AP26" s="312"/>
      <c r="AQ26" s="312"/>
      <c r="AR26" s="312"/>
      <c r="AS26" s="312"/>
      <c r="AT26" s="312"/>
      <c r="AU26" s="322"/>
      <c r="AV26" s="312"/>
      <c r="AW26" s="312"/>
      <c r="AX26" s="312"/>
      <c r="AY26" s="312"/>
      <c r="AZ26" s="312"/>
      <c r="BA26" s="312"/>
      <c r="BB26" s="312"/>
      <c r="BC26" s="312"/>
      <c r="BD26" s="312"/>
      <c r="BE26" s="312"/>
      <c r="BF26" s="312"/>
      <c r="BG26" s="312"/>
      <c r="BH26" s="312"/>
      <c r="BI26" s="312"/>
      <c r="BJ26" s="312"/>
      <c r="BK26" s="312"/>
      <c r="BL26" s="312"/>
      <c r="BM26" s="312"/>
      <c r="BN26" s="312"/>
    </row>
    <row r="27" spans="1:66" x14ac:dyDescent="0.25">
      <c r="D27" s="3190" t="s">
        <v>235</v>
      </c>
      <c r="E27" s="1758"/>
      <c r="F27" s="2697">
        <v>8.5000000000000006E-2</v>
      </c>
      <c r="G27" s="349"/>
      <c r="H27" s="349"/>
      <c r="I27" s="349"/>
      <c r="J27" s="349"/>
      <c r="K27" s="349"/>
      <c r="L27" s="337">
        <v>0.156</v>
      </c>
      <c r="M27" s="336"/>
      <c r="N27" s="335"/>
      <c r="O27" s="335"/>
      <c r="P27" s="337">
        <v>0.2145</v>
      </c>
      <c r="Q27" s="337"/>
      <c r="R27" s="337"/>
      <c r="S27" s="337"/>
      <c r="T27" s="3199"/>
      <c r="U27" s="325"/>
      <c r="V27" s="312"/>
      <c r="W27" s="312"/>
      <c r="X27" s="312"/>
      <c r="Y27" s="312"/>
      <c r="Z27" s="312"/>
      <c r="AA27" s="312"/>
      <c r="AB27" s="312"/>
      <c r="AC27" s="312"/>
      <c r="AD27" s="312"/>
      <c r="AE27" s="312"/>
      <c r="AF27" s="312"/>
      <c r="AG27" s="312"/>
      <c r="AH27" s="312"/>
      <c r="AI27" s="312"/>
      <c r="AJ27" s="312"/>
      <c r="AK27" s="312"/>
      <c r="AL27" s="312"/>
      <c r="AM27" s="312"/>
      <c r="AN27" s="312"/>
      <c r="AO27" s="312"/>
      <c r="AP27" s="312"/>
      <c r="AQ27" s="312"/>
      <c r="AR27" s="312"/>
      <c r="AS27" s="312"/>
      <c r="AT27" s="312"/>
      <c r="AU27" s="322"/>
      <c r="AV27" s="312"/>
      <c r="AW27" s="312"/>
      <c r="AX27" s="312"/>
      <c r="AY27" s="312"/>
      <c r="AZ27" s="312"/>
      <c r="BA27" s="312"/>
      <c r="BB27" s="312"/>
      <c r="BC27" s="312"/>
      <c r="BD27" s="312"/>
      <c r="BE27" s="312"/>
      <c r="BF27" s="312"/>
      <c r="BG27" s="312"/>
      <c r="BH27" s="312"/>
      <c r="BI27" s="312"/>
      <c r="BJ27" s="312"/>
      <c r="BK27" s="312"/>
      <c r="BL27" s="312"/>
      <c r="BM27" s="312"/>
      <c r="BN27" s="312"/>
    </row>
    <row r="28" spans="1:66" x14ac:dyDescent="0.25">
      <c r="D28" s="3190" t="s">
        <v>236</v>
      </c>
      <c r="E28" s="2698"/>
      <c r="F28" s="2697">
        <v>0.52600000000000002</v>
      </c>
      <c r="G28" s="349"/>
      <c r="H28" s="349"/>
      <c r="I28" s="349"/>
      <c r="J28" s="349"/>
      <c r="K28" s="349"/>
      <c r="L28" s="337">
        <v>0.65500000000000003</v>
      </c>
      <c r="M28" s="336"/>
      <c r="N28" s="335"/>
      <c r="O28" s="335"/>
      <c r="P28" s="337">
        <v>0.745</v>
      </c>
      <c r="Q28" s="337"/>
      <c r="R28" s="337"/>
      <c r="S28" s="337"/>
      <c r="T28" s="3199"/>
      <c r="U28" s="325"/>
      <c r="V28" s="312"/>
      <c r="W28" s="312"/>
      <c r="X28" s="312"/>
      <c r="Y28" s="312"/>
      <c r="Z28" s="312"/>
      <c r="AA28" s="312"/>
      <c r="AB28" s="312"/>
      <c r="AC28" s="312"/>
      <c r="AD28" s="312"/>
      <c r="AE28" s="312"/>
      <c r="AF28" s="312"/>
      <c r="AG28" s="312"/>
      <c r="AH28" s="312"/>
      <c r="AI28" s="312"/>
      <c r="AJ28" s="312"/>
      <c r="AK28" s="312"/>
      <c r="AL28" s="312"/>
      <c r="AM28" s="312"/>
      <c r="AN28" s="312"/>
      <c r="AO28" s="312"/>
      <c r="AP28" s="312"/>
      <c r="AQ28" s="312"/>
      <c r="AR28" s="312"/>
      <c r="AS28" s="312"/>
      <c r="AT28" s="312"/>
      <c r="AU28" s="322"/>
      <c r="AV28" s="312"/>
      <c r="AW28" s="312"/>
      <c r="AX28" s="312"/>
      <c r="AY28" s="312"/>
      <c r="AZ28" s="312"/>
      <c r="BA28" s="312"/>
      <c r="BB28" s="312"/>
      <c r="BC28" s="312"/>
      <c r="BD28" s="312"/>
      <c r="BE28" s="312"/>
      <c r="BF28" s="312"/>
      <c r="BG28" s="312"/>
      <c r="BH28" s="312"/>
      <c r="BI28" s="312"/>
      <c r="BJ28" s="312"/>
      <c r="BK28" s="312"/>
      <c r="BL28" s="312"/>
      <c r="BM28" s="312"/>
      <c r="BN28" s="312"/>
    </row>
    <row r="29" spans="1:66" x14ac:dyDescent="0.25">
      <c r="D29" s="3191" t="s">
        <v>237</v>
      </c>
      <c r="E29" s="2699"/>
      <c r="F29" s="2700">
        <v>23.95</v>
      </c>
      <c r="G29" s="2701"/>
      <c r="H29" s="2701"/>
      <c r="I29" s="2701"/>
      <c r="J29" s="2701"/>
      <c r="K29" s="2701"/>
      <c r="L29" s="340">
        <v>0.155</v>
      </c>
      <c r="M29" s="338"/>
      <c r="N29" s="339"/>
      <c r="O29" s="339"/>
      <c r="P29" s="340">
        <v>0.14499999999999999</v>
      </c>
      <c r="Q29" s="340"/>
      <c r="R29" s="340"/>
      <c r="S29" s="340"/>
      <c r="T29" s="3200"/>
      <c r="U29" s="325"/>
      <c r="V29" s="312"/>
      <c r="W29" s="312"/>
      <c r="X29" s="312"/>
      <c r="Y29" s="312"/>
      <c r="Z29" s="312"/>
      <c r="AA29" s="312"/>
      <c r="AB29" s="312"/>
      <c r="AC29" s="312"/>
      <c r="AD29" s="312"/>
      <c r="AE29" s="312"/>
      <c r="AF29" s="312"/>
      <c r="AG29" s="312"/>
      <c r="AH29" s="312"/>
      <c r="AI29" s="312"/>
      <c r="AJ29" s="312"/>
      <c r="AK29" s="312"/>
      <c r="AL29" s="312"/>
      <c r="AM29" s="312"/>
      <c r="AN29" s="312"/>
      <c r="AO29" s="312"/>
      <c r="AP29" s="312"/>
      <c r="AQ29" s="312"/>
      <c r="AR29" s="312"/>
      <c r="AS29" s="312"/>
      <c r="AT29" s="312"/>
      <c r="AU29" s="322"/>
      <c r="AV29" s="312"/>
      <c r="AW29" s="312"/>
      <c r="AX29" s="312"/>
      <c r="AY29" s="312"/>
      <c r="AZ29" s="312"/>
      <c r="BA29" s="312"/>
      <c r="BB29" s="312"/>
      <c r="BC29" s="312"/>
      <c r="BD29" s="312"/>
      <c r="BE29" s="312"/>
      <c r="BF29" s="312"/>
      <c r="BG29" s="312"/>
      <c r="BH29" s="312"/>
      <c r="BI29" s="312"/>
      <c r="BJ29" s="312"/>
      <c r="BK29" s="312"/>
      <c r="BL29" s="312"/>
      <c r="BM29" s="312"/>
      <c r="BN29" s="312"/>
    </row>
    <row r="30" spans="1:66" x14ac:dyDescent="0.25">
      <c r="D30" s="3192" t="s">
        <v>238</v>
      </c>
      <c r="E30" s="2698"/>
      <c r="F30" s="1757"/>
      <c r="G30" s="349"/>
      <c r="H30" s="349"/>
      <c r="I30" s="349"/>
      <c r="J30" s="349"/>
      <c r="K30" s="349"/>
      <c r="L30" s="337"/>
      <c r="M30" s="336"/>
      <c r="N30" s="335"/>
      <c r="O30" s="335"/>
      <c r="P30" s="337"/>
      <c r="Q30" s="337"/>
      <c r="R30" s="337"/>
      <c r="S30" s="337"/>
      <c r="T30" s="3199"/>
      <c r="U30" s="325"/>
      <c r="V30" s="312"/>
      <c r="W30" s="312"/>
      <c r="X30" s="312"/>
      <c r="Y30" s="312"/>
      <c r="Z30" s="312"/>
      <c r="AA30" s="312"/>
      <c r="AB30" s="312"/>
      <c r="AC30" s="312"/>
      <c r="AD30" s="312"/>
      <c r="AE30" s="312"/>
      <c r="AF30" s="312"/>
      <c r="AG30" s="312"/>
      <c r="AH30" s="312"/>
      <c r="AI30" s="312"/>
      <c r="AJ30" s="312"/>
      <c r="AK30" s="312"/>
      <c r="AL30" s="312"/>
      <c r="AM30" s="312"/>
      <c r="AN30" s="312"/>
      <c r="AO30" s="312"/>
      <c r="AP30" s="312"/>
      <c r="AQ30" s="312"/>
      <c r="AR30" s="312"/>
      <c r="AS30" s="312"/>
      <c r="AT30" s="312"/>
      <c r="AU30" s="322"/>
      <c r="AV30" s="312"/>
      <c r="AW30" s="312"/>
      <c r="AX30" s="312"/>
      <c r="AY30" s="312"/>
      <c r="AZ30" s="312"/>
      <c r="BA30" s="312"/>
      <c r="BB30" s="312"/>
      <c r="BC30" s="312"/>
      <c r="BD30" s="312"/>
      <c r="BE30" s="312"/>
      <c r="BF30" s="312"/>
      <c r="BG30" s="312"/>
      <c r="BH30" s="312"/>
      <c r="BI30" s="312"/>
      <c r="BJ30" s="312"/>
      <c r="BK30" s="312"/>
      <c r="BL30" s="312"/>
      <c r="BM30" s="312"/>
      <c r="BN30" s="312"/>
    </row>
    <row r="31" spans="1:66" x14ac:dyDescent="0.25">
      <c r="D31" s="3190" t="s">
        <v>233</v>
      </c>
      <c r="E31" s="1758"/>
      <c r="F31" s="2697"/>
      <c r="G31" s="341">
        <v>0.35688851200000005</v>
      </c>
      <c r="H31" s="342">
        <v>0.412909256</v>
      </c>
      <c r="I31" s="342">
        <v>0.50041365300000007</v>
      </c>
      <c r="J31" s="342">
        <v>0.61948103399999999</v>
      </c>
      <c r="K31" s="342">
        <v>0.68213298100000008</v>
      </c>
      <c r="L31" s="337">
        <v>0.73932118099999999</v>
      </c>
      <c r="M31" s="343">
        <v>0.77777310399999999</v>
      </c>
      <c r="N31" s="344">
        <v>0.83576974900000001</v>
      </c>
      <c r="O31" s="344">
        <v>0.86883918100000002</v>
      </c>
      <c r="P31" s="345">
        <v>0.89684816299999992</v>
      </c>
      <c r="Q31" s="346">
        <v>0.92921465600000008</v>
      </c>
      <c r="R31" s="347">
        <v>0.9475415479999999</v>
      </c>
      <c r="S31" s="348">
        <v>0.95637434499999996</v>
      </c>
      <c r="T31" s="3201">
        <v>0.96350349199999996</v>
      </c>
      <c r="U31" s="325"/>
      <c r="V31" s="312"/>
      <c r="W31" s="312"/>
      <c r="X31" s="312"/>
      <c r="Y31" s="312"/>
      <c r="Z31" s="312"/>
      <c r="AA31" s="312"/>
      <c r="AB31" s="312"/>
      <c r="AC31" s="312"/>
      <c r="AD31" s="312"/>
      <c r="AE31" s="312"/>
      <c r="AF31" s="312"/>
      <c r="AG31" s="312"/>
      <c r="AH31" s="312"/>
      <c r="AI31" s="312"/>
      <c r="AJ31" s="312"/>
      <c r="AK31" s="312"/>
      <c r="AL31" s="312"/>
      <c r="AM31" s="312"/>
      <c r="AN31" s="312"/>
      <c r="AO31" s="312"/>
      <c r="AP31" s="312"/>
      <c r="AQ31" s="312"/>
      <c r="AR31" s="312"/>
      <c r="AS31" s="312"/>
      <c r="AT31" s="312"/>
      <c r="AU31" s="322"/>
      <c r="AV31" s="312"/>
      <c r="AW31" s="312"/>
      <c r="AX31" s="312"/>
      <c r="AY31" s="312"/>
      <c r="AZ31" s="312"/>
      <c r="BA31" s="312"/>
      <c r="BB31" s="312"/>
      <c r="BC31" s="312"/>
      <c r="BD31" s="312"/>
      <c r="BE31" s="312"/>
      <c r="BF31" s="312"/>
      <c r="BG31" s="312"/>
      <c r="BH31" s="312"/>
      <c r="BI31" s="312"/>
      <c r="BJ31" s="312"/>
      <c r="BK31" s="312"/>
      <c r="BL31" s="312"/>
      <c r="BM31" s="312"/>
      <c r="BN31" s="312"/>
    </row>
    <row r="32" spans="1:66" x14ac:dyDescent="0.25">
      <c r="D32" s="3190" t="s">
        <v>234</v>
      </c>
      <c r="E32" s="1758"/>
      <c r="F32" s="2697"/>
      <c r="G32" s="348">
        <v>0.79702511499999995</v>
      </c>
      <c r="H32" s="348">
        <v>0.80849722299999993</v>
      </c>
      <c r="I32" s="348">
        <v>0.80900786899999999</v>
      </c>
      <c r="J32" s="348">
        <v>0.78925426900000006</v>
      </c>
      <c r="K32" s="348">
        <v>0.78628499500000004</v>
      </c>
      <c r="L32" s="348">
        <v>0.79513746100000005</v>
      </c>
      <c r="M32" s="348">
        <v>0.77531083699999992</v>
      </c>
      <c r="N32" s="335"/>
      <c r="O32" s="348">
        <v>0.77116662300000005</v>
      </c>
      <c r="P32" s="348">
        <v>0.76174881699999997</v>
      </c>
      <c r="Q32" s="337"/>
      <c r="R32" s="347">
        <v>0.84781977999999991</v>
      </c>
      <c r="T32" s="3201">
        <v>0.17426503900000001</v>
      </c>
      <c r="U32" s="325"/>
      <c r="V32" s="312"/>
      <c r="W32" s="312"/>
      <c r="X32" s="312"/>
      <c r="Y32" s="312"/>
      <c r="Z32" s="312"/>
      <c r="AA32" s="312"/>
      <c r="AB32" s="312"/>
      <c r="AC32" s="312"/>
      <c r="AD32" s="312"/>
      <c r="AE32" s="312"/>
      <c r="AF32" s="312"/>
      <c r="AG32" s="312"/>
      <c r="AH32" s="312"/>
      <c r="AI32" s="312"/>
      <c r="AJ32" s="312"/>
      <c r="AK32" s="312"/>
      <c r="AL32" s="312"/>
      <c r="AM32" s="312"/>
      <c r="AN32" s="312"/>
      <c r="AO32" s="312"/>
      <c r="AP32" s="312"/>
      <c r="AQ32" s="312"/>
      <c r="AR32" s="312"/>
      <c r="AS32" s="312"/>
      <c r="AT32" s="312"/>
      <c r="AU32" s="322"/>
      <c r="AV32" s="312"/>
      <c r="AW32" s="312"/>
      <c r="AX32" s="312"/>
      <c r="AY32" s="312"/>
      <c r="AZ32" s="312"/>
      <c r="BA32" s="312"/>
      <c r="BB32" s="312"/>
      <c r="BC32" s="312"/>
      <c r="BD32" s="312"/>
      <c r="BE32" s="312"/>
      <c r="BF32" s="312"/>
      <c r="BG32" s="312"/>
      <c r="BH32" s="312"/>
      <c r="BI32" s="312"/>
      <c r="BJ32" s="312"/>
      <c r="BK32" s="312"/>
      <c r="BL32" s="312"/>
      <c r="BM32" s="312"/>
      <c r="BN32" s="312"/>
    </row>
    <row r="33" spans="1:66" x14ac:dyDescent="0.25">
      <c r="D33" s="3190" t="s">
        <v>235</v>
      </c>
      <c r="E33" s="1758"/>
      <c r="F33" s="2697"/>
      <c r="G33" s="349"/>
      <c r="H33" s="349"/>
      <c r="I33" s="349"/>
      <c r="J33" s="349"/>
      <c r="K33" s="349"/>
      <c r="L33" s="350">
        <v>0.15600550699999999</v>
      </c>
      <c r="M33" s="336"/>
      <c r="N33" s="335"/>
      <c r="O33" s="335"/>
      <c r="P33" s="337"/>
      <c r="Q33" s="337">
        <v>0.19221838999999999</v>
      </c>
      <c r="R33" s="337">
        <v>0.19141688099999998</v>
      </c>
      <c r="S33" s="337">
        <v>0.20771941999999999</v>
      </c>
      <c r="T33" s="3199">
        <v>0.20126053499999999</v>
      </c>
      <c r="U33" s="325"/>
      <c r="V33" s="312"/>
      <c r="W33" s="312"/>
      <c r="X33" s="312"/>
      <c r="Y33" s="312"/>
      <c r="Z33" s="312"/>
      <c r="AA33" s="312"/>
      <c r="AB33" s="312"/>
      <c r="AC33" s="312"/>
      <c r="AD33" s="312"/>
      <c r="AE33" s="312"/>
      <c r="AF33" s="312"/>
      <c r="AG33" s="312"/>
      <c r="AH33" s="312"/>
      <c r="AI33" s="312"/>
      <c r="AJ33" s="312"/>
      <c r="AK33" s="312"/>
      <c r="AL33" s="312"/>
      <c r="AM33" s="312"/>
      <c r="AN33" s="312"/>
      <c r="AO33" s="312"/>
      <c r="AP33" s="312"/>
      <c r="AQ33" s="312"/>
      <c r="AR33" s="312"/>
      <c r="AS33" s="312"/>
      <c r="AT33" s="312"/>
      <c r="AU33" s="322"/>
      <c r="AV33" s="312"/>
      <c r="AW33" s="312"/>
      <c r="AX33" s="312"/>
      <c r="AY33" s="312"/>
      <c r="AZ33" s="312"/>
      <c r="BA33" s="312"/>
      <c r="BB33" s="312"/>
      <c r="BC33" s="312"/>
      <c r="BD33" s="312"/>
      <c r="BE33" s="312"/>
      <c r="BF33" s="312"/>
      <c r="BG33" s="312"/>
      <c r="BH33" s="312"/>
      <c r="BI33" s="312"/>
      <c r="BJ33" s="312"/>
      <c r="BK33" s="312"/>
      <c r="BL33" s="312"/>
      <c r="BM33" s="312"/>
      <c r="BN33" s="312"/>
    </row>
    <row r="34" spans="1:66" x14ac:dyDescent="0.25">
      <c r="D34" s="3190" t="s">
        <v>236</v>
      </c>
      <c r="E34" s="2698"/>
      <c r="F34" s="2697"/>
      <c r="G34" s="348">
        <v>0.57567518100000004</v>
      </c>
      <c r="H34" s="348">
        <v>0.59254396100000006</v>
      </c>
      <c r="I34" s="342">
        <v>0.59925978000000002</v>
      </c>
      <c r="J34" s="342">
        <v>0.60641471400000002</v>
      </c>
      <c r="K34" s="342">
        <v>0.64851322700000003</v>
      </c>
      <c r="L34" s="337">
        <v>0.66745162699999994</v>
      </c>
      <c r="M34" s="343">
        <v>0.69533075600000005</v>
      </c>
      <c r="N34" s="335"/>
      <c r="O34" s="344">
        <v>0.75521570800000004</v>
      </c>
      <c r="P34" s="337">
        <v>0.77721346000000002</v>
      </c>
      <c r="Q34" s="347">
        <v>0.77721346000000002</v>
      </c>
      <c r="R34" s="348">
        <v>0.79229503600000006</v>
      </c>
      <c r="S34" s="348">
        <v>0.80932900099999994</v>
      </c>
      <c r="T34" s="3201">
        <v>0.80382913200000006</v>
      </c>
      <c r="U34" s="325"/>
      <c r="V34" s="312"/>
      <c r="W34" s="312"/>
      <c r="X34" s="312"/>
      <c r="Y34" s="312"/>
      <c r="Z34" s="312"/>
      <c r="AA34" s="312"/>
      <c r="AB34" s="312"/>
      <c r="AC34" s="312"/>
      <c r="AD34" s="312"/>
      <c r="AE34" s="312"/>
      <c r="AF34" s="312"/>
      <c r="AG34" s="312"/>
      <c r="AH34" s="312"/>
      <c r="AI34" s="312"/>
      <c r="AJ34" s="312"/>
      <c r="AK34" s="312"/>
      <c r="AL34" s="312"/>
      <c r="AM34" s="312"/>
      <c r="AN34" s="312"/>
      <c r="AO34" s="312"/>
      <c r="AP34" s="312"/>
      <c r="AQ34" s="312"/>
      <c r="AR34" s="312"/>
      <c r="AS34" s="312"/>
      <c r="AT34" s="312"/>
      <c r="AU34" s="322"/>
      <c r="AV34" s="312"/>
      <c r="AW34" s="312"/>
      <c r="AX34" s="312"/>
      <c r="AY34" s="312"/>
      <c r="AZ34" s="312"/>
      <c r="BA34" s="312"/>
      <c r="BB34" s="312"/>
      <c r="BC34" s="312"/>
      <c r="BD34" s="312"/>
      <c r="BE34" s="312"/>
      <c r="BF34" s="312"/>
      <c r="BG34" s="312"/>
      <c r="BH34" s="312"/>
      <c r="BI34" s="312"/>
      <c r="BJ34" s="312"/>
      <c r="BK34" s="312"/>
      <c r="BL34" s="312"/>
      <c r="BM34" s="312"/>
      <c r="BN34" s="312"/>
    </row>
    <row r="35" spans="1:66" x14ac:dyDescent="0.25">
      <c r="D35" s="3193" t="s">
        <v>237</v>
      </c>
      <c r="E35" s="2702"/>
      <c r="F35" s="1759"/>
      <c r="G35" s="351">
        <v>0.25679812499999999</v>
      </c>
      <c r="H35" s="351">
        <v>0.23536975800000001</v>
      </c>
      <c r="I35" s="351">
        <v>0.22703006100000001</v>
      </c>
      <c r="J35" s="351">
        <v>0.21212214899999998</v>
      </c>
      <c r="K35" s="351">
        <v>0.19598807900000001</v>
      </c>
      <c r="L35" s="351">
        <v>0.181165305</v>
      </c>
      <c r="M35" s="351">
        <v>0.178794335</v>
      </c>
      <c r="N35" s="351">
        <v>0.16526255200000001</v>
      </c>
      <c r="O35" s="351">
        <v>0.16333753099999998</v>
      </c>
      <c r="P35" s="352">
        <v>0.15137735699999999</v>
      </c>
      <c r="Q35" s="352">
        <v>0.14106903300000001</v>
      </c>
      <c r="R35" s="352">
        <v>0.12986304000000001</v>
      </c>
      <c r="S35" s="352">
        <v>0.12703294800000001</v>
      </c>
      <c r="T35" s="3202">
        <v>0.10944050399999999</v>
      </c>
      <c r="U35" s="325"/>
      <c r="V35" s="312"/>
      <c r="W35" s="312"/>
      <c r="X35" s="312"/>
      <c r="Y35" s="312"/>
      <c r="Z35" s="312"/>
      <c r="AA35" s="312"/>
      <c r="AB35" s="312"/>
      <c r="AC35" s="312"/>
      <c r="AD35" s="312"/>
      <c r="AE35" s="312"/>
      <c r="AF35" s="312"/>
      <c r="AG35" s="312"/>
      <c r="AH35" s="312"/>
      <c r="AI35" s="312"/>
      <c r="AJ35" s="312"/>
      <c r="AK35" s="312"/>
      <c r="AL35" s="312"/>
      <c r="AM35" s="312"/>
      <c r="AN35" s="312"/>
      <c r="AO35" s="312"/>
      <c r="AP35" s="312"/>
      <c r="AQ35" s="312"/>
      <c r="AR35" s="312"/>
      <c r="AS35" s="312"/>
      <c r="AT35" s="312"/>
      <c r="AU35" s="322"/>
      <c r="AV35" s="312"/>
      <c r="AW35" s="312"/>
      <c r="AX35" s="312"/>
      <c r="AY35" s="312"/>
      <c r="AZ35" s="312"/>
      <c r="BA35" s="312"/>
      <c r="BB35" s="312"/>
      <c r="BC35" s="312"/>
      <c r="BD35" s="312"/>
      <c r="BE35" s="312"/>
      <c r="BF35" s="312"/>
      <c r="BG35" s="312"/>
      <c r="BH35" s="312"/>
      <c r="BI35" s="312"/>
      <c r="BJ35" s="312"/>
      <c r="BK35" s="312"/>
      <c r="BL35" s="312"/>
      <c r="BM35" s="312"/>
      <c r="BN35" s="312"/>
    </row>
    <row r="36" spans="1:66" x14ac:dyDescent="0.25">
      <c r="D36" s="324"/>
      <c r="E36" s="324"/>
      <c r="F36" s="335"/>
      <c r="G36" s="335"/>
      <c r="H36" s="335"/>
      <c r="I36" s="335"/>
      <c r="J36" s="335"/>
      <c r="K36" s="335"/>
      <c r="L36" s="335"/>
      <c r="M36" s="335"/>
      <c r="N36" s="335"/>
      <c r="O36" s="335"/>
      <c r="P36" s="335"/>
      <c r="Q36" s="335"/>
      <c r="R36" s="325"/>
      <c r="S36" s="325"/>
      <c r="T36" s="325"/>
      <c r="U36" s="325"/>
      <c r="V36" s="312"/>
      <c r="W36" s="312"/>
      <c r="X36" s="312"/>
      <c r="Y36" s="312"/>
      <c r="Z36" s="312"/>
      <c r="AA36" s="312"/>
      <c r="AB36" s="312"/>
      <c r="AC36" s="312"/>
      <c r="AD36" s="312"/>
      <c r="AE36" s="312"/>
      <c r="AF36" s="312"/>
      <c r="AG36" s="312"/>
      <c r="AH36" s="312"/>
      <c r="AI36" s="312"/>
      <c r="AJ36" s="312"/>
      <c r="AK36" s="312"/>
      <c r="AL36" s="312"/>
      <c r="AM36" s="312"/>
      <c r="AN36" s="312"/>
      <c r="AO36" s="312"/>
      <c r="AP36" s="312"/>
      <c r="AQ36" s="312"/>
      <c r="AR36" s="312"/>
      <c r="AS36" s="312"/>
      <c r="AT36" s="312"/>
      <c r="AU36" s="322"/>
      <c r="AV36" s="312"/>
      <c r="AW36" s="312"/>
      <c r="AX36" s="312"/>
      <c r="AY36" s="312"/>
      <c r="AZ36" s="312"/>
      <c r="BA36" s="312"/>
      <c r="BB36" s="312"/>
      <c r="BC36" s="312"/>
      <c r="BD36" s="312"/>
      <c r="BE36" s="312"/>
      <c r="BF36" s="312"/>
      <c r="BG36" s="312"/>
      <c r="BH36" s="312"/>
      <c r="BI36" s="312"/>
      <c r="BJ36" s="312"/>
      <c r="BK36" s="312"/>
      <c r="BL36" s="312"/>
      <c r="BM36" s="312"/>
      <c r="BN36" s="312"/>
    </row>
    <row r="37" spans="1:66" x14ac:dyDescent="0.25">
      <c r="D37" s="324"/>
      <c r="E37" s="324"/>
      <c r="F37" s="324"/>
      <c r="G37" s="325"/>
      <c r="H37" s="325"/>
      <c r="I37" s="326"/>
      <c r="J37" s="325"/>
      <c r="K37" s="325"/>
      <c r="L37" s="325"/>
      <c r="M37" s="325"/>
      <c r="N37" s="325"/>
      <c r="O37" s="325"/>
      <c r="P37" s="325"/>
      <c r="Q37" s="312"/>
      <c r="R37" s="312"/>
      <c r="S37" s="312"/>
      <c r="T37" s="312"/>
      <c r="U37" s="312"/>
      <c r="V37" s="312"/>
      <c r="W37" s="312"/>
      <c r="X37" s="312"/>
      <c r="Y37" s="312"/>
      <c r="Z37" s="312"/>
      <c r="AA37" s="312"/>
      <c r="AB37" s="312"/>
      <c r="AC37" s="312"/>
      <c r="AD37" s="312"/>
      <c r="AE37" s="312"/>
      <c r="AF37" s="312"/>
      <c r="AG37" s="312"/>
      <c r="AH37" s="312"/>
      <c r="AI37" s="312"/>
      <c r="AJ37" s="312"/>
      <c r="AK37" s="312"/>
      <c r="AL37" s="312"/>
      <c r="AM37" s="312"/>
      <c r="AN37" s="312"/>
      <c r="AO37" s="312"/>
      <c r="AP37" s="312"/>
      <c r="AQ37" s="322"/>
      <c r="AR37" s="312"/>
      <c r="AS37" s="312"/>
      <c r="AT37" s="312"/>
      <c r="AU37" s="312"/>
      <c r="AV37" s="312"/>
      <c r="AW37" s="312"/>
      <c r="AX37" s="312"/>
      <c r="AY37" s="312"/>
      <c r="AZ37" s="312"/>
      <c r="BA37" s="312"/>
      <c r="BB37" s="312"/>
      <c r="BC37" s="312"/>
      <c r="BD37" s="312"/>
      <c r="BE37" s="312"/>
      <c r="BF37" s="312"/>
      <c r="BG37" s="312"/>
      <c r="BH37" s="312"/>
      <c r="BI37" s="312"/>
      <c r="BJ37" s="312"/>
    </row>
    <row r="38" spans="1:66" x14ac:dyDescent="0.25">
      <c r="A38" s="303">
        <v>5</v>
      </c>
      <c r="B38" s="304" t="s">
        <v>78</v>
      </c>
      <c r="C38" s="303"/>
      <c r="D38" s="3538" t="s">
        <v>239</v>
      </c>
      <c r="E38" s="3539"/>
      <c r="F38" s="3539"/>
      <c r="G38" s="3539"/>
      <c r="H38" s="3539"/>
      <c r="I38" s="3539"/>
      <c r="J38" s="3539"/>
      <c r="K38" s="3539"/>
      <c r="L38" s="3539"/>
      <c r="M38" s="3539"/>
      <c r="N38" s="3539"/>
      <c r="O38" s="3539"/>
      <c r="P38" s="3539"/>
      <c r="Q38" s="3539"/>
      <c r="R38" s="3539"/>
      <c r="S38" s="3539"/>
      <c r="T38" s="3540"/>
      <c r="AQ38" s="322"/>
    </row>
    <row r="39" spans="1:66" ht="117.75" customHeight="1" x14ac:dyDescent="0.25">
      <c r="A39" s="353">
        <v>6</v>
      </c>
      <c r="B39" s="354" t="s">
        <v>80</v>
      </c>
      <c r="C39" s="353"/>
      <c r="D39" s="3607" t="s">
        <v>240</v>
      </c>
      <c r="E39" s="3608"/>
      <c r="F39" s="3608"/>
      <c r="G39" s="3608"/>
      <c r="H39" s="3608"/>
      <c r="I39" s="3608"/>
      <c r="J39" s="3608"/>
      <c r="K39" s="3608"/>
      <c r="L39" s="3608"/>
      <c r="M39" s="3608"/>
      <c r="N39" s="3608"/>
      <c r="O39" s="3608"/>
      <c r="P39" s="3608"/>
      <c r="Q39" s="3608"/>
      <c r="R39" s="3608"/>
      <c r="S39" s="3608"/>
      <c r="T39" s="3609"/>
      <c r="AQ39" s="322"/>
    </row>
    <row r="40" spans="1:66" ht="54" customHeight="1" x14ac:dyDescent="0.25">
      <c r="A40" s="303">
        <v>7</v>
      </c>
      <c r="B40" s="304" t="s">
        <v>20</v>
      </c>
      <c r="C40" s="303"/>
      <c r="D40" s="3538" t="s">
        <v>241</v>
      </c>
      <c r="E40" s="3539"/>
      <c r="F40" s="3539"/>
      <c r="G40" s="3539"/>
      <c r="H40" s="3539"/>
      <c r="I40" s="3539"/>
      <c r="J40" s="3539"/>
      <c r="K40" s="3539"/>
      <c r="L40" s="3539"/>
      <c r="M40" s="3539"/>
      <c r="N40" s="3539"/>
      <c r="O40" s="3539"/>
      <c r="P40" s="3539"/>
      <c r="Q40" s="3539"/>
      <c r="R40" s="3539"/>
      <c r="S40" s="3539"/>
      <c r="T40" s="3540"/>
      <c r="AQ40" s="322"/>
    </row>
    <row r="41" spans="1:66" ht="51" customHeight="1" x14ac:dyDescent="0.25">
      <c r="A41" s="303">
        <v>8</v>
      </c>
      <c r="B41" s="304" t="s">
        <v>83</v>
      </c>
      <c r="C41" s="303"/>
      <c r="D41" s="3538" t="s">
        <v>242</v>
      </c>
      <c r="E41" s="3539"/>
      <c r="F41" s="3539"/>
      <c r="G41" s="3539"/>
      <c r="H41" s="3539"/>
      <c r="I41" s="3539"/>
      <c r="J41" s="3539"/>
      <c r="K41" s="3539"/>
      <c r="L41" s="3539"/>
      <c r="M41" s="3539"/>
      <c r="N41" s="3539"/>
      <c r="O41" s="3539"/>
      <c r="P41" s="3539"/>
      <c r="Q41" s="3539"/>
      <c r="R41" s="3539"/>
      <c r="S41" s="3539"/>
      <c r="T41" s="3540"/>
      <c r="AQ41" s="322"/>
    </row>
    <row r="42" spans="1:66" x14ac:dyDescent="0.25">
      <c r="Q42" s="302" t="s">
        <v>17</v>
      </c>
    </row>
    <row r="46" spans="1:66" x14ac:dyDescent="0.25">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row>
    <row r="47" spans="1:66" x14ac:dyDescent="0.25">
      <c r="BE47" s="355"/>
      <c r="BF47" s="355"/>
      <c r="BG47" s="355"/>
      <c r="BH47" s="355"/>
      <c r="BI47" s="355"/>
      <c r="BJ47" s="355"/>
    </row>
    <row r="48" spans="1:66" x14ac:dyDescent="0.25">
      <c r="BE48" s="356"/>
      <c r="BF48" s="356"/>
      <c r="BG48" s="356"/>
      <c r="BH48" s="356"/>
      <c r="BI48" s="356"/>
      <c r="BJ48" s="356"/>
    </row>
    <row r="51" spans="2:15" x14ac:dyDescent="0.25">
      <c r="B51" s="304"/>
      <c r="C51" s="303"/>
      <c r="H51" s="357"/>
      <c r="I51" s="357"/>
      <c r="J51" s="357"/>
      <c r="K51" s="357"/>
      <c r="L51" s="357"/>
      <c r="M51" s="357"/>
      <c r="N51" s="357"/>
      <c r="O51" s="357"/>
    </row>
    <row r="52" spans="2:15" x14ac:dyDescent="0.25">
      <c r="B52" s="304"/>
      <c r="C52" s="303"/>
      <c r="H52" s="357"/>
      <c r="I52" s="357"/>
      <c r="J52" s="357"/>
      <c r="K52" s="357"/>
      <c r="L52" s="357"/>
      <c r="M52" s="357"/>
      <c r="N52" s="357"/>
      <c r="O52" s="357"/>
    </row>
    <row r="53" spans="2:15" x14ac:dyDescent="0.25">
      <c r="B53" s="304"/>
      <c r="C53" s="303"/>
      <c r="H53" s="357"/>
      <c r="I53" s="357"/>
      <c r="J53" s="357"/>
      <c r="K53" s="357"/>
      <c r="L53" s="358"/>
      <c r="M53" s="357"/>
      <c r="N53" s="357"/>
      <c r="O53" s="357"/>
    </row>
    <row r="54" spans="2:15" x14ac:dyDescent="0.25">
      <c r="B54" s="304"/>
      <c r="C54" s="303"/>
      <c r="H54" s="357"/>
      <c r="I54" s="357"/>
      <c r="J54" s="357"/>
      <c r="K54" s="357"/>
      <c r="L54" s="358"/>
      <c r="M54" s="357"/>
      <c r="N54" s="357"/>
      <c r="O54" s="357"/>
    </row>
    <row r="55" spans="2:15" x14ac:dyDescent="0.25">
      <c r="B55" s="304"/>
      <c r="C55" s="303"/>
      <c r="H55" s="357"/>
      <c r="I55" s="357"/>
      <c r="J55" s="357"/>
      <c r="K55" s="357"/>
      <c r="L55" s="357"/>
      <c r="M55" s="357"/>
      <c r="N55" s="357"/>
      <c r="O55" s="357"/>
    </row>
    <row r="56" spans="2:15" x14ac:dyDescent="0.25">
      <c r="B56" s="304"/>
      <c r="C56" s="303"/>
      <c r="H56" s="357"/>
      <c r="I56" s="357"/>
      <c r="J56" s="357"/>
      <c r="K56" s="357"/>
      <c r="L56" s="357"/>
      <c r="M56" s="357"/>
      <c r="N56" s="357"/>
      <c r="O56" s="357"/>
    </row>
    <row r="57" spans="2:15" x14ac:dyDescent="0.25">
      <c r="B57" s="304"/>
      <c r="C57" s="303"/>
      <c r="H57" s="357"/>
      <c r="I57" s="357"/>
      <c r="J57" s="357"/>
      <c r="K57" s="357"/>
      <c r="L57" s="357"/>
      <c r="M57" s="357"/>
      <c r="N57" s="357"/>
      <c r="O57" s="357"/>
    </row>
    <row r="58" spans="2:15" x14ac:dyDescent="0.25">
      <c r="B58" s="304"/>
      <c r="C58" s="303"/>
      <c r="H58" s="357"/>
      <c r="I58" s="357"/>
      <c r="J58" s="357"/>
      <c r="K58" s="357"/>
      <c r="L58" s="357"/>
      <c r="M58" s="357"/>
      <c r="N58" s="357"/>
      <c r="O58" s="357"/>
    </row>
    <row r="59" spans="2:15" x14ac:dyDescent="0.25">
      <c r="B59" s="304"/>
      <c r="C59" s="303"/>
    </row>
    <row r="60" spans="2:15" x14ac:dyDescent="0.25">
      <c r="B60" s="304"/>
      <c r="C60" s="303"/>
    </row>
    <row r="61" spans="2:15" x14ac:dyDescent="0.25">
      <c r="B61" s="304"/>
      <c r="C61" s="303"/>
    </row>
    <row r="62" spans="2:15" x14ac:dyDescent="0.25">
      <c r="B62" s="304"/>
      <c r="C62" s="303"/>
    </row>
    <row r="63" spans="2:15" x14ac:dyDescent="0.25">
      <c r="B63" s="304"/>
      <c r="C63" s="303"/>
    </row>
    <row r="64" spans="2:15" x14ac:dyDescent="0.25">
      <c r="B64" s="304"/>
      <c r="C64" s="303"/>
    </row>
    <row r="65" spans="2:31" x14ac:dyDescent="0.25">
      <c r="B65" s="304"/>
      <c r="C65" s="303"/>
    </row>
    <row r="66" spans="2:31" x14ac:dyDescent="0.25">
      <c r="B66" s="304"/>
      <c r="C66" s="303"/>
    </row>
    <row r="67" spans="2:31" x14ac:dyDescent="0.25">
      <c r="B67" s="304"/>
      <c r="C67" s="303"/>
    </row>
    <row r="68" spans="2:31" x14ac:dyDescent="0.25">
      <c r="B68" s="304"/>
      <c r="C68" s="303"/>
      <c r="D68" s="359"/>
      <c r="E68" s="359"/>
      <c r="F68" s="359"/>
      <c r="G68" s="3602"/>
      <c r="H68" s="3603"/>
      <c r="I68" s="3603"/>
      <c r="J68" s="3603"/>
      <c r="K68" s="3603"/>
      <c r="L68" s="3603"/>
      <c r="M68" s="3603"/>
      <c r="N68" s="3603"/>
      <c r="O68" s="3603"/>
      <c r="P68" s="3603"/>
      <c r="Q68" s="3603"/>
      <c r="R68" s="3603"/>
      <c r="S68" s="3603"/>
      <c r="T68" s="3603"/>
      <c r="U68" s="3603"/>
      <c r="V68" s="3603"/>
      <c r="W68" s="3603"/>
      <c r="X68" s="3603"/>
      <c r="Y68" s="3603"/>
      <c r="Z68" s="3603"/>
      <c r="AA68" s="3603"/>
      <c r="AB68" s="3603"/>
      <c r="AC68" s="3603"/>
      <c r="AD68" s="3603"/>
      <c r="AE68" s="3604"/>
    </row>
    <row r="69" spans="2:31" x14ac:dyDescent="0.25">
      <c r="B69" s="360"/>
      <c r="C69" s="361"/>
      <c r="D69" s="362"/>
      <c r="E69" s="362"/>
      <c r="F69" s="362"/>
      <c r="G69" s="3605"/>
      <c r="H69" s="3606"/>
      <c r="I69" s="3606"/>
      <c r="J69" s="3606"/>
      <c r="K69" s="3606"/>
      <c r="L69" s="3606"/>
      <c r="M69" s="3606"/>
      <c r="N69" s="3606"/>
      <c r="O69" s="3606"/>
      <c r="P69" s="3606"/>
      <c r="Q69" s="3606"/>
      <c r="R69" s="3606"/>
      <c r="S69" s="3606"/>
      <c r="T69" s="3606"/>
      <c r="U69" s="3606"/>
      <c r="V69" s="3606"/>
      <c r="W69" s="3606"/>
      <c r="X69" s="363"/>
      <c r="Y69" s="363"/>
      <c r="Z69" s="363"/>
      <c r="AA69" s="363"/>
      <c r="AB69" s="363"/>
      <c r="AC69" s="363"/>
      <c r="AD69" s="363"/>
      <c r="AE69" s="364"/>
    </row>
    <row r="70" spans="2:31" x14ac:dyDescent="0.25">
      <c r="B70" s="365"/>
      <c r="C70" s="366"/>
      <c r="D70" s="367"/>
      <c r="E70" s="367"/>
      <c r="F70" s="367"/>
      <c r="G70" s="3602"/>
      <c r="H70" s="3603"/>
      <c r="I70" s="3603"/>
      <c r="J70" s="3603"/>
      <c r="K70" s="3603"/>
      <c r="L70" s="3603"/>
      <c r="M70" s="3603"/>
      <c r="N70" s="3603"/>
      <c r="O70" s="3603"/>
      <c r="P70" s="3603"/>
      <c r="Q70" s="3603"/>
      <c r="R70" s="3603"/>
      <c r="S70" s="3603"/>
      <c r="T70" s="3603"/>
      <c r="U70" s="3603"/>
      <c r="V70" s="3603"/>
      <c r="W70" s="3603"/>
      <c r="X70" s="363"/>
      <c r="Y70" s="363"/>
      <c r="Z70" s="363"/>
      <c r="AA70" s="363"/>
      <c r="AB70" s="363"/>
      <c r="AC70" s="363"/>
      <c r="AD70" s="363"/>
      <c r="AE70" s="364"/>
    </row>
  </sheetData>
  <mergeCells count="10">
    <mergeCell ref="D2:T2"/>
    <mergeCell ref="D3:T3"/>
    <mergeCell ref="D4:T4"/>
    <mergeCell ref="D38:T38"/>
    <mergeCell ref="D39:T39"/>
    <mergeCell ref="G68:AE68"/>
    <mergeCell ref="G69:W69"/>
    <mergeCell ref="G70:W70"/>
    <mergeCell ref="D40:T40"/>
    <mergeCell ref="D41:T41"/>
  </mergeCells>
  <pageMargins left="0.74803149606299213" right="0.74803149606299213" top="0.98425196850393704" bottom="0.98425196850393704" header="0.51181102362204722" footer="0.51181102362204722"/>
  <pageSetup paperSize="9" scale="59" orientation="landscape" r:id="rId1"/>
  <headerFooter alignWithMargins="0">
    <oddHeader>&amp;C&amp;"-,Bold"DEVELOPMENT INDICATORS 2014</oddHeader>
    <oddFooter>&amp;LDepartment of Planning, Monitoring and Evaluation (DPME). &amp;CPage &amp;P of &amp;N&amp;R&amp;D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P59"/>
  <sheetViews>
    <sheetView showGridLines="0" view="pageBreakPreview" topLeftCell="J16" zoomScaleNormal="100" zoomScaleSheetLayoutView="100" workbookViewId="0">
      <selection activeCell="V48" sqref="V48:V54"/>
    </sheetView>
  </sheetViews>
  <sheetFormatPr defaultColWidth="9.140625" defaultRowHeight="15" x14ac:dyDescent="0.25"/>
  <cols>
    <col min="1" max="1" width="3.7109375" style="113" customWidth="1"/>
    <col min="2" max="2" width="14.42578125" style="110" customWidth="1"/>
    <col min="3" max="3" width="3.7109375" style="111" customWidth="1"/>
    <col min="4" max="4" width="22" style="51" customWidth="1"/>
    <col min="5" max="5" width="10.5703125" style="51" customWidth="1"/>
    <col min="6" max="17" width="8.7109375" style="51" customWidth="1"/>
    <col min="18" max="19" width="9.140625" style="59"/>
    <col min="20" max="16384" width="9.140625" style="51"/>
  </cols>
  <sheetData>
    <row r="1" spans="1:24" x14ac:dyDescent="0.25">
      <c r="D1" s="112"/>
      <c r="E1" s="112"/>
      <c r="F1" s="112"/>
      <c r="G1" s="112"/>
      <c r="H1" s="112"/>
      <c r="I1" s="112"/>
      <c r="J1" s="112"/>
      <c r="K1" s="112"/>
      <c r="L1" s="112"/>
      <c r="M1" s="112"/>
      <c r="N1" s="112"/>
      <c r="O1" s="112"/>
      <c r="P1" s="112"/>
      <c r="Q1" s="112"/>
    </row>
    <row r="2" spans="1:24" ht="12.75" customHeight="1" x14ac:dyDescent="0.25">
      <c r="A2" s="113">
        <v>1</v>
      </c>
      <c r="B2" s="114" t="s">
        <v>24</v>
      </c>
      <c r="C2" s="113">
        <f>1+[6]ICT!C2</f>
        <v>12</v>
      </c>
      <c r="D2" s="3610" t="s">
        <v>243</v>
      </c>
      <c r="E2" s="3611"/>
      <c r="F2" s="3611"/>
      <c r="G2" s="3611"/>
      <c r="H2" s="3611"/>
      <c r="I2" s="3611"/>
      <c r="J2" s="3611"/>
      <c r="K2" s="3611"/>
      <c r="L2" s="3611"/>
      <c r="M2" s="3611"/>
      <c r="N2" s="3611"/>
      <c r="O2" s="3611"/>
      <c r="P2" s="3611"/>
      <c r="Q2" s="3611"/>
      <c r="R2" s="3611"/>
      <c r="S2" s="3611"/>
      <c r="T2" s="3611"/>
      <c r="U2" s="3611"/>
      <c r="V2" s="3611"/>
      <c r="W2" s="3611"/>
      <c r="X2" s="3612"/>
    </row>
    <row r="3" spans="1:24" x14ac:dyDescent="0.25">
      <c r="A3" s="113">
        <v>2</v>
      </c>
      <c r="B3" s="114" t="s">
        <v>26</v>
      </c>
      <c r="C3" s="113"/>
      <c r="D3" s="3553" t="s">
        <v>197</v>
      </c>
      <c r="E3" s="3554"/>
      <c r="F3" s="3554"/>
      <c r="G3" s="3554"/>
      <c r="H3" s="3554"/>
      <c r="I3" s="3554"/>
      <c r="J3" s="3554"/>
      <c r="K3" s="3554"/>
      <c r="L3" s="3554"/>
      <c r="M3" s="3554"/>
      <c r="N3" s="3554"/>
      <c r="O3" s="3554"/>
      <c r="P3" s="3554"/>
      <c r="Q3" s="3554"/>
      <c r="R3" s="3554"/>
      <c r="S3" s="3554"/>
      <c r="T3" s="3554"/>
      <c r="U3" s="3554"/>
      <c r="V3" s="3554"/>
      <c r="W3" s="3554"/>
      <c r="X3" s="3555"/>
    </row>
    <row r="4" spans="1:24" ht="12.75" customHeight="1" x14ac:dyDescent="0.25">
      <c r="A4" s="113">
        <v>3</v>
      </c>
      <c r="B4" s="114" t="s">
        <v>28</v>
      </c>
      <c r="C4" s="113"/>
      <c r="D4" s="3553" t="s">
        <v>244</v>
      </c>
      <c r="E4" s="3554"/>
      <c r="F4" s="3554"/>
      <c r="G4" s="3554"/>
      <c r="H4" s="3554"/>
      <c r="I4" s="3554"/>
      <c r="J4" s="3554"/>
      <c r="K4" s="3554"/>
      <c r="L4" s="3554"/>
      <c r="M4" s="3554"/>
      <c r="N4" s="3554"/>
      <c r="O4" s="3554"/>
      <c r="P4" s="3554"/>
      <c r="Q4" s="3554"/>
      <c r="R4" s="3554"/>
      <c r="S4" s="3554"/>
      <c r="T4" s="3554"/>
      <c r="U4" s="3554"/>
      <c r="V4" s="3554"/>
      <c r="W4" s="3554"/>
      <c r="X4" s="3555"/>
    </row>
    <row r="5" spans="1:24" x14ac:dyDescent="0.25">
      <c r="A5" s="113">
        <v>4</v>
      </c>
      <c r="B5" s="114" t="s">
        <v>1</v>
      </c>
      <c r="D5" s="273"/>
      <c r="E5" s="273"/>
      <c r="F5" s="274"/>
      <c r="G5" s="275"/>
      <c r="H5" s="275"/>
      <c r="I5" s="275"/>
      <c r="J5" s="275"/>
      <c r="K5" s="275"/>
      <c r="L5" s="275"/>
      <c r="M5" s="275"/>
      <c r="N5" s="275"/>
      <c r="O5" s="275"/>
      <c r="P5" s="275"/>
      <c r="Q5" s="122"/>
    </row>
    <row r="6" spans="1:24" s="77" customFormat="1" ht="11.25" x14ac:dyDescent="0.2">
      <c r="A6" s="126"/>
      <c r="B6" s="127"/>
      <c r="C6" s="128"/>
      <c r="D6" s="120" t="s">
        <v>31</v>
      </c>
      <c r="E6" s="120"/>
      <c r="F6" s="120" t="s">
        <v>245</v>
      </c>
      <c r="G6" s="120"/>
      <c r="H6" s="120"/>
      <c r="I6" s="120"/>
      <c r="J6" s="120"/>
      <c r="K6" s="368"/>
      <c r="L6" s="368"/>
      <c r="M6" s="368"/>
      <c r="N6" s="368"/>
      <c r="O6" s="368"/>
      <c r="P6" s="275"/>
      <c r="Q6" s="277"/>
      <c r="R6" s="58"/>
      <c r="S6" s="58"/>
    </row>
    <row r="7" spans="1:24" s="77" customFormat="1" ht="11.25" x14ac:dyDescent="0.2">
      <c r="A7" s="126"/>
      <c r="B7" s="127"/>
      <c r="C7" s="128"/>
      <c r="D7" s="3211"/>
      <c r="E7" s="119">
        <v>2002</v>
      </c>
      <c r="F7" s="119">
        <v>2003</v>
      </c>
      <c r="G7" s="119">
        <v>2004</v>
      </c>
      <c r="H7" s="119">
        <v>2005</v>
      </c>
      <c r="I7" s="119">
        <v>2006</v>
      </c>
      <c r="J7" s="119">
        <v>2007</v>
      </c>
      <c r="K7" s="119">
        <v>2008</v>
      </c>
      <c r="L7" s="119">
        <v>2009</v>
      </c>
      <c r="M7" s="119">
        <v>2010</v>
      </c>
      <c r="N7" s="119">
        <v>2011</v>
      </c>
      <c r="O7" s="119">
        <v>2012</v>
      </c>
      <c r="P7" s="369">
        <v>2013</v>
      </c>
      <c r="Q7" s="3203">
        <v>2014</v>
      </c>
      <c r="R7" s="58"/>
      <c r="S7" s="58"/>
    </row>
    <row r="8" spans="1:24" s="77" customFormat="1" ht="11.25" x14ac:dyDescent="0.2">
      <c r="A8" s="126"/>
      <c r="B8" s="127"/>
      <c r="C8" s="128"/>
      <c r="D8" s="3212" t="s">
        <v>246</v>
      </c>
      <c r="E8" s="370"/>
      <c r="F8" s="371">
        <v>10029</v>
      </c>
      <c r="G8" s="371">
        <v>10493</v>
      </c>
      <c r="H8" s="371">
        <v>10464</v>
      </c>
      <c r="I8" s="371">
        <v>10753</v>
      </c>
      <c r="J8" s="371">
        <v>10830</v>
      </c>
      <c r="K8" s="371">
        <v>10191</v>
      </c>
      <c r="L8" s="371">
        <v>9271</v>
      </c>
      <c r="M8" s="371">
        <v>9352</v>
      </c>
      <c r="N8" s="371">
        <v>9426</v>
      </c>
      <c r="O8" s="1548">
        <v>8906</v>
      </c>
      <c r="P8" s="1548">
        <v>10676</v>
      </c>
      <c r="Q8" s="3204">
        <v>10676</v>
      </c>
      <c r="R8" s="58"/>
      <c r="S8" s="58"/>
    </row>
    <row r="9" spans="1:24" s="77" customFormat="1" ht="11.25" x14ac:dyDescent="0.2">
      <c r="A9" s="126"/>
      <c r="B9" s="127"/>
      <c r="C9" s="128"/>
      <c r="D9" s="3212" t="s">
        <v>247</v>
      </c>
      <c r="E9" s="370"/>
      <c r="F9" s="371">
        <v>5806</v>
      </c>
      <c r="G9" s="371">
        <v>6709</v>
      </c>
      <c r="H9" s="371">
        <v>5432</v>
      </c>
      <c r="I9" s="371">
        <v>6513</v>
      </c>
      <c r="J9" s="371">
        <v>7285</v>
      </c>
      <c r="K9" s="371">
        <v>7740</v>
      </c>
      <c r="L9" s="371">
        <v>10042</v>
      </c>
      <c r="M9" s="371"/>
      <c r="N9" s="371"/>
      <c r="O9" s="371"/>
      <c r="P9" s="371"/>
      <c r="Q9" s="3205"/>
      <c r="R9" s="58"/>
      <c r="S9" s="58"/>
    </row>
    <row r="10" spans="1:24" s="77" customFormat="1" ht="11.25" x14ac:dyDescent="0.2">
      <c r="A10" s="126"/>
      <c r="B10" s="127"/>
      <c r="C10" s="128"/>
      <c r="D10" s="3212" t="s">
        <v>248</v>
      </c>
      <c r="E10" s="370"/>
      <c r="F10" s="371">
        <v>36194</v>
      </c>
      <c r="G10" s="371">
        <v>35942</v>
      </c>
      <c r="H10" s="371">
        <v>38395</v>
      </c>
      <c r="I10" s="371">
        <v>39194</v>
      </c>
      <c r="J10" s="371">
        <v>41379</v>
      </c>
      <c r="K10" s="371">
        <v>44310</v>
      </c>
      <c r="L10" s="371">
        <v>45296</v>
      </c>
      <c r="M10" s="371"/>
      <c r="N10" s="371"/>
      <c r="O10" s="371"/>
      <c r="P10" s="371"/>
      <c r="Q10" s="3205"/>
      <c r="R10" s="58"/>
      <c r="S10" s="58"/>
    </row>
    <row r="11" spans="1:24" s="77" customFormat="1" ht="11.25" x14ac:dyDescent="0.2">
      <c r="A11" s="126"/>
      <c r="B11" s="127"/>
      <c r="C11" s="128"/>
      <c r="D11" s="3213" t="s">
        <v>249</v>
      </c>
      <c r="E11" s="372"/>
      <c r="F11" s="373">
        <v>186</v>
      </c>
      <c r="G11" s="373">
        <v>179</v>
      </c>
      <c r="H11" s="373">
        <v>168</v>
      </c>
      <c r="I11" s="373">
        <v>124</v>
      </c>
      <c r="J11" s="373">
        <v>96</v>
      </c>
      <c r="K11" s="373">
        <v>126</v>
      </c>
      <c r="L11" s="373">
        <v>101</v>
      </c>
      <c r="M11" s="373"/>
      <c r="N11" s="373"/>
      <c r="O11" s="373"/>
      <c r="P11" s="373"/>
      <c r="Q11" s="3206"/>
      <c r="R11" s="58"/>
      <c r="S11" s="58"/>
    </row>
    <row r="12" spans="1:24" s="77" customFormat="1" ht="11.25" x14ac:dyDescent="0.2">
      <c r="A12" s="126"/>
      <c r="B12" s="127"/>
      <c r="C12" s="128"/>
      <c r="D12" s="119"/>
      <c r="E12" s="119"/>
      <c r="F12" s="119"/>
      <c r="G12" s="119"/>
      <c r="H12" s="119"/>
      <c r="I12" s="119"/>
      <c r="J12" s="119"/>
      <c r="K12" s="275"/>
      <c r="L12" s="275"/>
      <c r="M12" s="275"/>
      <c r="N12" s="275"/>
      <c r="O12" s="275"/>
      <c r="P12" s="277"/>
      <c r="Q12" s="277"/>
      <c r="R12" s="58"/>
      <c r="S12" s="58"/>
    </row>
    <row r="13" spans="1:24" s="77" customFormat="1" ht="11.25" x14ac:dyDescent="0.2">
      <c r="A13" s="126"/>
      <c r="B13" s="127"/>
      <c r="C13" s="128"/>
      <c r="D13" s="119" t="s">
        <v>55</v>
      </c>
      <c r="E13" s="119"/>
      <c r="F13" s="119" t="s">
        <v>250</v>
      </c>
      <c r="G13" s="119"/>
      <c r="H13" s="119"/>
      <c r="I13" s="119"/>
      <c r="J13" s="119"/>
      <c r="K13" s="119"/>
      <c r="L13" s="275"/>
      <c r="M13" s="275"/>
      <c r="N13" s="275"/>
      <c r="O13" s="275"/>
      <c r="P13" s="277"/>
      <c r="Q13" s="277"/>
      <c r="R13" s="58"/>
      <c r="S13" s="58"/>
    </row>
    <row r="14" spans="1:24" s="77" customFormat="1" ht="11.25" x14ac:dyDescent="0.2">
      <c r="A14" s="126"/>
      <c r="B14" s="127"/>
      <c r="C14" s="128"/>
      <c r="D14" s="3211"/>
      <c r="E14" s="171">
        <v>2002</v>
      </c>
      <c r="F14" s="171">
        <v>2003</v>
      </c>
      <c r="G14" s="171">
        <v>2004</v>
      </c>
      <c r="H14" s="171">
        <v>2005</v>
      </c>
      <c r="I14" s="171">
        <v>2006</v>
      </c>
      <c r="J14" s="171">
        <v>2007</v>
      </c>
      <c r="K14" s="171">
        <v>2008</v>
      </c>
      <c r="L14" s="171">
        <v>2009</v>
      </c>
      <c r="M14" s="171">
        <v>2010</v>
      </c>
      <c r="N14" s="171">
        <v>2011</v>
      </c>
      <c r="O14" s="171">
        <v>2012</v>
      </c>
      <c r="P14" s="171">
        <v>2013</v>
      </c>
      <c r="Q14" s="2831">
        <v>2014</v>
      </c>
      <c r="R14" s="58"/>
      <c r="S14" s="58"/>
    </row>
    <row r="15" spans="1:24" s="77" customFormat="1" ht="11.25" x14ac:dyDescent="0.2">
      <c r="A15" s="126"/>
      <c r="B15" s="127"/>
      <c r="C15" s="128"/>
      <c r="D15" s="3212" t="s">
        <v>251</v>
      </c>
      <c r="E15" s="374">
        <v>114</v>
      </c>
      <c r="F15" s="374">
        <v>112</v>
      </c>
      <c r="G15" s="374">
        <v>100</v>
      </c>
      <c r="H15" s="374">
        <v>87</v>
      </c>
      <c r="I15" s="374">
        <v>109</v>
      </c>
      <c r="J15" s="374">
        <v>82</v>
      </c>
      <c r="K15" s="374">
        <v>91</v>
      </c>
      <c r="L15" s="374">
        <v>93</v>
      </c>
      <c r="M15" s="374">
        <v>116</v>
      </c>
      <c r="N15" s="374">
        <v>123</v>
      </c>
      <c r="O15" s="374">
        <v>142</v>
      </c>
      <c r="P15" s="374">
        <v>161</v>
      </c>
      <c r="Q15" s="3207">
        <v>152</v>
      </c>
      <c r="R15" s="58"/>
      <c r="S15" s="58"/>
    </row>
    <row r="16" spans="1:24" s="77" customFormat="1" ht="11.25" x14ac:dyDescent="0.2">
      <c r="A16" s="126"/>
      <c r="B16" s="127"/>
      <c r="C16" s="128"/>
      <c r="D16" s="3212" t="s">
        <v>59</v>
      </c>
      <c r="E16" s="374">
        <v>52</v>
      </c>
      <c r="F16" s="374">
        <v>64</v>
      </c>
      <c r="G16" s="374">
        <v>59</v>
      </c>
      <c r="H16" s="374">
        <v>55</v>
      </c>
      <c r="I16" s="374">
        <v>34</v>
      </c>
      <c r="J16" s="374">
        <v>44</v>
      </c>
      <c r="K16" s="374">
        <v>31</v>
      </c>
      <c r="L16" s="1549">
        <v>59</v>
      </c>
      <c r="M16" s="1549">
        <v>76</v>
      </c>
      <c r="N16" s="1549">
        <v>84</v>
      </c>
      <c r="O16" s="1549">
        <v>73</v>
      </c>
      <c r="P16" s="1549">
        <v>40</v>
      </c>
      <c r="Q16" s="3208">
        <v>66</v>
      </c>
      <c r="R16" s="58"/>
      <c r="S16" s="58"/>
    </row>
    <row r="17" spans="1:20" s="77" customFormat="1" ht="11.25" x14ac:dyDescent="0.2">
      <c r="A17" s="126"/>
      <c r="B17" s="127"/>
      <c r="C17" s="128"/>
      <c r="D17" s="3212" t="s">
        <v>252</v>
      </c>
      <c r="E17" s="374">
        <v>35</v>
      </c>
      <c r="F17" s="374">
        <v>35</v>
      </c>
      <c r="G17" s="374">
        <v>56</v>
      </c>
      <c r="H17" s="374">
        <v>55</v>
      </c>
      <c r="I17" s="374">
        <v>59</v>
      </c>
      <c r="J17" s="374">
        <v>58</v>
      </c>
      <c r="K17" s="374">
        <v>53</v>
      </c>
      <c r="L17" s="374">
        <v>49</v>
      </c>
      <c r="M17" s="374">
        <v>53</v>
      </c>
      <c r="N17" s="374">
        <v>53</v>
      </c>
      <c r="O17" s="374">
        <v>65</v>
      </c>
      <c r="P17" s="374">
        <v>54</v>
      </c>
      <c r="Q17" s="3207">
        <v>50</v>
      </c>
      <c r="R17" s="58"/>
      <c r="S17" s="58"/>
    </row>
    <row r="18" spans="1:20" s="77" customFormat="1" ht="11.25" x14ac:dyDescent="0.2">
      <c r="A18" s="126"/>
      <c r="B18" s="127"/>
      <c r="C18" s="128"/>
      <c r="D18" s="3212" t="s">
        <v>253</v>
      </c>
      <c r="E18" s="374">
        <v>8</v>
      </c>
      <c r="F18" s="374">
        <v>32</v>
      </c>
      <c r="G18" s="374">
        <v>21</v>
      </c>
      <c r="H18" s="374">
        <v>37</v>
      </c>
      <c r="I18" s="374">
        <v>28</v>
      </c>
      <c r="J18" s="374">
        <v>37</v>
      </c>
      <c r="K18" s="374">
        <v>38</v>
      </c>
      <c r="L18" s="1549">
        <v>47</v>
      </c>
      <c r="M18" s="1549">
        <v>34</v>
      </c>
      <c r="N18" s="1549">
        <v>44</v>
      </c>
      <c r="O18" s="1549">
        <v>73</v>
      </c>
      <c r="P18" s="1549">
        <v>47</v>
      </c>
      <c r="Q18" s="3208">
        <v>52</v>
      </c>
      <c r="R18" s="58"/>
      <c r="S18" s="58"/>
    </row>
    <row r="19" spans="1:20" s="77" customFormat="1" ht="11.25" x14ac:dyDescent="0.2">
      <c r="A19" s="126"/>
      <c r="B19" s="127"/>
      <c r="C19" s="128"/>
      <c r="D19" s="3212" t="s">
        <v>62</v>
      </c>
      <c r="E19" s="374">
        <v>11</v>
      </c>
      <c r="F19" s="374">
        <v>11</v>
      </c>
      <c r="G19" s="374">
        <v>18</v>
      </c>
      <c r="H19" s="374">
        <v>22</v>
      </c>
      <c r="I19" s="374">
        <v>21</v>
      </c>
      <c r="J19" s="374">
        <v>23</v>
      </c>
      <c r="K19" s="374">
        <v>34</v>
      </c>
      <c r="L19" s="374">
        <v>26</v>
      </c>
      <c r="M19" s="374">
        <v>40</v>
      </c>
      <c r="N19" s="374">
        <v>41</v>
      </c>
      <c r="O19" s="374">
        <v>44</v>
      </c>
      <c r="P19" s="374">
        <v>36</v>
      </c>
      <c r="Q19" s="3207">
        <v>41</v>
      </c>
      <c r="R19" s="58"/>
      <c r="S19" s="58"/>
    </row>
    <row r="20" spans="1:20" s="77" customFormat="1" ht="11.25" x14ac:dyDescent="0.2">
      <c r="A20" s="126"/>
      <c r="B20" s="127"/>
      <c r="C20" s="128"/>
      <c r="D20" s="3212" t="s">
        <v>254</v>
      </c>
      <c r="E20" s="374">
        <v>19</v>
      </c>
      <c r="F20" s="374">
        <v>16</v>
      </c>
      <c r="G20" s="374">
        <v>24</v>
      </c>
      <c r="H20" s="374">
        <v>15</v>
      </c>
      <c r="I20" s="374">
        <v>8</v>
      </c>
      <c r="J20" s="374">
        <v>7</v>
      </c>
      <c r="K20" s="374">
        <v>10</v>
      </c>
      <c r="L20" s="374">
        <v>9</v>
      </c>
      <c r="M20" s="374">
        <v>6</v>
      </c>
      <c r="N20" s="374">
        <v>7</v>
      </c>
      <c r="O20" s="374">
        <v>9</v>
      </c>
      <c r="P20" s="374">
        <v>6</v>
      </c>
      <c r="Q20" s="3207"/>
      <c r="R20" s="58"/>
      <c r="S20" s="58"/>
    </row>
    <row r="21" spans="1:20" s="77" customFormat="1" ht="11.25" x14ac:dyDescent="0.2">
      <c r="A21" s="126"/>
      <c r="B21" s="127"/>
      <c r="C21" s="128"/>
      <c r="D21" s="3212" t="s">
        <v>255</v>
      </c>
      <c r="E21" s="374">
        <v>8</v>
      </c>
      <c r="F21" s="375">
        <v>18</v>
      </c>
      <c r="G21" s="375">
        <v>13</v>
      </c>
      <c r="H21" s="375">
        <v>13</v>
      </c>
      <c r="I21" s="375">
        <v>4</v>
      </c>
      <c r="J21" s="375">
        <v>10</v>
      </c>
      <c r="K21" s="375">
        <v>6</v>
      </c>
      <c r="L21" s="375">
        <v>7</v>
      </c>
      <c r="M21" s="375">
        <v>14</v>
      </c>
      <c r="N21" s="375">
        <v>13</v>
      </c>
      <c r="O21" s="375">
        <v>25</v>
      </c>
      <c r="P21" s="375">
        <v>13</v>
      </c>
      <c r="Q21" s="3209">
        <v>7</v>
      </c>
      <c r="R21" s="58"/>
      <c r="S21" s="58"/>
    </row>
    <row r="22" spans="1:20" s="77" customFormat="1" ht="11.25" x14ac:dyDescent="0.2">
      <c r="A22" s="126"/>
      <c r="B22" s="127"/>
      <c r="C22" s="128"/>
      <c r="D22" s="3212" t="s">
        <v>256</v>
      </c>
      <c r="E22" s="374">
        <v>10</v>
      </c>
      <c r="F22" s="375">
        <v>12</v>
      </c>
      <c r="G22" s="375">
        <v>7</v>
      </c>
      <c r="H22" s="375">
        <v>6</v>
      </c>
      <c r="I22" s="375">
        <v>10</v>
      </c>
      <c r="J22" s="375">
        <v>9</v>
      </c>
      <c r="K22" s="375">
        <v>6</v>
      </c>
      <c r="L22" s="375">
        <v>2</v>
      </c>
      <c r="M22" s="375">
        <v>6</v>
      </c>
      <c r="N22" s="375">
        <v>8</v>
      </c>
      <c r="O22" s="375">
        <v>9</v>
      </c>
      <c r="P22" s="375">
        <v>6</v>
      </c>
      <c r="Q22" s="3209">
        <v>6</v>
      </c>
      <c r="R22" s="58"/>
      <c r="S22" s="58"/>
    </row>
    <row r="23" spans="1:20" s="77" customFormat="1" ht="11.25" x14ac:dyDescent="0.2">
      <c r="A23" s="126"/>
      <c r="B23" s="127"/>
      <c r="C23" s="128"/>
      <c r="D23" s="3212" t="s">
        <v>257</v>
      </c>
      <c r="E23" s="374">
        <v>5</v>
      </c>
      <c r="F23" s="375">
        <v>9</v>
      </c>
      <c r="G23" s="375">
        <v>8</v>
      </c>
      <c r="H23" s="375">
        <v>13</v>
      </c>
      <c r="I23" s="375">
        <v>7</v>
      </c>
      <c r="J23" s="375">
        <v>11</v>
      </c>
      <c r="K23" s="375">
        <v>10</v>
      </c>
      <c r="L23" s="375">
        <v>16</v>
      </c>
      <c r="M23" s="375">
        <v>16</v>
      </c>
      <c r="N23" s="375">
        <v>15</v>
      </c>
      <c r="O23" s="375">
        <v>21</v>
      </c>
      <c r="P23" s="375">
        <v>27</v>
      </c>
      <c r="Q23" s="3209">
        <v>25</v>
      </c>
      <c r="R23" s="58"/>
      <c r="S23" s="58"/>
    </row>
    <row r="24" spans="1:20" s="77" customFormat="1" ht="11.25" x14ac:dyDescent="0.2">
      <c r="A24" s="126"/>
      <c r="B24" s="127"/>
      <c r="C24" s="128"/>
      <c r="D24" s="3212" t="s">
        <v>72</v>
      </c>
      <c r="E24" s="374">
        <v>5</v>
      </c>
      <c r="F24" s="375">
        <v>10</v>
      </c>
      <c r="G24" s="375">
        <v>7</v>
      </c>
      <c r="H24" s="375">
        <v>7</v>
      </c>
      <c r="I24" s="375">
        <v>6</v>
      </c>
      <c r="J24" s="375">
        <v>9</v>
      </c>
      <c r="K24" s="375">
        <v>12</v>
      </c>
      <c r="L24" s="375">
        <v>16</v>
      </c>
      <c r="M24" s="375">
        <v>12</v>
      </c>
      <c r="N24" s="375">
        <v>14</v>
      </c>
      <c r="O24" s="375">
        <v>21</v>
      </c>
      <c r="P24" s="375">
        <v>11</v>
      </c>
      <c r="Q24" s="3209">
        <v>9</v>
      </c>
      <c r="R24" s="58"/>
      <c r="S24" s="58"/>
    </row>
    <row r="25" spans="1:20" s="77" customFormat="1" ht="11.25" x14ac:dyDescent="0.2">
      <c r="A25" s="126"/>
      <c r="B25" s="127"/>
      <c r="C25" s="128"/>
      <c r="D25" s="3212" t="s">
        <v>258</v>
      </c>
      <c r="E25" s="374">
        <v>1</v>
      </c>
      <c r="F25" s="375">
        <v>6</v>
      </c>
      <c r="G25" s="375"/>
      <c r="H25" s="375">
        <v>10</v>
      </c>
      <c r="I25" s="375">
        <v>12</v>
      </c>
      <c r="J25" s="375">
        <v>12</v>
      </c>
      <c r="K25" s="375">
        <v>17</v>
      </c>
      <c r="L25" s="375">
        <v>5</v>
      </c>
      <c r="M25" s="375">
        <v>7</v>
      </c>
      <c r="N25" s="375">
        <v>7</v>
      </c>
      <c r="O25" s="375">
        <v>9</v>
      </c>
      <c r="P25" s="375">
        <v>20</v>
      </c>
      <c r="Q25" s="3209">
        <v>17</v>
      </c>
      <c r="R25" s="58"/>
      <c r="S25" s="58"/>
    </row>
    <row r="26" spans="1:20" s="77" customFormat="1" ht="11.25" x14ac:dyDescent="0.2">
      <c r="A26" s="126"/>
      <c r="B26" s="127"/>
      <c r="C26" s="128"/>
      <c r="D26" s="3214" t="s">
        <v>259</v>
      </c>
      <c r="E26" s="374">
        <v>8</v>
      </c>
      <c r="F26" s="375">
        <v>9</v>
      </c>
      <c r="G26" s="376"/>
      <c r="H26" s="375">
        <v>2</v>
      </c>
      <c r="I26" s="375">
        <v>8</v>
      </c>
      <c r="J26" s="375">
        <v>10</v>
      </c>
      <c r="K26" s="375">
        <v>18</v>
      </c>
      <c r="L26" s="375">
        <v>23</v>
      </c>
      <c r="M26" s="375">
        <v>30</v>
      </c>
      <c r="N26" s="375">
        <v>26</v>
      </c>
      <c r="O26" s="375">
        <v>36</v>
      </c>
      <c r="P26" s="375">
        <v>63</v>
      </c>
      <c r="Q26" s="3209">
        <v>50</v>
      </c>
      <c r="R26" s="58"/>
      <c r="S26" s="58"/>
    </row>
    <row r="27" spans="1:20" s="77" customFormat="1" ht="11.25" x14ac:dyDescent="0.2">
      <c r="A27" s="126"/>
      <c r="B27" s="127"/>
      <c r="C27" s="128"/>
      <c r="D27" s="3215" t="s">
        <v>260</v>
      </c>
      <c r="E27" s="377">
        <v>57</v>
      </c>
      <c r="F27" s="378">
        <v>61</v>
      </c>
      <c r="G27" s="379">
        <v>48</v>
      </c>
      <c r="H27" s="378">
        <v>44</v>
      </c>
      <c r="I27" s="378">
        <v>48</v>
      </c>
      <c r="J27" s="378">
        <v>44</v>
      </c>
      <c r="K27" s="378">
        <v>77</v>
      </c>
      <c r="L27" s="378">
        <v>55</v>
      </c>
      <c r="M27" s="378">
        <v>85</v>
      </c>
      <c r="N27" s="378">
        <v>88</v>
      </c>
      <c r="O27" s="378">
        <v>85</v>
      </c>
      <c r="P27" s="378">
        <v>132</v>
      </c>
      <c r="Q27" s="2915">
        <v>149</v>
      </c>
      <c r="R27" s="58"/>
      <c r="S27" s="58"/>
    </row>
    <row r="28" spans="1:20" s="77" customFormat="1" ht="11.25" x14ac:dyDescent="0.2">
      <c r="A28" s="126"/>
      <c r="B28" s="127"/>
      <c r="C28" s="128"/>
      <c r="D28" s="3216" t="s">
        <v>261</v>
      </c>
      <c r="E28" s="380">
        <f>SUM(E15:E27)</f>
        <v>333</v>
      </c>
      <c r="F28" s="380">
        <f t="shared" ref="F28:Q28" si="0">SUM(F15:F27)</f>
        <v>395</v>
      </c>
      <c r="G28" s="380">
        <f t="shared" si="0"/>
        <v>361</v>
      </c>
      <c r="H28" s="380">
        <f t="shared" si="0"/>
        <v>366</v>
      </c>
      <c r="I28" s="380">
        <f t="shared" si="0"/>
        <v>354</v>
      </c>
      <c r="J28" s="380">
        <f t="shared" si="0"/>
        <v>356</v>
      </c>
      <c r="K28" s="380">
        <f t="shared" si="0"/>
        <v>403</v>
      </c>
      <c r="L28" s="380">
        <f t="shared" si="0"/>
        <v>407</v>
      </c>
      <c r="M28" s="380">
        <f t="shared" si="0"/>
        <v>495</v>
      </c>
      <c r="N28" s="380">
        <f t="shared" si="0"/>
        <v>523</v>
      </c>
      <c r="O28" s="380">
        <f t="shared" si="0"/>
        <v>612</v>
      </c>
      <c r="P28" s="380">
        <f t="shared" si="0"/>
        <v>616</v>
      </c>
      <c r="Q28" s="3210">
        <f t="shared" si="0"/>
        <v>624</v>
      </c>
      <c r="R28" s="370"/>
      <c r="S28" s="370"/>
      <c r="T28" s="372"/>
    </row>
    <row r="29" spans="1:20" s="77" customFormat="1" ht="11.25" x14ac:dyDescent="0.2">
      <c r="A29" s="126"/>
      <c r="B29" s="127"/>
      <c r="C29" s="128"/>
      <c r="D29" s="119"/>
      <c r="E29" s="374"/>
      <c r="F29" s="374"/>
      <c r="G29" s="374"/>
      <c r="H29" s="374"/>
      <c r="I29" s="374"/>
      <c r="J29" s="374"/>
      <c r="K29" s="374"/>
      <c r="L29" s="374"/>
      <c r="M29" s="374"/>
      <c r="N29" s="374"/>
      <c r="O29" s="374"/>
      <c r="P29" s="374"/>
      <c r="Q29" s="370"/>
      <c r="R29" s="370"/>
      <c r="S29" s="370"/>
      <c r="T29" s="370"/>
    </row>
    <row r="30" spans="1:20" s="77" customFormat="1" ht="11.25" x14ac:dyDescent="0.2">
      <c r="A30" s="126"/>
      <c r="B30" s="127"/>
      <c r="C30" s="128"/>
      <c r="D30" s="119"/>
      <c r="E30" s="374"/>
      <c r="F30" s="374"/>
      <c r="G30" s="374"/>
      <c r="H30" s="374"/>
      <c r="I30" s="374"/>
      <c r="J30" s="374"/>
      <c r="K30" s="374"/>
      <c r="L30" s="374"/>
      <c r="M30" s="374"/>
      <c r="N30" s="374"/>
      <c r="O30" s="374"/>
      <c r="P30" s="374"/>
      <c r="Q30" s="370"/>
      <c r="R30" s="370"/>
      <c r="S30" s="370"/>
      <c r="T30" s="370"/>
    </row>
    <row r="31" spans="1:20" s="77" customFormat="1" ht="12.75" x14ac:dyDescent="0.2">
      <c r="A31" s="113">
        <v>5</v>
      </c>
      <c r="B31" s="114" t="s">
        <v>77</v>
      </c>
      <c r="C31" s="128"/>
      <c r="D31" s="119" t="s">
        <v>262</v>
      </c>
      <c r="E31" s="119" t="s">
        <v>263</v>
      </c>
      <c r="G31" s="374"/>
      <c r="H31" s="374"/>
      <c r="I31" s="374"/>
      <c r="J31" s="374"/>
      <c r="K31" s="374"/>
      <c r="L31" s="374"/>
      <c r="M31" s="374"/>
      <c r="N31" s="374"/>
      <c r="O31" s="374"/>
      <c r="P31" s="374"/>
      <c r="Q31" s="370"/>
      <c r="R31" s="370"/>
      <c r="S31" s="370"/>
      <c r="T31" s="370"/>
    </row>
    <row r="32" spans="1:20" s="77" customFormat="1" ht="12.75" x14ac:dyDescent="0.2">
      <c r="A32" s="113"/>
      <c r="B32" s="114"/>
      <c r="C32" s="128"/>
      <c r="D32" s="3211"/>
      <c r="E32" s="369" t="s">
        <v>264</v>
      </c>
      <c r="F32" s="369" t="s">
        <v>265</v>
      </c>
      <c r="G32" s="381"/>
      <c r="H32" s="381"/>
      <c r="I32" s="3218"/>
      <c r="J32" s="374"/>
      <c r="K32" s="374"/>
      <c r="L32" s="374"/>
      <c r="M32" s="374"/>
      <c r="N32" s="374"/>
      <c r="O32" s="374"/>
      <c r="P32" s="374"/>
      <c r="Q32" s="370"/>
      <c r="R32" s="370"/>
      <c r="S32" s="370"/>
      <c r="T32" s="370"/>
    </row>
    <row r="33" spans="1:28" s="77" customFormat="1" ht="11.25" x14ac:dyDescent="0.2">
      <c r="A33" s="126"/>
      <c r="B33" s="127"/>
      <c r="C33" s="128"/>
      <c r="D33" s="3217" t="s">
        <v>266</v>
      </c>
      <c r="E33" s="2674" t="s">
        <v>267</v>
      </c>
      <c r="F33" s="276" t="s">
        <v>267</v>
      </c>
      <c r="G33" s="374"/>
      <c r="H33" s="374"/>
      <c r="I33" s="3207"/>
      <c r="J33" s="374"/>
      <c r="K33" s="374"/>
      <c r="L33" s="374"/>
      <c r="M33" s="374"/>
      <c r="N33" s="374"/>
      <c r="O33" s="374"/>
      <c r="P33" s="374"/>
      <c r="Q33" s="370"/>
      <c r="R33" s="370"/>
      <c r="S33" s="370"/>
      <c r="T33" s="370"/>
    </row>
    <row r="34" spans="1:28" s="77" customFormat="1" ht="11.25" x14ac:dyDescent="0.2">
      <c r="A34" s="126"/>
      <c r="B34" s="127"/>
      <c r="C34" s="128"/>
      <c r="D34" s="2684" t="s">
        <v>268</v>
      </c>
      <c r="E34" s="2675">
        <v>6.86</v>
      </c>
      <c r="F34" s="374">
        <v>9.99</v>
      </c>
      <c r="G34" s="374"/>
      <c r="H34" s="374"/>
      <c r="I34" s="3207"/>
      <c r="J34" s="374"/>
      <c r="K34" s="374"/>
      <c r="L34" s="374"/>
      <c r="M34" s="374"/>
      <c r="N34" s="374"/>
      <c r="O34" s="374"/>
      <c r="P34" s="374"/>
      <c r="Q34" s="370"/>
      <c r="R34" s="370"/>
      <c r="S34" s="370"/>
      <c r="T34" s="370"/>
    </row>
    <row r="35" spans="1:28" s="77" customFormat="1" ht="15.75" x14ac:dyDescent="0.2">
      <c r="A35" s="126"/>
      <c r="B35" s="127"/>
      <c r="C35" s="128"/>
      <c r="D35" s="2684" t="s">
        <v>269</v>
      </c>
      <c r="E35" s="2675">
        <v>6.71</v>
      </c>
      <c r="F35" s="374">
        <v>5.15</v>
      </c>
      <c r="G35" s="374"/>
      <c r="H35" s="374"/>
      <c r="I35" s="3207"/>
      <c r="J35" s="374"/>
      <c r="K35" s="374"/>
      <c r="L35" s="374"/>
      <c r="M35" s="374"/>
      <c r="N35" s="374"/>
      <c r="O35" s="374"/>
      <c r="P35" s="374"/>
      <c r="Q35" s="370"/>
      <c r="R35" s="370"/>
      <c r="S35" s="370"/>
      <c r="T35" s="370"/>
      <c r="AA35" s="2676"/>
      <c r="AB35" s="2677"/>
    </row>
    <row r="36" spans="1:28" s="77" customFormat="1" ht="11.25" x14ac:dyDescent="0.2">
      <c r="A36" s="126"/>
      <c r="B36" s="127"/>
      <c r="C36" s="128"/>
      <c r="D36" s="2684" t="s">
        <v>270</v>
      </c>
      <c r="E36" s="2675">
        <v>6.4</v>
      </c>
      <c r="F36" s="374">
        <v>4.95</v>
      </c>
      <c r="G36" s="374"/>
      <c r="H36" s="374"/>
      <c r="I36" s="3207"/>
      <c r="J36" s="374"/>
      <c r="K36" s="374"/>
      <c r="L36" s="374"/>
      <c r="M36" s="374"/>
      <c r="N36" s="374"/>
      <c r="O36" s="374"/>
      <c r="P36" s="374"/>
      <c r="Q36" s="370"/>
      <c r="R36" s="370"/>
      <c r="S36" s="370"/>
      <c r="T36" s="370"/>
      <c r="AA36" s="2678"/>
      <c r="AB36" s="2679"/>
    </row>
    <row r="37" spans="1:28" s="77" customFormat="1" ht="11.25" x14ac:dyDescent="0.2">
      <c r="A37" s="126"/>
      <c r="B37" s="127"/>
      <c r="C37" s="128"/>
      <c r="D37" s="2684" t="s">
        <v>271</v>
      </c>
      <c r="E37" s="2675">
        <v>6.17</v>
      </c>
      <c r="F37" s="374">
        <v>5.7</v>
      </c>
      <c r="G37" s="374"/>
      <c r="H37" s="374"/>
      <c r="I37" s="3207"/>
      <c r="J37" s="374"/>
      <c r="K37" s="374"/>
      <c r="L37" s="374"/>
      <c r="M37" s="374"/>
      <c r="N37" s="374"/>
      <c r="O37" s="374"/>
      <c r="P37" s="374"/>
      <c r="Q37" s="370"/>
      <c r="R37" s="370"/>
      <c r="S37" s="370"/>
      <c r="T37" s="370"/>
      <c r="AA37" s="2678"/>
      <c r="AB37" s="2679"/>
    </row>
    <row r="38" spans="1:28" s="77" customFormat="1" ht="11.25" x14ac:dyDescent="0.2">
      <c r="A38" s="126"/>
      <c r="B38" s="127"/>
      <c r="C38" s="128"/>
      <c r="D38" s="2684" t="s">
        <v>272</v>
      </c>
      <c r="E38" s="2675">
        <v>5.54</v>
      </c>
      <c r="F38" s="374">
        <v>5.01</v>
      </c>
      <c r="G38" s="374"/>
      <c r="H38" s="374"/>
      <c r="I38" s="3207"/>
      <c r="J38" s="374"/>
      <c r="K38" s="374"/>
      <c r="L38" s="374"/>
      <c r="M38" s="374"/>
      <c r="N38" s="374"/>
      <c r="O38" s="374"/>
      <c r="P38" s="374"/>
      <c r="Q38" s="370"/>
      <c r="R38" s="370"/>
      <c r="S38" s="370"/>
      <c r="T38" s="370"/>
      <c r="AA38" s="2678"/>
      <c r="AB38" s="2679"/>
    </row>
    <row r="39" spans="1:28" s="77" customFormat="1" ht="11.25" x14ac:dyDescent="0.2">
      <c r="A39" s="126"/>
      <c r="B39" s="127"/>
      <c r="C39" s="128"/>
      <c r="D39" s="2684" t="s">
        <v>273</v>
      </c>
      <c r="E39" s="2675">
        <v>4.92</v>
      </c>
      <c r="F39" s="374">
        <v>5.75</v>
      </c>
      <c r="G39" s="374"/>
      <c r="H39" s="374"/>
      <c r="I39" s="3207"/>
      <c r="J39" s="374"/>
      <c r="K39" s="374"/>
      <c r="L39" s="374"/>
      <c r="M39" s="374"/>
      <c r="N39" s="374"/>
      <c r="O39" s="374"/>
      <c r="P39" s="374"/>
      <c r="Q39" s="370"/>
      <c r="R39" s="370"/>
      <c r="S39" s="370"/>
      <c r="T39" s="370"/>
      <c r="AA39" s="2678"/>
      <c r="AB39" s="2679"/>
    </row>
    <row r="40" spans="1:28" s="77" customFormat="1" ht="11.25" x14ac:dyDescent="0.2">
      <c r="A40" s="126"/>
      <c r="B40" s="127"/>
      <c r="C40" s="128"/>
      <c r="D40" s="2684" t="s">
        <v>274</v>
      </c>
      <c r="E40" s="2675">
        <v>4.47</v>
      </c>
      <c r="F40" s="374">
        <v>5.57</v>
      </c>
      <c r="G40" s="374"/>
      <c r="H40" s="374"/>
      <c r="I40" s="3207"/>
      <c r="J40" s="374"/>
      <c r="K40" s="374"/>
      <c r="L40" s="374"/>
      <c r="M40" s="374"/>
      <c r="N40" s="374"/>
      <c r="O40" s="374"/>
      <c r="P40" s="374"/>
      <c r="Q40" s="370"/>
      <c r="R40" s="370"/>
      <c r="S40" s="370"/>
      <c r="T40" s="370"/>
      <c r="AA40" s="2678"/>
      <c r="AB40" s="2679"/>
    </row>
    <row r="41" spans="1:28" s="77" customFormat="1" ht="11.25" x14ac:dyDescent="0.2">
      <c r="A41" s="126"/>
      <c r="B41" s="127"/>
      <c r="C41" s="128"/>
      <c r="D41" s="2684" t="s">
        <v>275</v>
      </c>
      <c r="E41" s="2675">
        <v>4.53</v>
      </c>
      <c r="F41" s="374">
        <v>4.7699999999999996</v>
      </c>
      <c r="G41" s="374"/>
      <c r="H41" s="374"/>
      <c r="I41" s="3207"/>
      <c r="J41" s="374"/>
      <c r="K41" s="374"/>
      <c r="L41" s="374"/>
      <c r="M41" s="374"/>
      <c r="N41" s="374"/>
      <c r="O41" s="374"/>
      <c r="P41" s="374"/>
      <c r="Q41" s="370"/>
      <c r="R41" s="370"/>
      <c r="S41" s="370"/>
      <c r="T41" s="370"/>
      <c r="AA41" s="2678"/>
      <c r="AB41" s="2679"/>
    </row>
    <row r="42" spans="1:28" s="77" customFormat="1" ht="11.25" x14ac:dyDescent="0.2">
      <c r="A42" s="126"/>
      <c r="B42" s="127"/>
      <c r="C42" s="128"/>
      <c r="D42" s="2684" t="s">
        <v>276</v>
      </c>
      <c r="E42" s="2675">
        <v>3.78</v>
      </c>
      <c r="F42" s="374">
        <v>4.32</v>
      </c>
      <c r="G42" s="374"/>
      <c r="H42" s="374"/>
      <c r="I42" s="3207"/>
      <c r="J42" s="374"/>
      <c r="K42" s="374"/>
      <c r="L42" s="374"/>
      <c r="M42" s="374"/>
      <c r="N42" s="374"/>
      <c r="O42" s="374"/>
      <c r="P42" s="374"/>
      <c r="Q42" s="370"/>
      <c r="R42" s="370"/>
      <c r="S42" s="370"/>
      <c r="T42" s="370"/>
      <c r="AA42" s="2678"/>
      <c r="AB42" s="2679"/>
    </row>
    <row r="43" spans="1:28" s="77" customFormat="1" ht="22.5" x14ac:dyDescent="0.2">
      <c r="A43" s="126"/>
      <c r="B43" s="127"/>
      <c r="C43" s="128"/>
      <c r="D43" s="2684" t="s">
        <v>277</v>
      </c>
      <c r="E43" s="2675">
        <v>3.62</v>
      </c>
      <c r="F43" s="374">
        <v>3.97</v>
      </c>
      <c r="G43" s="374"/>
      <c r="H43" s="374"/>
      <c r="I43" s="3207"/>
      <c r="J43" s="374"/>
      <c r="K43" s="374"/>
      <c r="L43" s="374"/>
      <c r="M43" s="374"/>
      <c r="N43" s="374"/>
      <c r="O43" s="374"/>
      <c r="P43" s="374"/>
      <c r="Q43" s="370"/>
      <c r="R43" s="370"/>
      <c r="S43" s="370"/>
      <c r="T43" s="370"/>
      <c r="AA43" s="2678"/>
      <c r="AB43" s="2679"/>
    </row>
    <row r="44" spans="1:28" s="77" customFormat="1" ht="11.25" x14ac:dyDescent="0.2">
      <c r="A44" s="126"/>
      <c r="B44" s="127"/>
      <c r="C44" s="128"/>
      <c r="D44" s="2680" t="s">
        <v>260</v>
      </c>
      <c r="E44" s="2681">
        <v>47</v>
      </c>
      <c r="F44" s="382">
        <v>44.82</v>
      </c>
      <c r="G44" s="382"/>
      <c r="H44" s="382"/>
      <c r="I44" s="3219"/>
      <c r="J44" s="374"/>
      <c r="K44" s="374"/>
      <c r="L44" s="374"/>
      <c r="M44" s="374"/>
      <c r="N44" s="374"/>
      <c r="O44" s="374"/>
      <c r="P44" s="374"/>
      <c r="Q44" s="370"/>
      <c r="R44" s="370"/>
      <c r="S44" s="370"/>
      <c r="T44" s="370"/>
      <c r="AA44" s="2678"/>
      <c r="AB44" s="2679"/>
    </row>
    <row r="45" spans="1:28" s="77" customFormat="1" ht="11.25" x14ac:dyDescent="0.2">
      <c r="A45" s="126"/>
      <c r="B45" s="127"/>
      <c r="C45" s="128"/>
      <c r="D45" s="119"/>
      <c r="E45" s="374"/>
      <c r="F45" s="374"/>
      <c r="G45" s="374"/>
      <c r="H45" s="374"/>
      <c r="I45" s="374"/>
      <c r="J45" s="374"/>
      <c r="K45" s="374"/>
      <c r="L45" s="374"/>
      <c r="M45" s="374"/>
      <c r="N45" s="374"/>
      <c r="O45" s="374"/>
      <c r="P45" s="374"/>
      <c r="Q45" s="370"/>
      <c r="R45" s="370"/>
      <c r="S45" s="370"/>
      <c r="T45" s="370"/>
      <c r="AA45" s="2678"/>
      <c r="AB45" s="2679"/>
    </row>
    <row r="46" spans="1:28" s="77" customFormat="1" ht="11.25" x14ac:dyDescent="0.2">
      <c r="A46" s="126"/>
      <c r="B46" s="127"/>
      <c r="C46" s="128"/>
      <c r="D46" s="119"/>
      <c r="E46" s="374"/>
      <c r="F46" s="374"/>
      <c r="G46" s="374"/>
      <c r="H46" s="374"/>
      <c r="I46" s="374"/>
      <c r="J46" s="374"/>
      <c r="K46" s="374"/>
      <c r="L46" s="374"/>
      <c r="M46" s="374"/>
      <c r="N46" s="374"/>
      <c r="O46" s="374"/>
      <c r="P46" s="374"/>
      <c r="Q46" s="370"/>
      <c r="R46" s="370"/>
      <c r="S46" s="370"/>
      <c r="T46" s="370"/>
      <c r="AA46" s="2678"/>
      <c r="AB46" s="2679"/>
    </row>
    <row r="47" spans="1:28" s="77" customFormat="1" ht="11.25" x14ac:dyDescent="0.2">
      <c r="A47" s="126"/>
      <c r="B47" s="127"/>
      <c r="C47" s="128"/>
      <c r="D47" s="119" t="s">
        <v>278</v>
      </c>
      <c r="E47" s="119" t="s">
        <v>279</v>
      </c>
      <c r="F47" s="374"/>
      <c r="G47" s="374"/>
      <c r="H47" s="374"/>
      <c r="I47" s="374"/>
      <c r="J47" s="374"/>
      <c r="K47" s="374"/>
      <c r="L47" s="374"/>
      <c r="M47" s="374"/>
      <c r="N47" s="374"/>
      <c r="O47" s="374"/>
      <c r="P47" s="374"/>
      <c r="Q47" s="370"/>
      <c r="R47" s="370"/>
      <c r="S47" s="370"/>
      <c r="T47" s="370"/>
      <c r="AA47" s="58"/>
      <c r="AB47" s="58"/>
    </row>
    <row r="48" spans="1:28" s="77" customFormat="1" ht="11.25" x14ac:dyDescent="0.2">
      <c r="A48" s="126"/>
      <c r="B48" s="127"/>
      <c r="C48" s="128"/>
      <c r="D48" s="2682"/>
      <c r="E48" s="2683">
        <v>1997</v>
      </c>
      <c r="F48" s="2683">
        <v>1998</v>
      </c>
      <c r="G48" s="2683">
        <v>1999</v>
      </c>
      <c r="H48" s="2683">
        <v>2000</v>
      </c>
      <c r="I48" s="2683">
        <v>2001</v>
      </c>
      <c r="J48" s="2683">
        <v>2002</v>
      </c>
      <c r="K48" s="2683">
        <v>2003</v>
      </c>
      <c r="L48" s="2683">
        <v>2004</v>
      </c>
      <c r="M48" s="2683">
        <v>2005</v>
      </c>
      <c r="N48" s="2683">
        <v>2006</v>
      </c>
      <c r="O48" s="2683">
        <v>2007</v>
      </c>
      <c r="P48" s="2683">
        <v>2008</v>
      </c>
      <c r="Q48" s="2683">
        <v>2009</v>
      </c>
      <c r="R48" s="2683">
        <v>2010</v>
      </c>
      <c r="S48" s="2683">
        <v>2011</v>
      </c>
      <c r="T48" s="2683">
        <v>2012</v>
      </c>
      <c r="U48" s="2683">
        <v>2013</v>
      </c>
      <c r="V48" s="3220">
        <v>2014</v>
      </c>
    </row>
    <row r="49" spans="1:42" s="77" customFormat="1" ht="11.25" x14ac:dyDescent="0.2">
      <c r="A49" s="126"/>
      <c r="B49" s="127"/>
      <c r="C49" s="128"/>
      <c r="D49" s="2684" t="s">
        <v>280</v>
      </c>
      <c r="E49" s="383">
        <v>355</v>
      </c>
      <c r="F49" s="383">
        <v>200</v>
      </c>
      <c r="G49" s="383">
        <v>140</v>
      </c>
      <c r="H49" s="1550">
        <v>902</v>
      </c>
      <c r="I49" s="1550">
        <v>968</v>
      </c>
      <c r="J49" s="1550">
        <v>983</v>
      </c>
      <c r="K49" s="1550">
        <v>924</v>
      </c>
      <c r="L49" s="1550">
        <v>957</v>
      </c>
      <c r="M49" s="1550" t="s">
        <v>281</v>
      </c>
      <c r="N49" s="1550">
        <v>868</v>
      </c>
      <c r="O49" s="1550">
        <v>918</v>
      </c>
      <c r="P49" s="1550">
        <v>863</v>
      </c>
      <c r="Q49" s="1550">
        <v>833</v>
      </c>
      <c r="R49" s="1550">
        <v>822</v>
      </c>
      <c r="S49" s="1550">
        <v>567</v>
      </c>
      <c r="T49" s="1550">
        <v>685</v>
      </c>
      <c r="U49" s="1550">
        <v>474</v>
      </c>
      <c r="V49" s="3221">
        <v>445</v>
      </c>
    </row>
    <row r="50" spans="1:42" s="387" customFormat="1" ht="12" x14ac:dyDescent="0.2">
      <c r="A50" s="384"/>
      <c r="B50" s="385"/>
      <c r="C50" s="386"/>
      <c r="D50" s="2685" t="s">
        <v>230</v>
      </c>
      <c r="E50" s="388">
        <v>38</v>
      </c>
      <c r="F50" s="388">
        <v>37</v>
      </c>
      <c r="G50" s="388">
        <v>43</v>
      </c>
      <c r="H50" s="1551">
        <v>21</v>
      </c>
      <c r="I50" s="1551">
        <v>20</v>
      </c>
      <c r="J50" s="1551">
        <v>18</v>
      </c>
      <c r="K50" s="1551">
        <v>22</v>
      </c>
      <c r="L50" s="1551">
        <v>19</v>
      </c>
      <c r="M50" s="1551">
        <v>23</v>
      </c>
      <c r="N50" s="1551">
        <v>25</v>
      </c>
      <c r="O50" s="1551">
        <v>24</v>
      </c>
      <c r="P50" s="1551">
        <v>23</v>
      </c>
      <c r="Q50" s="1551">
        <v>26</v>
      </c>
      <c r="R50" s="1551">
        <v>26</v>
      </c>
      <c r="S50" s="1551">
        <v>30</v>
      </c>
      <c r="T50" s="1551">
        <v>26</v>
      </c>
      <c r="U50" s="1551">
        <v>31</v>
      </c>
      <c r="V50" s="3222">
        <v>31</v>
      </c>
      <c r="W50" s="2686"/>
      <c r="X50" s="2686"/>
      <c r="Y50" s="2686"/>
    </row>
    <row r="51" spans="1:42" s="77" customFormat="1" ht="12" x14ac:dyDescent="0.2">
      <c r="A51" s="126"/>
      <c r="B51" s="127"/>
      <c r="C51" s="128"/>
      <c r="D51" s="2684" t="s">
        <v>282</v>
      </c>
      <c r="E51" s="2687">
        <v>6917</v>
      </c>
      <c r="F51" s="2687" t="s">
        <v>283</v>
      </c>
      <c r="G51" s="2687" t="s">
        <v>284</v>
      </c>
      <c r="H51" s="1552" t="s">
        <v>285</v>
      </c>
      <c r="I51" s="1552" t="s">
        <v>286</v>
      </c>
      <c r="J51" s="1552" t="s">
        <v>287</v>
      </c>
      <c r="K51" s="1552" t="s">
        <v>288</v>
      </c>
      <c r="L51" s="1552">
        <v>846</v>
      </c>
      <c r="M51" s="1552">
        <v>821</v>
      </c>
      <c r="N51" s="1552">
        <v>572</v>
      </c>
      <c r="O51" s="1552">
        <v>537</v>
      </c>
      <c r="P51" s="1552">
        <v>879</v>
      </c>
      <c r="Q51" s="1552">
        <v>806</v>
      </c>
      <c r="R51" s="1552" t="s">
        <v>289</v>
      </c>
      <c r="S51" s="1552" t="s">
        <v>290</v>
      </c>
      <c r="T51" s="1552" t="s">
        <v>291</v>
      </c>
      <c r="U51" s="1552" t="s">
        <v>292</v>
      </c>
      <c r="V51" s="3223" t="s">
        <v>293</v>
      </c>
      <c r="W51" s="2688"/>
      <c r="X51" s="2689"/>
      <c r="Y51" s="2688"/>
    </row>
    <row r="52" spans="1:42" s="387" customFormat="1" ht="12" x14ac:dyDescent="0.2">
      <c r="A52" s="384"/>
      <c r="B52" s="385"/>
      <c r="C52" s="386"/>
      <c r="D52" s="2685" t="s">
        <v>230</v>
      </c>
      <c r="E52" s="388">
        <v>14</v>
      </c>
      <c r="F52" s="388">
        <v>7</v>
      </c>
      <c r="G52" s="388">
        <v>7</v>
      </c>
      <c r="H52" s="1551">
        <v>15</v>
      </c>
      <c r="I52" s="1551">
        <v>18</v>
      </c>
      <c r="J52" s="1551">
        <v>11</v>
      </c>
      <c r="K52" s="1551">
        <v>11</v>
      </c>
      <c r="L52" s="1551">
        <v>24</v>
      </c>
      <c r="M52" s="1551">
        <v>26</v>
      </c>
      <c r="N52" s="1551">
        <v>31</v>
      </c>
      <c r="O52" s="1551">
        <v>29</v>
      </c>
      <c r="P52" s="1551">
        <v>30</v>
      </c>
      <c r="Q52" s="1551">
        <v>29</v>
      </c>
      <c r="R52" s="1551">
        <v>12</v>
      </c>
      <c r="S52" s="1551">
        <v>12</v>
      </c>
      <c r="T52" s="1551">
        <v>11</v>
      </c>
      <c r="U52" s="1551">
        <v>14</v>
      </c>
      <c r="V52" s="3222">
        <v>14</v>
      </c>
      <c r="W52" s="2689"/>
      <c r="X52" s="2689"/>
      <c r="Y52" s="2689"/>
    </row>
    <row r="53" spans="1:42" s="77" customFormat="1" ht="12" x14ac:dyDescent="0.2">
      <c r="A53" s="126"/>
      <c r="B53" s="127"/>
      <c r="C53" s="128"/>
      <c r="D53" s="2684" t="s">
        <v>294</v>
      </c>
      <c r="E53" s="2687">
        <v>458</v>
      </c>
      <c r="F53" s="2687">
        <v>379</v>
      </c>
      <c r="G53" s="2687">
        <v>386</v>
      </c>
      <c r="H53" s="1552">
        <v>420</v>
      </c>
      <c r="I53" s="1552">
        <v>416</v>
      </c>
      <c r="J53" s="1552">
        <v>429</v>
      </c>
      <c r="K53" s="1552">
        <v>435</v>
      </c>
      <c r="L53" s="1552">
        <v>433</v>
      </c>
      <c r="M53" s="1552">
        <v>486</v>
      </c>
      <c r="N53" s="1552">
        <v>378</v>
      </c>
      <c r="O53" s="1552">
        <v>428</v>
      </c>
      <c r="P53" s="1552">
        <v>467</v>
      </c>
      <c r="Q53" s="1552">
        <v>415</v>
      </c>
      <c r="R53" s="1552">
        <v>559</v>
      </c>
      <c r="S53" s="1552">
        <v>555</v>
      </c>
      <c r="T53" s="1552">
        <v>667</v>
      </c>
      <c r="U53" s="1552">
        <v>982</v>
      </c>
      <c r="V53" s="3223">
        <v>903</v>
      </c>
      <c r="W53" s="2688"/>
      <c r="X53" s="2689"/>
      <c r="Y53" s="2688"/>
    </row>
    <row r="54" spans="1:42" s="387" customFormat="1" ht="12" x14ac:dyDescent="0.2">
      <c r="A54" s="384"/>
      <c r="B54" s="385"/>
      <c r="C54" s="386"/>
      <c r="D54" s="2690" t="s">
        <v>230</v>
      </c>
      <c r="E54" s="2691">
        <v>21</v>
      </c>
      <c r="F54" s="2691">
        <v>22</v>
      </c>
      <c r="G54" s="2691">
        <v>21</v>
      </c>
      <c r="H54" s="1553">
        <v>21</v>
      </c>
      <c r="I54" s="1553">
        <v>22</v>
      </c>
      <c r="J54" s="1553">
        <v>24</v>
      </c>
      <c r="K54" s="1553">
        <v>26</v>
      </c>
      <c r="L54" s="1553">
        <v>26</v>
      </c>
      <c r="M54" s="1553">
        <v>25</v>
      </c>
      <c r="N54" s="1553">
        <v>28</v>
      </c>
      <c r="O54" s="1553">
        <v>28</v>
      </c>
      <c r="P54" s="1553">
        <v>27</v>
      </c>
      <c r="Q54" s="1553">
        <v>32</v>
      </c>
      <c r="R54" s="1553">
        <v>29</v>
      </c>
      <c r="S54" s="1553">
        <v>30</v>
      </c>
      <c r="T54" s="1553">
        <v>28</v>
      </c>
      <c r="U54" s="1553">
        <v>26</v>
      </c>
      <c r="V54" s="3224">
        <v>27</v>
      </c>
      <c r="W54" s="2689"/>
      <c r="X54" s="2689"/>
      <c r="Y54" s="2689"/>
    </row>
    <row r="55" spans="1:42" s="387" customFormat="1" ht="12" x14ac:dyDescent="0.2">
      <c r="A55" s="384"/>
      <c r="B55" s="385"/>
      <c r="C55" s="386"/>
      <c r="D55" s="2692"/>
      <c r="E55" s="389"/>
      <c r="F55" s="389"/>
      <c r="G55" s="389"/>
      <c r="H55" s="389"/>
      <c r="I55" s="389"/>
      <c r="J55" s="389"/>
      <c r="K55" s="389"/>
      <c r="L55" s="389"/>
      <c r="M55" s="389"/>
      <c r="N55" s="389"/>
      <c r="O55" s="389"/>
      <c r="P55" s="389"/>
      <c r="Q55" s="389"/>
      <c r="R55" s="389"/>
      <c r="S55" s="389"/>
      <c r="T55" s="389"/>
      <c r="U55" s="389"/>
      <c r="V55" s="389"/>
      <c r="W55" s="2693"/>
      <c r="X55" s="2689"/>
      <c r="Y55" s="2689"/>
      <c r="Z55" s="2689"/>
      <c r="AA55" s="2692"/>
      <c r="AB55" s="389"/>
      <c r="AC55" s="389"/>
      <c r="AD55" s="389"/>
      <c r="AE55" s="389"/>
      <c r="AF55" s="389"/>
      <c r="AG55" s="389"/>
      <c r="AH55" s="389"/>
      <c r="AI55" s="389"/>
      <c r="AJ55" s="389"/>
      <c r="AK55" s="389"/>
      <c r="AL55" s="389"/>
      <c r="AM55" s="389"/>
      <c r="AN55" s="389"/>
      <c r="AO55" s="389"/>
      <c r="AP55" s="389"/>
    </row>
    <row r="56" spans="1:42" ht="12.75" customHeight="1" x14ac:dyDescent="0.25">
      <c r="A56" s="113">
        <v>6</v>
      </c>
      <c r="B56" s="114" t="s">
        <v>78</v>
      </c>
      <c r="C56" s="113"/>
      <c r="D56" s="3553" t="s">
        <v>295</v>
      </c>
      <c r="E56" s="3554"/>
      <c r="F56" s="3554"/>
      <c r="G56" s="3554"/>
      <c r="H56" s="3554"/>
      <c r="I56" s="3554"/>
      <c r="J56" s="3554"/>
      <c r="K56" s="3554"/>
      <c r="L56" s="3554"/>
      <c r="M56" s="3554"/>
      <c r="N56" s="3554"/>
      <c r="O56" s="3554"/>
      <c r="P56" s="3554"/>
      <c r="Q56" s="3554"/>
      <c r="R56" s="3554"/>
      <c r="S56" s="3554"/>
      <c r="T56" s="3554"/>
      <c r="U56" s="3554"/>
      <c r="V56" s="3554"/>
      <c r="W56" s="3554"/>
      <c r="X56" s="3555"/>
      <c r="Y56" s="2688"/>
      <c r="Z56" s="2689"/>
      <c r="AA56" s="2688"/>
      <c r="AB56" s="2689"/>
    </row>
    <row r="57" spans="1:42" ht="44.25" customHeight="1" x14ac:dyDescent="0.25">
      <c r="A57" s="136">
        <v>7</v>
      </c>
      <c r="B57" s="137" t="s">
        <v>80</v>
      </c>
      <c r="C57" s="136"/>
      <c r="D57" s="3568" t="s">
        <v>296</v>
      </c>
      <c r="E57" s="3569"/>
      <c r="F57" s="3569"/>
      <c r="G57" s="3569"/>
      <c r="H57" s="3569"/>
      <c r="I57" s="3569"/>
      <c r="J57" s="3569"/>
      <c r="K57" s="3569"/>
      <c r="L57" s="3569"/>
      <c r="M57" s="3569"/>
      <c r="N57" s="3569"/>
      <c r="O57" s="3569"/>
      <c r="P57" s="3569"/>
      <c r="Q57" s="3569"/>
      <c r="R57" s="3569"/>
      <c r="S57" s="3569"/>
      <c r="T57" s="3569"/>
      <c r="U57" s="3569"/>
      <c r="V57" s="3569"/>
      <c r="W57" s="3569"/>
      <c r="X57" s="3570"/>
      <c r="Y57" s="2694"/>
      <c r="Z57" s="2688"/>
      <c r="AA57" s="2689"/>
      <c r="AB57" s="2688"/>
      <c r="AC57" s="2689"/>
      <c r="AD57" s="2688"/>
      <c r="AE57" s="2689"/>
    </row>
    <row r="58" spans="1:42" ht="33" customHeight="1" x14ac:dyDescent="0.25">
      <c r="A58" s="113">
        <v>8</v>
      </c>
      <c r="B58" s="114" t="s">
        <v>20</v>
      </c>
      <c r="C58" s="113"/>
      <c r="D58" s="3556" t="s">
        <v>297</v>
      </c>
      <c r="E58" s="3557"/>
      <c r="F58" s="3557"/>
      <c r="G58" s="3557"/>
      <c r="H58" s="3557"/>
      <c r="I58" s="3557"/>
      <c r="J58" s="3557"/>
      <c r="K58" s="3557"/>
      <c r="L58" s="3557"/>
      <c r="M58" s="3557"/>
      <c r="N58" s="3557"/>
      <c r="O58" s="3557"/>
      <c r="P58" s="3557"/>
      <c r="Q58" s="3557"/>
      <c r="R58" s="3557"/>
      <c r="S58" s="3557"/>
      <c r="T58" s="3557"/>
      <c r="U58" s="3557"/>
      <c r="V58" s="3557"/>
      <c r="W58" s="3557"/>
      <c r="X58" s="3558"/>
      <c r="Y58" s="2694"/>
      <c r="Z58" s="2688"/>
      <c r="AA58" s="2689"/>
      <c r="AB58" s="2688"/>
      <c r="AC58" s="2689"/>
      <c r="AD58" s="2688"/>
      <c r="AE58" s="2689"/>
    </row>
    <row r="59" spans="1:42" ht="46.15" customHeight="1" x14ac:dyDescent="0.25">
      <c r="A59" s="113">
        <v>9</v>
      </c>
      <c r="B59" s="114" t="s">
        <v>83</v>
      </c>
      <c r="D59" s="3556" t="s">
        <v>298</v>
      </c>
      <c r="E59" s="3557"/>
      <c r="F59" s="3557"/>
      <c r="G59" s="3557"/>
      <c r="H59" s="3557"/>
      <c r="I59" s="3557"/>
      <c r="J59" s="3557"/>
      <c r="K59" s="3557"/>
      <c r="L59" s="3557"/>
      <c r="M59" s="3557"/>
      <c r="N59" s="3557"/>
      <c r="O59" s="3557"/>
      <c r="P59" s="3557"/>
      <c r="Q59" s="3557"/>
      <c r="R59" s="3557"/>
      <c r="S59" s="3557"/>
      <c r="T59" s="3557"/>
      <c r="U59" s="3557"/>
      <c r="V59" s="3557"/>
      <c r="W59" s="3557"/>
      <c r="X59" s="3558"/>
      <c r="Y59" s="2694"/>
      <c r="Z59" s="2688"/>
      <c r="AA59" s="2689"/>
      <c r="AB59" s="2688"/>
      <c r="AC59" s="2689"/>
      <c r="AD59" s="2688"/>
      <c r="AE59" s="2689"/>
    </row>
  </sheetData>
  <mergeCells count="7">
    <mergeCell ref="D58:X58"/>
    <mergeCell ref="D59:X59"/>
    <mergeCell ref="D2:X2"/>
    <mergeCell ref="D3:X3"/>
    <mergeCell ref="D4:X4"/>
    <mergeCell ref="D56:X56"/>
    <mergeCell ref="D57:X57"/>
  </mergeCells>
  <pageMargins left="0.74803149606299213" right="0.74803149606299213" top="0.98425196850393704" bottom="0.98425196850393704" header="0.51181102362204722" footer="0.51181102362204722"/>
  <pageSetup paperSize="9" scale="5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Z132"/>
  <sheetViews>
    <sheetView showGridLines="0" view="pageBreakPreview" topLeftCell="S1" zoomScaleNormal="100" zoomScaleSheetLayoutView="100" workbookViewId="0">
      <selection activeCell="Z7" sqref="Z7:Z11"/>
    </sheetView>
  </sheetViews>
  <sheetFormatPr defaultColWidth="9.140625" defaultRowHeight="15" x14ac:dyDescent="0.25"/>
  <cols>
    <col min="1" max="1" width="3.7109375" style="113" customWidth="1"/>
    <col min="2" max="2" width="14.42578125" style="110" customWidth="1"/>
    <col min="3" max="3" width="3.7109375" style="111" customWidth="1"/>
    <col min="4" max="4" width="30.85546875" style="51" customWidth="1"/>
    <col min="5" max="17" width="8.28515625" style="51" customWidth="1"/>
    <col min="18" max="24" width="8.28515625" style="59" customWidth="1"/>
    <col min="25" max="25" width="10" style="59" bestFit="1" customWidth="1"/>
    <col min="26" max="26" width="10" style="59" customWidth="1"/>
    <col min="27" max="27" width="9.85546875" style="59" bestFit="1" customWidth="1"/>
    <col min="28" max="28" width="10" style="59" bestFit="1" customWidth="1"/>
    <col min="29" max="29" width="10" style="59" customWidth="1"/>
    <col min="30" max="30" width="10" style="59" bestFit="1" customWidth="1"/>
    <col min="31" max="31" width="9.85546875" style="59" bestFit="1" customWidth="1"/>
    <col min="32" max="34" width="10" style="59" bestFit="1" customWidth="1"/>
    <col min="35" max="35" width="9.85546875" style="59" bestFit="1" customWidth="1"/>
    <col min="36" max="36" width="10" style="59" bestFit="1" customWidth="1"/>
    <col min="37" max="37" width="10" style="59" customWidth="1"/>
    <col min="38" max="38" width="10" style="59" bestFit="1" customWidth="1"/>
    <col min="39" max="39" width="9.85546875" style="59" bestFit="1" customWidth="1"/>
    <col min="40" max="42" width="10" style="59" bestFit="1" customWidth="1"/>
    <col min="43" max="43" width="9.85546875" style="59" bestFit="1" customWidth="1"/>
    <col min="44" max="46" width="10" style="59" bestFit="1" customWidth="1"/>
    <col min="47" max="47" width="9.85546875" style="59" bestFit="1" customWidth="1"/>
    <col min="48" max="50" width="10" style="59" bestFit="1" customWidth="1"/>
    <col min="51" max="51" width="9.85546875" style="59" bestFit="1" customWidth="1"/>
    <col min="52" max="54" width="10" style="59" bestFit="1" customWidth="1"/>
    <col min="55" max="55" width="9.85546875" style="59" bestFit="1" customWidth="1"/>
    <col min="56" max="58" width="10" style="59" bestFit="1" customWidth="1"/>
    <col min="59" max="59" width="9.85546875" style="59" bestFit="1" customWidth="1"/>
    <col min="60" max="62" width="10" style="59" bestFit="1" customWidth="1"/>
    <col min="63" max="63" width="9.85546875" style="59" bestFit="1" customWidth="1"/>
    <col min="64" max="64" width="9.7109375" style="59" bestFit="1" customWidth="1"/>
    <col min="65" max="66" width="10" style="59" bestFit="1" customWidth="1"/>
    <col min="67" max="67" width="11.5703125" style="59" customWidth="1"/>
    <col min="68" max="69" width="10.42578125" style="59" customWidth="1"/>
    <col min="70" max="70" width="10.42578125" style="51" customWidth="1"/>
    <col min="71" max="16384" width="9.140625" style="51"/>
  </cols>
  <sheetData>
    <row r="1" spans="1:69" x14ac:dyDescent="0.25">
      <c r="D1" s="122"/>
      <c r="E1" s="122"/>
      <c r="F1" s="112"/>
      <c r="G1" s="112"/>
      <c r="H1" s="112"/>
      <c r="I1" s="112"/>
      <c r="J1" s="112"/>
      <c r="K1" s="112"/>
      <c r="L1" s="112"/>
      <c r="M1" s="112"/>
      <c r="N1" s="112"/>
      <c r="O1" s="112"/>
      <c r="P1" s="112"/>
      <c r="Q1" s="112"/>
      <c r="R1" s="122"/>
      <c r="S1" s="122"/>
      <c r="T1" s="122"/>
      <c r="U1" s="122"/>
    </row>
    <row r="2" spans="1:69" ht="15" customHeight="1" x14ac:dyDescent="0.25">
      <c r="A2" s="113">
        <v>1</v>
      </c>
      <c r="B2" s="114" t="s">
        <v>24</v>
      </c>
      <c r="C2" s="113">
        <f>1+[7]ICT!C2</f>
        <v>13</v>
      </c>
      <c r="D2" s="3562" t="s">
        <v>299</v>
      </c>
      <c r="E2" s="3563"/>
      <c r="F2" s="3563"/>
      <c r="G2" s="3563"/>
      <c r="H2" s="3563"/>
      <c r="I2" s="3563"/>
      <c r="J2" s="3563"/>
      <c r="K2" s="3563"/>
      <c r="L2" s="3563"/>
      <c r="M2" s="3563"/>
      <c r="N2" s="3563"/>
      <c r="O2" s="3563"/>
      <c r="P2" s="3563"/>
      <c r="Q2" s="3563"/>
      <c r="R2" s="3563"/>
      <c r="S2" s="3563"/>
      <c r="T2" s="3563"/>
      <c r="U2" s="3563"/>
      <c r="V2" s="3563"/>
      <c r="W2" s="3563"/>
      <c r="X2" s="3563"/>
      <c r="Y2" s="3563"/>
      <c r="Z2" s="3564"/>
      <c r="AA2" s="162"/>
      <c r="AB2" s="162"/>
      <c r="AC2" s="162"/>
      <c r="AD2" s="162"/>
      <c r="AE2" s="162"/>
      <c r="AF2" s="162"/>
      <c r="AG2" s="162"/>
      <c r="AH2" s="162"/>
      <c r="AI2" s="162"/>
      <c r="AJ2" s="162"/>
      <c r="AK2" s="162"/>
      <c r="AL2" s="162"/>
      <c r="AM2" s="162"/>
      <c r="AN2" s="162"/>
    </row>
    <row r="3" spans="1:69" ht="15" customHeight="1" x14ac:dyDescent="0.25">
      <c r="A3" s="113">
        <v>2</v>
      </c>
      <c r="B3" s="114" t="s">
        <v>26</v>
      </c>
      <c r="C3" s="113"/>
      <c r="D3" s="3562" t="s">
        <v>300</v>
      </c>
      <c r="E3" s="3563"/>
      <c r="F3" s="3563"/>
      <c r="G3" s="3563"/>
      <c r="H3" s="3563"/>
      <c r="I3" s="3563"/>
      <c r="J3" s="3563"/>
      <c r="K3" s="3563"/>
      <c r="L3" s="3563"/>
      <c r="M3" s="3563"/>
      <c r="N3" s="3563"/>
      <c r="O3" s="3563"/>
      <c r="P3" s="3563"/>
      <c r="Q3" s="3563"/>
      <c r="R3" s="3563"/>
      <c r="S3" s="3563"/>
      <c r="T3" s="3563"/>
      <c r="U3" s="3563"/>
      <c r="V3" s="3563"/>
      <c r="W3" s="3563"/>
      <c r="X3" s="3563"/>
      <c r="Y3" s="3563"/>
      <c r="Z3" s="3564"/>
      <c r="AA3" s="54"/>
      <c r="AB3" s="54"/>
      <c r="AC3" s="54"/>
      <c r="AD3" s="54"/>
      <c r="AE3" s="54"/>
      <c r="AF3" s="54"/>
      <c r="AG3" s="54"/>
      <c r="AH3" s="54"/>
      <c r="AI3" s="54"/>
      <c r="AJ3" s="54"/>
      <c r="AK3" s="54"/>
      <c r="AL3" s="54"/>
      <c r="AM3" s="54"/>
      <c r="AN3" s="54"/>
    </row>
    <row r="4" spans="1:69" ht="15" customHeight="1" x14ac:dyDescent="0.25">
      <c r="A4" s="113">
        <v>3</v>
      </c>
      <c r="B4" s="114" t="s">
        <v>28</v>
      </c>
      <c r="C4" s="113"/>
      <c r="D4" s="3562" t="s">
        <v>301</v>
      </c>
      <c r="E4" s="3563"/>
      <c r="F4" s="3563"/>
      <c r="G4" s="3563"/>
      <c r="H4" s="3563"/>
      <c r="I4" s="3563"/>
      <c r="J4" s="3563"/>
      <c r="K4" s="3563"/>
      <c r="L4" s="3563"/>
      <c r="M4" s="3563"/>
      <c r="N4" s="3563"/>
      <c r="O4" s="3563"/>
      <c r="P4" s="3563"/>
      <c r="Q4" s="3563"/>
      <c r="R4" s="3563"/>
      <c r="S4" s="3563"/>
      <c r="T4" s="3563"/>
      <c r="U4" s="3563"/>
      <c r="V4" s="3563"/>
      <c r="W4" s="3563"/>
      <c r="X4" s="3563"/>
      <c r="Y4" s="3563"/>
      <c r="Z4" s="3564"/>
      <c r="AA4" s="54"/>
      <c r="AB4" s="54"/>
      <c r="AC4" s="54"/>
      <c r="AD4" s="54"/>
      <c r="AE4" s="54"/>
      <c r="AF4" s="54"/>
      <c r="AG4" s="54"/>
      <c r="AH4" s="54"/>
      <c r="AI4" s="54"/>
      <c r="AJ4" s="54"/>
      <c r="AK4" s="54"/>
      <c r="AL4" s="54"/>
      <c r="AM4" s="54"/>
      <c r="AN4" s="54"/>
    </row>
    <row r="5" spans="1:69" x14ac:dyDescent="0.25">
      <c r="B5" s="114"/>
      <c r="C5" s="113"/>
      <c r="D5" s="196"/>
      <c r="E5" s="390"/>
      <c r="F5" s="196"/>
      <c r="G5" s="196"/>
      <c r="H5" s="196"/>
      <c r="I5" s="196"/>
      <c r="J5" s="196"/>
      <c r="K5" s="196"/>
      <c r="L5" s="196"/>
      <c r="M5" s="196"/>
      <c r="N5" s="196"/>
      <c r="O5" s="196"/>
      <c r="P5" s="196"/>
      <c r="Q5" s="196"/>
      <c r="R5" s="196"/>
      <c r="S5" s="196"/>
      <c r="T5" s="196"/>
      <c r="U5" s="196"/>
      <c r="V5" s="162"/>
      <c r="W5" s="162"/>
      <c r="X5" s="162"/>
      <c r="Y5" s="162"/>
      <c r="Z5" s="162"/>
      <c r="AA5" s="162"/>
      <c r="AB5" s="162"/>
      <c r="AC5" s="162"/>
      <c r="AD5" s="162"/>
      <c r="AE5" s="162"/>
      <c r="AF5" s="162"/>
      <c r="AG5" s="162"/>
      <c r="AH5" s="162"/>
      <c r="AI5" s="162"/>
      <c r="AJ5" s="162"/>
      <c r="AK5" s="162"/>
      <c r="AL5" s="162"/>
      <c r="AM5" s="162"/>
      <c r="AN5" s="162"/>
    </row>
    <row r="6" spans="1:69" x14ac:dyDescent="0.25">
      <c r="A6" s="113">
        <v>4</v>
      </c>
      <c r="B6" s="114" t="s">
        <v>1</v>
      </c>
      <c r="C6" s="113"/>
      <c r="D6" s="120"/>
      <c r="E6" s="167" t="s">
        <v>302</v>
      </c>
      <c r="F6" s="130"/>
      <c r="G6" s="130"/>
      <c r="H6" s="130"/>
      <c r="I6" s="130"/>
      <c r="J6" s="130"/>
      <c r="K6" s="130"/>
      <c r="L6" s="130"/>
      <c r="M6" s="130"/>
      <c r="N6" s="130"/>
      <c r="O6" s="130"/>
      <c r="P6" s="133"/>
      <c r="Q6" s="133"/>
      <c r="R6" s="391"/>
      <c r="S6" s="391"/>
      <c r="T6" s="391"/>
      <c r="U6" s="391"/>
    </row>
    <row r="7" spans="1:69" x14ac:dyDescent="0.25">
      <c r="B7" s="114"/>
      <c r="C7" s="113"/>
      <c r="D7" s="3225" t="s">
        <v>208</v>
      </c>
      <c r="E7" s="392">
        <v>34699</v>
      </c>
      <c r="F7" s="392">
        <v>35064</v>
      </c>
      <c r="G7" s="392">
        <v>35430</v>
      </c>
      <c r="H7" s="392">
        <v>35795</v>
      </c>
      <c r="I7" s="392">
        <v>36160</v>
      </c>
      <c r="J7" s="392">
        <v>36525</v>
      </c>
      <c r="K7" s="393">
        <v>36891</v>
      </c>
      <c r="L7" s="393">
        <v>37256</v>
      </c>
      <c r="M7" s="393">
        <v>37621</v>
      </c>
      <c r="N7" s="393">
        <v>37986</v>
      </c>
      <c r="O7" s="393">
        <v>38352</v>
      </c>
      <c r="P7" s="394">
        <v>38717</v>
      </c>
      <c r="Q7" s="394">
        <v>39082</v>
      </c>
      <c r="R7" s="394">
        <v>39083</v>
      </c>
      <c r="S7" s="394">
        <v>39448</v>
      </c>
      <c r="T7" s="395">
        <v>2009</v>
      </c>
      <c r="U7" s="395" t="s">
        <v>49</v>
      </c>
      <c r="V7" s="395" t="s">
        <v>50</v>
      </c>
      <c r="W7" s="395">
        <v>2012</v>
      </c>
      <c r="X7" s="395" t="s">
        <v>52</v>
      </c>
      <c r="Y7" s="395" t="s">
        <v>105</v>
      </c>
      <c r="Z7" s="3226" t="s">
        <v>106</v>
      </c>
      <c r="AL7" s="59">
        <v>2013</v>
      </c>
    </row>
    <row r="8" spans="1:69" ht="15.75" customHeight="1" x14ac:dyDescent="0.25">
      <c r="B8" s="114"/>
      <c r="C8" s="113"/>
      <c r="D8" s="2948" t="s">
        <v>303</v>
      </c>
      <c r="E8" s="2666">
        <v>19.3</v>
      </c>
      <c r="F8" s="2666">
        <v>21.5</v>
      </c>
      <c r="G8" s="2666">
        <v>22.6</v>
      </c>
      <c r="H8" s="2666">
        <v>22.9</v>
      </c>
      <c r="I8" s="2666">
        <v>23.9</v>
      </c>
      <c r="J8" s="2666">
        <v>22.2</v>
      </c>
      <c r="K8" s="1554">
        <v>24.3</v>
      </c>
      <c r="L8" s="1554">
        <v>25.4</v>
      </c>
      <c r="M8" s="1554">
        <v>28</v>
      </c>
      <c r="N8" s="1554">
        <v>24.5</v>
      </c>
      <c r="O8" s="1554">
        <v>25.6</v>
      </c>
      <c r="P8" s="1554">
        <v>26.7</v>
      </c>
      <c r="Q8" s="1554">
        <v>31</v>
      </c>
      <c r="R8" s="1554">
        <v>32.5</v>
      </c>
      <c r="S8" s="1554">
        <v>37.200000000000003</v>
      </c>
      <c r="T8" s="1554">
        <v>27.5</v>
      </c>
      <c r="U8" s="1554">
        <v>27.4</v>
      </c>
      <c r="V8" s="1554">
        <v>29.7</v>
      </c>
      <c r="W8" s="1554">
        <v>31.2</v>
      </c>
      <c r="X8" s="1554">
        <v>33.200000000000003</v>
      </c>
      <c r="Y8" s="1554">
        <v>32.9</v>
      </c>
      <c r="Z8" s="3227">
        <v>31.7</v>
      </c>
    </row>
    <row r="9" spans="1:69" x14ac:dyDescent="0.25">
      <c r="B9" s="114"/>
      <c r="C9" s="113"/>
      <c r="D9" s="2949" t="s">
        <v>304</v>
      </c>
      <c r="E9" s="441">
        <v>21.5</v>
      </c>
      <c r="F9" s="441">
        <v>22.1</v>
      </c>
      <c r="G9" s="441">
        <v>24.1</v>
      </c>
      <c r="H9" s="441">
        <v>24</v>
      </c>
      <c r="I9" s="441">
        <v>25</v>
      </c>
      <c r="J9" s="441">
        <v>24.7</v>
      </c>
      <c r="K9" s="1555">
        <v>27.2</v>
      </c>
      <c r="L9" s="1555">
        <v>29.4</v>
      </c>
      <c r="M9" s="1555">
        <v>31.8</v>
      </c>
      <c r="N9" s="1555">
        <v>26.9</v>
      </c>
      <c r="O9" s="1555">
        <v>25.5</v>
      </c>
      <c r="P9" s="1555">
        <v>26.4</v>
      </c>
      <c r="Q9" s="1555">
        <v>29.3</v>
      </c>
      <c r="R9" s="1555">
        <v>31.2</v>
      </c>
      <c r="S9" s="1555">
        <v>35.6</v>
      </c>
      <c r="T9" s="1555">
        <v>27.9</v>
      </c>
      <c r="U9" s="1555">
        <v>28.6</v>
      </c>
      <c r="V9" s="1555">
        <v>30.5</v>
      </c>
      <c r="W9" s="1555">
        <v>29.7</v>
      </c>
      <c r="X9" s="1555">
        <v>30.8</v>
      </c>
      <c r="Y9" s="1555">
        <v>31.2</v>
      </c>
      <c r="Z9" s="3228">
        <v>30.7</v>
      </c>
    </row>
    <row r="10" spans="1:69" x14ac:dyDescent="0.25">
      <c r="D10" s="2949" t="s">
        <v>305</v>
      </c>
      <c r="E10" s="2667">
        <v>3.1398556726376499</v>
      </c>
      <c r="F10" s="2667">
        <v>1.5320907301328299</v>
      </c>
      <c r="G10" s="2667">
        <v>1.9534801634387051</v>
      </c>
      <c r="H10" s="2667">
        <v>1.5267729268386343</v>
      </c>
      <c r="I10" s="2667">
        <v>1.3205401899540214</v>
      </c>
      <c r="J10" s="2667">
        <v>2.9308070770635144</v>
      </c>
      <c r="K10" s="1556">
        <v>3.4501925344807907</v>
      </c>
      <c r="L10" s="1556">
        <v>4.2629886516578983</v>
      </c>
      <c r="M10" s="1556">
        <v>4.1278604083745121</v>
      </c>
      <c r="N10" s="1556">
        <v>2.0125723543973821</v>
      </c>
      <c r="O10" s="1556">
        <v>-8.3569062651739814E-2</v>
      </c>
      <c r="P10" s="1556">
        <v>-0.12206772104872093</v>
      </c>
      <c r="Q10" s="1556">
        <v>-1.3190170707839513</v>
      </c>
      <c r="R10" s="1556">
        <v>-0.86257325188599021</v>
      </c>
      <c r="S10" s="1556">
        <v>-0.6130271757230602</v>
      </c>
      <c r="T10" s="1556">
        <v>1.1207184976374549</v>
      </c>
      <c r="U10" s="1556">
        <v>2.1740839182418683</v>
      </c>
      <c r="V10" s="1556">
        <v>1.6275975564704881</v>
      </c>
      <c r="W10" s="1556">
        <v>-1.1306189055215627</v>
      </c>
      <c r="X10" s="1556">
        <v>-2.0482633462124626</v>
      </c>
      <c r="Y10" s="1556">
        <v>-1.670274434265058</v>
      </c>
      <c r="Z10" s="3229">
        <v>-0.85738660033207159</v>
      </c>
    </row>
    <row r="11" spans="1:69" x14ac:dyDescent="0.25">
      <c r="D11" s="2983" t="s">
        <v>306</v>
      </c>
      <c r="E11" s="1282">
        <v>0</v>
      </c>
      <c r="F11" s="1282">
        <v>-1.6</v>
      </c>
      <c r="G11" s="1282">
        <v>-1.1000000000000001</v>
      </c>
      <c r="H11" s="1282">
        <v>-1.5</v>
      </c>
      <c r="I11" s="1282">
        <v>-1.7</v>
      </c>
      <c r="J11" s="1282">
        <v>-0.5</v>
      </c>
      <c r="K11" s="2668">
        <v>-0.1</v>
      </c>
      <c r="L11" s="2668">
        <v>0.3</v>
      </c>
      <c r="M11" s="2668">
        <v>0.9</v>
      </c>
      <c r="N11" s="2668">
        <v>-0.8</v>
      </c>
      <c r="O11" s="2668">
        <v>-2.8</v>
      </c>
      <c r="P11" s="2668">
        <v>-3.1</v>
      </c>
      <c r="Q11" s="2668">
        <v>-4.5</v>
      </c>
      <c r="R11" s="2668">
        <v>-5.4</v>
      </c>
      <c r="S11" s="2668">
        <v>-5.5</v>
      </c>
      <c r="T11" s="2668">
        <v>-2.7</v>
      </c>
      <c r="U11" s="2668">
        <v>-1.5</v>
      </c>
      <c r="V11" s="2668">
        <v>-2.2000000000000002</v>
      </c>
      <c r="W11" s="2668">
        <v>-5.0999999999999996</v>
      </c>
      <c r="X11" s="2668">
        <v>-5.9</v>
      </c>
      <c r="Y11" s="1480">
        <v>-5.3</v>
      </c>
      <c r="Z11" s="3230">
        <v>-4.3</v>
      </c>
      <c r="BQ11" s="51"/>
    </row>
    <row r="12" spans="1:69" x14ac:dyDescent="0.25">
      <c r="E12" s="96"/>
      <c r="F12" s="96"/>
      <c r="G12" s="96"/>
      <c r="H12" s="96"/>
      <c r="I12" s="96"/>
      <c r="J12" s="96"/>
      <c r="K12" s="96"/>
      <c r="L12" s="96"/>
      <c r="M12" s="96"/>
      <c r="N12" s="96"/>
      <c r="O12" s="96"/>
      <c r="P12" s="96"/>
      <c r="Q12" s="96"/>
      <c r="R12" s="96"/>
      <c r="S12" s="96"/>
      <c r="T12" s="96"/>
      <c r="U12" s="96"/>
      <c r="V12" s="96"/>
      <c r="W12" s="96"/>
      <c r="X12" s="96"/>
      <c r="Y12" s="96"/>
      <c r="BQ12" s="51"/>
    </row>
    <row r="13" spans="1:69" x14ac:dyDescent="0.25">
      <c r="D13" s="132"/>
      <c r="E13" s="441"/>
      <c r="F13" s="441"/>
      <c r="G13" s="441"/>
      <c r="H13" s="441"/>
      <c r="I13" s="441"/>
      <c r="J13" s="441"/>
      <c r="K13" s="441"/>
      <c r="L13" s="441"/>
      <c r="M13" s="441"/>
      <c r="N13" s="441"/>
      <c r="O13" s="441"/>
      <c r="P13" s="441"/>
      <c r="Q13" s="441"/>
      <c r="R13" s="441"/>
      <c r="S13" s="441"/>
      <c r="T13" s="441"/>
      <c r="U13" s="441"/>
      <c r="V13" s="441"/>
      <c r="W13" s="441"/>
      <c r="X13" s="441"/>
      <c r="BQ13" s="51"/>
    </row>
    <row r="14" spans="1:69" x14ac:dyDescent="0.25">
      <c r="A14" s="113">
        <v>5</v>
      </c>
      <c r="B14" s="114" t="s">
        <v>77</v>
      </c>
      <c r="D14" s="112"/>
      <c r="E14" s="117"/>
      <c r="F14" s="117"/>
      <c r="G14" s="117"/>
      <c r="H14" s="117"/>
      <c r="I14" s="117"/>
      <c r="J14" s="117"/>
      <c r="K14" s="117"/>
      <c r="L14" s="117"/>
      <c r="M14" s="117"/>
      <c r="N14" s="117"/>
      <c r="O14" s="117"/>
      <c r="P14" s="117"/>
      <c r="Q14" s="117"/>
      <c r="R14" s="122"/>
      <c r="S14" s="122"/>
      <c r="T14" s="122"/>
      <c r="U14" s="122"/>
      <c r="V14" s="2669"/>
      <c r="X14" s="1664"/>
    </row>
    <row r="15" spans="1:69" x14ac:dyDescent="0.25">
      <c r="C15" s="113"/>
      <c r="D15" s="112"/>
      <c r="E15" s="117"/>
      <c r="F15" s="117"/>
      <c r="G15" s="117"/>
      <c r="H15" s="117"/>
      <c r="I15" s="117"/>
      <c r="J15" s="117"/>
      <c r="K15" s="117"/>
      <c r="L15" s="117"/>
      <c r="M15" s="117"/>
      <c r="N15" s="117"/>
      <c r="O15" s="116"/>
      <c r="P15" s="117"/>
      <c r="Q15" s="117"/>
      <c r="R15" s="122"/>
      <c r="S15" s="122"/>
      <c r="T15" s="122"/>
      <c r="U15" s="122"/>
      <c r="V15" s="2669"/>
      <c r="X15" s="1664"/>
    </row>
    <row r="16" spans="1:69" x14ac:dyDescent="0.25">
      <c r="D16" s="112"/>
      <c r="E16" s="117"/>
      <c r="F16" s="117"/>
      <c r="G16" s="117"/>
      <c r="H16" s="117"/>
      <c r="I16" s="117"/>
      <c r="J16" s="117"/>
      <c r="K16" s="117"/>
      <c r="L16" s="117"/>
      <c r="M16" s="117"/>
      <c r="N16" s="117"/>
      <c r="O16" s="116"/>
      <c r="P16" s="117"/>
      <c r="Q16" s="117"/>
      <c r="R16" s="122"/>
      <c r="S16" s="122"/>
      <c r="T16" s="122"/>
      <c r="U16" s="122"/>
      <c r="V16" s="2669"/>
    </row>
    <row r="17" spans="4:22" x14ac:dyDescent="0.25">
      <c r="D17" s="112"/>
      <c r="E17" s="117"/>
      <c r="F17" s="117"/>
      <c r="G17" s="117"/>
      <c r="H17" s="117"/>
      <c r="I17" s="117"/>
      <c r="J17" s="117"/>
      <c r="K17" s="117"/>
      <c r="L17" s="117"/>
      <c r="M17" s="117"/>
      <c r="N17" s="117"/>
      <c r="O17" s="116"/>
      <c r="P17" s="117"/>
      <c r="Q17" s="117"/>
      <c r="R17" s="122"/>
      <c r="S17" s="122"/>
      <c r="T17" s="122"/>
      <c r="U17" s="122"/>
      <c r="V17" s="2669"/>
    </row>
    <row r="18" spans="4:22" x14ac:dyDescent="0.25">
      <c r="D18" s="112"/>
      <c r="E18" s="117"/>
      <c r="F18" s="117"/>
      <c r="G18" s="117"/>
      <c r="H18" s="117"/>
      <c r="I18" s="117"/>
      <c r="J18" s="117"/>
      <c r="K18" s="117"/>
      <c r="L18" s="117"/>
      <c r="M18" s="117"/>
      <c r="N18" s="117"/>
      <c r="O18" s="116"/>
      <c r="P18" s="117"/>
      <c r="Q18" s="117"/>
      <c r="R18" s="122"/>
      <c r="S18" s="122"/>
      <c r="T18" s="122"/>
      <c r="U18" s="122"/>
      <c r="V18" s="2669"/>
    </row>
    <row r="19" spans="4:22" x14ac:dyDescent="0.25">
      <c r="D19" s="112"/>
      <c r="E19" s="117"/>
      <c r="F19" s="117"/>
      <c r="G19" s="117"/>
      <c r="H19" s="117"/>
      <c r="I19" s="117"/>
      <c r="J19" s="117"/>
      <c r="K19" s="117"/>
      <c r="L19" s="117"/>
      <c r="M19" s="117"/>
      <c r="N19" s="117"/>
      <c r="O19" s="116"/>
      <c r="P19" s="117"/>
      <c r="Q19" s="117"/>
      <c r="R19" s="122"/>
      <c r="S19" s="122"/>
      <c r="T19" s="122"/>
      <c r="U19" s="122"/>
      <c r="V19" s="2669"/>
    </row>
    <row r="20" spans="4:22" x14ac:dyDescent="0.25">
      <c r="D20" s="112"/>
      <c r="E20" s="117"/>
      <c r="F20" s="117"/>
      <c r="G20" s="117"/>
      <c r="H20" s="117"/>
      <c r="I20" s="117"/>
      <c r="J20" s="117"/>
      <c r="K20" s="117"/>
      <c r="L20" s="117"/>
      <c r="M20" s="117"/>
      <c r="N20" s="117"/>
      <c r="O20" s="117"/>
      <c r="P20" s="117"/>
      <c r="Q20" s="117"/>
      <c r="R20" s="122"/>
      <c r="S20" s="122"/>
      <c r="T20" s="122"/>
      <c r="U20" s="122"/>
      <c r="V20" s="2670"/>
    </row>
    <row r="21" spans="4:22" x14ac:dyDescent="0.25">
      <c r="D21" s="112"/>
      <c r="E21" s="117"/>
      <c r="F21" s="117"/>
      <c r="G21" s="117"/>
      <c r="H21" s="117"/>
      <c r="I21" s="117"/>
      <c r="J21" s="117"/>
      <c r="K21" s="117"/>
      <c r="L21" s="117"/>
      <c r="M21" s="117"/>
      <c r="N21" s="117"/>
      <c r="O21" s="117"/>
      <c r="P21" s="117"/>
      <c r="Q21" s="117"/>
      <c r="R21" s="122"/>
      <c r="S21" s="122"/>
      <c r="T21" s="122"/>
      <c r="U21" s="122"/>
      <c r="V21" s="2670"/>
    </row>
    <row r="22" spans="4:22" x14ac:dyDescent="0.25">
      <c r="D22" s="112"/>
      <c r="E22" s="117"/>
      <c r="F22" s="117"/>
      <c r="G22" s="117"/>
      <c r="H22" s="117"/>
      <c r="I22" s="117"/>
      <c r="J22" s="117"/>
      <c r="K22" s="117"/>
      <c r="L22" s="117"/>
      <c r="M22" s="117"/>
      <c r="N22" s="117"/>
      <c r="O22" s="117"/>
      <c r="P22" s="117"/>
      <c r="Q22" s="117"/>
      <c r="R22" s="122"/>
      <c r="S22" s="122"/>
      <c r="T22" s="122"/>
      <c r="U22" s="122"/>
      <c r="V22" s="2669"/>
    </row>
    <row r="23" spans="4:22" x14ac:dyDescent="0.25">
      <c r="D23" s="112"/>
      <c r="E23" s="117"/>
      <c r="F23" s="117"/>
      <c r="G23" s="117"/>
      <c r="H23" s="117"/>
      <c r="I23" s="117"/>
      <c r="J23" s="117"/>
      <c r="K23" s="117"/>
      <c r="L23" s="117"/>
      <c r="M23" s="117"/>
      <c r="N23" s="117"/>
      <c r="O23" s="117"/>
      <c r="P23" s="117"/>
      <c r="Q23" s="117"/>
      <c r="R23" s="122"/>
      <c r="S23" s="122"/>
      <c r="T23" s="122"/>
      <c r="U23" s="122"/>
      <c r="V23" s="2669"/>
    </row>
    <row r="24" spans="4:22" x14ac:dyDescent="0.25">
      <c r="D24" s="112"/>
      <c r="E24" s="117"/>
      <c r="F24" s="117"/>
      <c r="G24" s="117"/>
      <c r="H24" s="117"/>
      <c r="I24" s="117"/>
      <c r="J24" s="117"/>
      <c r="K24" s="117"/>
      <c r="L24" s="117"/>
      <c r="M24" s="117"/>
      <c r="N24" s="117"/>
      <c r="O24" s="117"/>
      <c r="P24" s="117"/>
      <c r="Q24" s="117"/>
      <c r="R24" s="122"/>
      <c r="S24" s="122"/>
      <c r="T24" s="122"/>
      <c r="U24" s="122"/>
      <c r="V24" s="2669"/>
    </row>
    <row r="25" spans="4:22" x14ac:dyDescent="0.25">
      <c r="D25" s="112"/>
      <c r="E25" s="117"/>
      <c r="F25" s="117"/>
      <c r="G25" s="117"/>
      <c r="H25" s="117"/>
      <c r="I25" s="117"/>
      <c r="J25" s="117"/>
      <c r="K25" s="117"/>
      <c r="L25" s="117"/>
      <c r="M25" s="117"/>
      <c r="N25" s="117"/>
      <c r="O25" s="117"/>
      <c r="P25" s="117"/>
      <c r="Q25" s="117"/>
      <c r="R25" s="122"/>
      <c r="S25" s="122"/>
      <c r="T25" s="122"/>
      <c r="U25" s="122"/>
      <c r="V25" s="2669"/>
    </row>
    <row r="26" spans="4:22" x14ac:dyDescent="0.25">
      <c r="D26" s="112"/>
      <c r="E26" s="117"/>
      <c r="F26" s="117"/>
      <c r="G26" s="117"/>
      <c r="H26" s="117"/>
      <c r="I26" s="117"/>
      <c r="J26" s="117"/>
      <c r="K26" s="117"/>
      <c r="L26" s="117"/>
      <c r="M26" s="117"/>
      <c r="N26" s="117"/>
      <c r="O26" s="117"/>
      <c r="P26" s="117"/>
      <c r="Q26" s="117"/>
      <c r="R26" s="122"/>
      <c r="S26" s="122"/>
      <c r="T26" s="122"/>
      <c r="U26" s="122"/>
      <c r="V26" s="2669" t="s">
        <v>166</v>
      </c>
    </row>
    <row r="27" spans="4:22" x14ac:dyDescent="0.25">
      <c r="D27" s="112"/>
      <c r="E27" s="117"/>
      <c r="F27" s="117"/>
      <c r="G27" s="117"/>
      <c r="H27" s="117"/>
      <c r="I27" s="117"/>
      <c r="J27" s="117"/>
      <c r="K27" s="117"/>
      <c r="L27" s="117"/>
      <c r="M27" s="117"/>
      <c r="N27" s="117"/>
      <c r="O27" s="117"/>
      <c r="P27" s="117"/>
      <c r="Q27" s="117"/>
      <c r="R27" s="122"/>
      <c r="S27" s="122"/>
      <c r="T27" s="122"/>
      <c r="U27" s="122"/>
      <c r="V27" s="2669"/>
    </row>
    <row r="28" spans="4:22" x14ac:dyDescent="0.25">
      <c r="D28" s="112"/>
      <c r="E28" s="112"/>
      <c r="F28" s="112"/>
      <c r="G28" s="112"/>
      <c r="H28" s="112"/>
      <c r="I28" s="112"/>
      <c r="J28" s="112"/>
      <c r="K28" s="112"/>
      <c r="L28" s="112"/>
      <c r="M28" s="112"/>
      <c r="N28" s="112"/>
      <c r="O28" s="112"/>
      <c r="P28" s="112"/>
      <c r="Q28" s="112"/>
      <c r="R28" s="122"/>
      <c r="S28" s="122"/>
      <c r="T28" s="122"/>
      <c r="U28" s="122"/>
      <c r="V28" s="2669"/>
    </row>
    <row r="29" spans="4:22" x14ac:dyDescent="0.25">
      <c r="D29" s="112"/>
      <c r="E29" s="112"/>
      <c r="F29" s="112"/>
      <c r="G29" s="112"/>
      <c r="H29" s="112"/>
      <c r="I29" s="112"/>
      <c r="J29" s="112"/>
      <c r="K29" s="112"/>
      <c r="L29" s="112"/>
      <c r="M29" s="112"/>
      <c r="N29" s="112"/>
      <c r="O29" s="112"/>
      <c r="P29" s="112"/>
      <c r="Q29" s="112"/>
      <c r="R29" s="122"/>
      <c r="S29" s="122"/>
      <c r="T29" s="122"/>
      <c r="U29" s="122"/>
      <c r="V29" s="2669"/>
    </row>
    <row r="30" spans="4:22" x14ac:dyDescent="0.25">
      <c r="D30" s="112"/>
      <c r="E30" s="112"/>
      <c r="F30" s="112"/>
      <c r="G30" s="112"/>
      <c r="H30" s="112"/>
      <c r="I30" s="112"/>
      <c r="J30" s="112"/>
      <c r="K30" s="112"/>
      <c r="L30" s="112"/>
      <c r="M30" s="112"/>
      <c r="N30" s="112"/>
      <c r="O30" s="112"/>
      <c r="P30" s="112"/>
      <c r="Q30" s="112"/>
      <c r="R30" s="122"/>
      <c r="S30" s="122"/>
      <c r="T30" s="122"/>
      <c r="U30" s="122"/>
      <c r="V30" s="2669"/>
    </row>
    <row r="31" spans="4:22" x14ac:dyDescent="0.25">
      <c r="D31" s="112"/>
      <c r="E31" s="112"/>
      <c r="F31" s="112"/>
      <c r="G31" s="112"/>
      <c r="H31" s="112"/>
      <c r="I31" s="112"/>
      <c r="J31" s="112"/>
      <c r="K31" s="112"/>
      <c r="L31" s="112"/>
      <c r="M31" s="112"/>
      <c r="N31" s="112"/>
      <c r="O31" s="112"/>
      <c r="P31" s="112"/>
      <c r="Q31" s="112"/>
      <c r="R31" s="122"/>
      <c r="S31" s="122"/>
      <c r="T31" s="122"/>
      <c r="U31" s="122"/>
      <c r="V31" s="2669"/>
    </row>
    <row r="32" spans="4:22" x14ac:dyDescent="0.25">
      <c r="D32" s="112"/>
      <c r="E32" s="112"/>
      <c r="F32" s="112"/>
      <c r="G32" s="112"/>
      <c r="H32" s="112"/>
      <c r="I32" s="112"/>
      <c r="J32" s="112"/>
      <c r="K32" s="112"/>
      <c r="L32" s="112"/>
      <c r="M32" s="112"/>
      <c r="N32" s="112"/>
      <c r="O32" s="112"/>
      <c r="P32" s="112"/>
      <c r="Q32" s="112"/>
      <c r="R32" s="122"/>
      <c r="S32" s="122"/>
      <c r="T32" s="122"/>
      <c r="U32" s="122"/>
      <c r="V32" s="2669"/>
    </row>
    <row r="33" spans="1:61" ht="19.5" customHeight="1" x14ac:dyDescent="0.25">
      <c r="D33" s="112"/>
      <c r="E33" s="112"/>
      <c r="F33" s="112"/>
      <c r="G33" s="112"/>
      <c r="H33" s="112"/>
      <c r="I33" s="112"/>
      <c r="J33" s="112"/>
      <c r="K33" s="112"/>
      <c r="L33" s="112"/>
      <c r="M33" s="112"/>
      <c r="N33" s="112"/>
      <c r="O33" s="112"/>
      <c r="P33" s="112"/>
      <c r="Q33" s="112"/>
      <c r="R33" s="122"/>
      <c r="S33" s="122"/>
      <c r="T33" s="122"/>
      <c r="U33" s="122"/>
      <c r="V33" s="2669"/>
    </row>
    <row r="34" spans="1:61" ht="19.5" customHeight="1" x14ac:dyDescent="0.25">
      <c r="D34" s="112"/>
      <c r="E34" s="112"/>
      <c r="F34" s="112"/>
      <c r="G34" s="112"/>
      <c r="H34" s="112"/>
      <c r="I34" s="112"/>
      <c r="J34" s="112"/>
      <c r="K34" s="112"/>
      <c r="L34" s="112"/>
      <c r="M34" s="112"/>
      <c r="N34" s="112"/>
      <c r="O34" s="112"/>
      <c r="P34" s="112"/>
      <c r="Q34" s="112"/>
      <c r="R34" s="122"/>
      <c r="S34" s="122"/>
      <c r="T34" s="122"/>
      <c r="U34" s="122"/>
      <c r="V34" s="2669"/>
    </row>
    <row r="35" spans="1:61" ht="15" customHeight="1" x14ac:dyDescent="0.25">
      <c r="A35" s="113">
        <v>6</v>
      </c>
      <c r="B35" s="114" t="s">
        <v>78</v>
      </c>
      <c r="C35" s="113"/>
      <c r="D35" s="3553" t="s">
        <v>307</v>
      </c>
      <c r="E35" s="3554"/>
      <c r="F35" s="3554"/>
      <c r="G35" s="3554"/>
      <c r="H35" s="3554"/>
      <c r="I35" s="3554"/>
      <c r="J35" s="3554"/>
      <c r="K35" s="3554"/>
      <c r="L35" s="3554"/>
      <c r="M35" s="3554"/>
      <c r="N35" s="3554"/>
      <c r="O35" s="3554"/>
      <c r="P35" s="3554"/>
      <c r="Q35" s="3554"/>
      <c r="R35" s="3554"/>
      <c r="S35" s="3554"/>
      <c r="T35" s="3554"/>
      <c r="U35" s="3554"/>
      <c r="V35" s="3554"/>
      <c r="W35" s="3554"/>
      <c r="X35" s="3554"/>
      <c r="Y35" s="3554"/>
      <c r="Z35" s="3555"/>
      <c r="AA35" s="1464"/>
      <c r="AB35" s="1464"/>
      <c r="AC35" s="1464"/>
      <c r="AD35" s="1464"/>
      <c r="AE35" s="1464"/>
      <c r="AF35" s="1464"/>
      <c r="AG35" s="1464"/>
      <c r="AH35" s="1464"/>
      <c r="AI35" s="1464"/>
      <c r="AJ35" s="1464"/>
      <c r="AK35" s="1464"/>
      <c r="AL35" s="1464"/>
      <c r="AM35" s="1464"/>
      <c r="AN35" s="1464"/>
      <c r="AO35" s="1464"/>
      <c r="AP35" s="1464"/>
      <c r="AQ35" s="1464"/>
      <c r="AR35" s="1464"/>
    </row>
    <row r="36" spans="1:61" ht="55.5" customHeight="1" x14ac:dyDescent="0.25">
      <c r="A36" s="136">
        <v>7</v>
      </c>
      <c r="B36" s="137" t="s">
        <v>80</v>
      </c>
      <c r="C36" s="136"/>
      <c r="D36" s="3578" t="s">
        <v>308</v>
      </c>
      <c r="E36" s="3579"/>
      <c r="F36" s="3579"/>
      <c r="G36" s="3579"/>
      <c r="H36" s="3579"/>
      <c r="I36" s="3579"/>
      <c r="J36" s="3579"/>
      <c r="K36" s="3579"/>
      <c r="L36" s="3579"/>
      <c r="M36" s="3579"/>
      <c r="N36" s="3579"/>
      <c r="O36" s="3579"/>
      <c r="P36" s="3579"/>
      <c r="Q36" s="3579"/>
      <c r="R36" s="3579"/>
      <c r="S36" s="3579"/>
      <c r="T36" s="3579"/>
      <c r="U36" s="3579"/>
      <c r="V36" s="3579"/>
      <c r="W36" s="3579"/>
      <c r="X36" s="3579"/>
      <c r="Y36" s="3579"/>
      <c r="Z36" s="3580"/>
      <c r="AA36" s="83"/>
      <c r="AB36" s="83"/>
      <c r="AC36" s="83"/>
      <c r="AD36" s="83"/>
      <c r="AE36" s="83"/>
      <c r="AF36" s="83"/>
      <c r="AG36" s="84"/>
      <c r="AH36" s="84"/>
      <c r="AI36" s="84"/>
      <c r="AJ36" s="84"/>
      <c r="AK36" s="84"/>
      <c r="AL36" s="84"/>
      <c r="AM36" s="84"/>
      <c r="AN36" s="84"/>
      <c r="AO36" s="84"/>
      <c r="AP36" s="84"/>
      <c r="AQ36" s="84"/>
      <c r="AR36" s="84"/>
    </row>
    <row r="37" spans="1:61" ht="15" customHeight="1" x14ac:dyDescent="0.25">
      <c r="A37" s="113">
        <v>8</v>
      </c>
      <c r="B37" s="114" t="s">
        <v>20</v>
      </c>
      <c r="C37" s="113"/>
      <c r="D37" s="3553" t="s">
        <v>309</v>
      </c>
      <c r="E37" s="3554"/>
      <c r="F37" s="3554"/>
      <c r="G37" s="3554"/>
      <c r="H37" s="3554"/>
      <c r="I37" s="3554"/>
      <c r="J37" s="3554"/>
      <c r="K37" s="3554"/>
      <c r="L37" s="3554"/>
      <c r="M37" s="3554"/>
      <c r="N37" s="3554"/>
      <c r="O37" s="3554"/>
      <c r="P37" s="3554"/>
      <c r="Q37" s="3554"/>
      <c r="R37" s="3554"/>
      <c r="S37" s="3554"/>
      <c r="T37" s="3554"/>
      <c r="U37" s="3554"/>
      <c r="V37" s="3554"/>
      <c r="W37" s="3554"/>
      <c r="X37" s="3554"/>
      <c r="Y37" s="3554"/>
      <c r="Z37" s="3555"/>
      <c r="AA37" s="1464"/>
      <c r="AB37" s="1464"/>
      <c r="AC37" s="1464"/>
      <c r="AD37" s="1464"/>
      <c r="AE37" s="1464"/>
      <c r="AF37" s="1464"/>
      <c r="AG37" s="84"/>
      <c r="AH37" s="84"/>
      <c r="AI37" s="84"/>
      <c r="AJ37" s="84"/>
      <c r="AK37" s="84"/>
      <c r="AL37" s="84"/>
      <c r="AM37" s="84"/>
      <c r="AN37" s="84"/>
      <c r="AO37" s="84"/>
      <c r="AP37" s="84"/>
      <c r="AQ37" s="84"/>
      <c r="AR37" s="84"/>
    </row>
    <row r="38" spans="1:61" ht="37.15" customHeight="1" x14ac:dyDescent="0.25">
      <c r="A38" s="113">
        <v>9</v>
      </c>
      <c r="B38" s="114" t="s">
        <v>22</v>
      </c>
      <c r="C38" s="260"/>
      <c r="D38" s="3553" t="s">
        <v>310</v>
      </c>
      <c r="E38" s="3554"/>
      <c r="F38" s="3554"/>
      <c r="G38" s="3554"/>
      <c r="H38" s="3554"/>
      <c r="I38" s="3554"/>
      <c r="J38" s="3554"/>
      <c r="K38" s="3554"/>
      <c r="L38" s="3554"/>
      <c r="M38" s="3554"/>
      <c r="N38" s="3554"/>
      <c r="O38" s="3554"/>
      <c r="P38" s="3554"/>
      <c r="Q38" s="3554"/>
      <c r="R38" s="3554"/>
      <c r="S38" s="3554"/>
      <c r="T38" s="3554"/>
      <c r="U38" s="3554"/>
      <c r="V38" s="3554"/>
      <c r="W38" s="3554"/>
      <c r="X38" s="3554"/>
      <c r="Y38" s="3554"/>
      <c r="Z38" s="3555"/>
      <c r="AA38" s="84"/>
      <c r="AB38" s="84"/>
      <c r="AC38" s="84"/>
      <c r="AD38" s="84"/>
      <c r="AE38" s="84"/>
      <c r="AF38" s="84"/>
      <c r="AG38" s="84"/>
      <c r="AH38" s="84"/>
      <c r="AI38" s="84"/>
      <c r="AJ38" s="84"/>
      <c r="AK38" s="84"/>
      <c r="AL38" s="84"/>
      <c r="AM38" s="84"/>
      <c r="AN38" s="84"/>
      <c r="AO38" s="84"/>
      <c r="AP38" s="84"/>
      <c r="AQ38" s="84"/>
      <c r="AR38" s="84"/>
    </row>
    <row r="39" spans="1:61" x14ac:dyDescent="0.25">
      <c r="V39" s="2669"/>
    </row>
    <row r="40" spans="1:61" hidden="1" x14ac:dyDescent="0.25">
      <c r="B40" s="180"/>
      <c r="C40" s="181"/>
      <c r="D40" s="396">
        <v>34424</v>
      </c>
      <c r="E40" s="396">
        <v>34515</v>
      </c>
      <c r="F40" s="396">
        <v>34607</v>
      </c>
      <c r="G40" s="396">
        <v>34699</v>
      </c>
      <c r="H40" s="396">
        <v>34789</v>
      </c>
      <c r="I40" s="396">
        <v>34880</v>
      </c>
      <c r="J40" s="396">
        <v>34972</v>
      </c>
      <c r="K40" s="396">
        <v>35064</v>
      </c>
      <c r="L40" s="396">
        <v>35155</v>
      </c>
      <c r="M40" s="396">
        <v>35246</v>
      </c>
      <c r="N40" s="396">
        <v>35338</v>
      </c>
      <c r="O40" s="396">
        <v>35430</v>
      </c>
      <c r="P40" s="396">
        <v>35520</v>
      </c>
      <c r="Q40" s="396">
        <v>35611</v>
      </c>
      <c r="R40" s="261">
        <v>35703</v>
      </c>
      <c r="S40" s="261">
        <v>35795</v>
      </c>
      <c r="T40" s="261"/>
      <c r="U40" s="261"/>
      <c r="V40" s="261">
        <v>35885</v>
      </c>
      <c r="W40" s="261">
        <v>35976</v>
      </c>
      <c r="X40" s="261">
        <v>36068</v>
      </c>
      <c r="Y40" s="261">
        <v>36250</v>
      </c>
      <c r="Z40" s="261"/>
      <c r="AA40" s="261">
        <v>36341</v>
      </c>
      <c r="AB40" s="261">
        <v>36433</v>
      </c>
      <c r="AC40" s="261">
        <v>36525</v>
      </c>
      <c r="AD40" s="261">
        <v>36616</v>
      </c>
      <c r="AE40" s="261">
        <v>36707</v>
      </c>
      <c r="AF40" s="261">
        <v>36799</v>
      </c>
      <c r="AG40" s="261">
        <v>36891</v>
      </c>
      <c r="AH40" s="262">
        <v>36981</v>
      </c>
      <c r="AI40" s="262">
        <v>37072</v>
      </c>
      <c r="AJ40" s="262">
        <v>37164</v>
      </c>
      <c r="AK40" s="262">
        <v>37256</v>
      </c>
      <c r="AL40" s="261">
        <v>37346</v>
      </c>
      <c r="AM40" s="261">
        <v>37437</v>
      </c>
      <c r="AN40" s="261">
        <v>37529</v>
      </c>
      <c r="AO40" s="261">
        <v>37621</v>
      </c>
      <c r="AP40" s="261">
        <v>37711</v>
      </c>
      <c r="AQ40" s="261">
        <v>37802</v>
      </c>
      <c r="AR40" s="261">
        <v>37894</v>
      </c>
      <c r="AS40" s="261">
        <v>37986</v>
      </c>
      <c r="AT40" s="261">
        <v>38077</v>
      </c>
      <c r="AU40" s="261">
        <v>38168</v>
      </c>
      <c r="AV40" s="261">
        <v>38260</v>
      </c>
      <c r="AW40" s="261">
        <v>38352</v>
      </c>
      <c r="AX40" s="261">
        <v>38442</v>
      </c>
      <c r="AY40" s="261">
        <v>38533</v>
      </c>
      <c r="AZ40" s="261">
        <v>38625</v>
      </c>
      <c r="BA40" s="261">
        <v>38717</v>
      </c>
      <c r="BB40" s="261">
        <v>38807</v>
      </c>
      <c r="BC40" s="261">
        <v>38898</v>
      </c>
      <c r="BD40" s="261">
        <v>38990</v>
      </c>
      <c r="BE40" s="261">
        <v>39082</v>
      </c>
      <c r="BF40" s="397">
        <v>39172</v>
      </c>
      <c r="BG40" s="397">
        <v>39263</v>
      </c>
      <c r="BH40" s="397">
        <v>39355</v>
      </c>
      <c r="BI40" s="397">
        <v>39447</v>
      </c>
    </row>
    <row r="41" spans="1:61" ht="22.5" hidden="1" x14ac:dyDescent="0.25">
      <c r="B41" s="398" t="str">
        <f>D2</f>
        <v>Balance of payments</v>
      </c>
      <c r="C41" s="399"/>
      <c r="D41" s="79">
        <v>21.762213666649085</v>
      </c>
      <c r="E41" s="79">
        <v>22.090779639881028</v>
      </c>
      <c r="F41" s="79">
        <v>23.307022207680667</v>
      </c>
      <c r="G41" s="79">
        <v>21.262635775726753</v>
      </c>
      <c r="H41" s="79">
        <v>22.735529747857409</v>
      </c>
      <c r="I41" s="79">
        <v>21.723759872910748</v>
      </c>
      <c r="J41" s="79">
        <v>23.324918146395966</v>
      </c>
      <c r="K41" s="79">
        <v>23.240190828546393</v>
      </c>
      <c r="L41" s="79">
        <v>22.575924903368303</v>
      </c>
      <c r="M41" s="79">
        <v>23.626916082099246</v>
      </c>
      <c r="N41" s="79">
        <v>26.79138722202612</v>
      </c>
      <c r="O41" s="79">
        <v>25.692670098338589</v>
      </c>
      <c r="P41" s="79">
        <v>23.099889580467465</v>
      </c>
      <c r="Q41" s="79">
        <v>23.581279806892351</v>
      </c>
      <c r="R41" s="68">
        <v>25.873345031105437</v>
      </c>
      <c r="S41" s="68">
        <v>25.673733279972044</v>
      </c>
      <c r="T41" s="68"/>
      <c r="U41" s="68"/>
      <c r="V41" s="68">
        <v>26.060011010153179</v>
      </c>
      <c r="W41" s="68">
        <v>24.478131479710783</v>
      </c>
      <c r="X41" s="68">
        <v>27.048504266725882</v>
      </c>
      <c r="Y41" s="68">
        <v>27.031190237921837</v>
      </c>
      <c r="Z41" s="68"/>
      <c r="AA41" s="68">
        <v>23.588547530963488</v>
      </c>
      <c r="AB41" s="68">
        <v>25.194968433682163</v>
      </c>
      <c r="AC41" s="68">
        <v>25.582200108490298</v>
      </c>
      <c r="AD41" s="68">
        <v>27.348450223395425</v>
      </c>
      <c r="AE41" s="68">
        <v>26.789343416677369</v>
      </c>
      <c r="AF41" s="68">
        <v>26.96931807252092</v>
      </c>
      <c r="AG41" s="68">
        <v>30.226819582447639</v>
      </c>
      <c r="AH41" s="68">
        <v>29.555814258542661</v>
      </c>
      <c r="AI41" s="68">
        <v>30.773899246330821</v>
      </c>
      <c r="AJ41" s="68">
        <v>28.736241621127917</v>
      </c>
      <c r="AK41" s="68">
        <v>31.392831187609904</v>
      </c>
      <c r="AL41" s="68">
        <v>34.340300696736342</v>
      </c>
      <c r="AM41" s="68">
        <v>33.1040309369344</v>
      </c>
      <c r="AN41" s="68">
        <v>31.880325077554122</v>
      </c>
      <c r="AO41" s="68">
        <v>32.767555043598399</v>
      </c>
      <c r="AP41" s="68">
        <v>30.200556771518688</v>
      </c>
      <c r="AQ41" s="68">
        <v>27.681508120352717</v>
      </c>
      <c r="AR41" s="68">
        <v>27.543296945337119</v>
      </c>
      <c r="AS41" s="68">
        <v>26.932803691047486</v>
      </c>
      <c r="AT41" s="68">
        <v>26.417752942848416</v>
      </c>
      <c r="AU41" s="68">
        <v>26.829758361822449</v>
      </c>
      <c r="AV41" s="68">
        <v>26.261854076630552</v>
      </c>
      <c r="AW41" s="68">
        <v>27.102701490373697</v>
      </c>
      <c r="AX41" s="68">
        <v>25.780972543794206</v>
      </c>
      <c r="AY41" s="68">
        <v>28.26753310446297</v>
      </c>
      <c r="AZ41" s="68">
        <v>27.854661657556896</v>
      </c>
      <c r="BA41" s="68">
        <v>27.916742742377217</v>
      </c>
      <c r="BB41" s="400">
        <v>26.1</v>
      </c>
      <c r="BC41" s="400">
        <v>28.7</v>
      </c>
      <c r="BD41" s="400">
        <v>30.7</v>
      </c>
      <c r="BE41" s="400">
        <v>32.700000000000003</v>
      </c>
      <c r="BF41" s="400">
        <v>31</v>
      </c>
      <c r="BG41" s="400">
        <v>32.200000000000003</v>
      </c>
      <c r="BH41" s="400">
        <v>31.3</v>
      </c>
      <c r="BI41" s="400">
        <v>32.1</v>
      </c>
    </row>
    <row r="42" spans="1:61" hidden="1" x14ac:dyDescent="0.25">
      <c r="F42" s="77"/>
      <c r="G42" s="77"/>
      <c r="H42" s="77"/>
      <c r="I42" s="77"/>
      <c r="J42" s="77"/>
      <c r="K42" s="77"/>
      <c r="L42" s="77"/>
      <c r="M42" s="77"/>
      <c r="N42" s="77"/>
    </row>
    <row r="43" spans="1:61" hidden="1" x14ac:dyDescent="0.25">
      <c r="F43" s="77"/>
      <c r="G43" s="77"/>
      <c r="H43" s="77"/>
      <c r="I43" s="77"/>
      <c r="J43" s="77"/>
      <c r="K43" s="77"/>
      <c r="L43" s="77"/>
      <c r="M43" s="77"/>
      <c r="N43" s="77"/>
    </row>
    <row r="44" spans="1:61" hidden="1" x14ac:dyDescent="0.25">
      <c r="D44" s="401"/>
      <c r="E44" s="402"/>
      <c r="F44" s="402"/>
      <c r="G44" s="402"/>
      <c r="H44" s="402"/>
      <c r="I44" s="402"/>
      <c r="J44" s="402"/>
      <c r="K44" s="402"/>
      <c r="L44" s="402"/>
      <c r="M44" s="402"/>
      <c r="N44" s="402"/>
      <c r="O44" s="402"/>
      <c r="P44" s="402"/>
      <c r="Q44" s="402"/>
      <c r="R44" s="402"/>
      <c r="S44" s="402"/>
      <c r="T44" s="402"/>
      <c r="U44" s="402"/>
    </row>
    <row r="45" spans="1:61" hidden="1" x14ac:dyDescent="0.25">
      <c r="D45" s="403"/>
      <c r="E45" s="404"/>
      <c r="F45" s="404"/>
      <c r="G45" s="404"/>
      <c r="H45" s="404"/>
      <c r="I45" s="404"/>
      <c r="J45" s="404"/>
      <c r="K45" s="404"/>
      <c r="L45" s="404"/>
      <c r="M45" s="404"/>
      <c r="N45" s="404"/>
      <c r="O45" s="404"/>
      <c r="P45" s="404"/>
      <c r="Q45" s="403"/>
      <c r="R45" s="405"/>
      <c r="S45" s="405"/>
      <c r="T45" s="405"/>
      <c r="U45" s="405"/>
    </row>
    <row r="46" spans="1:61" hidden="1" x14ac:dyDescent="0.25">
      <c r="D46" s="406"/>
      <c r="E46" s="407"/>
      <c r="F46" s="407"/>
      <c r="G46" s="407"/>
      <c r="H46" s="407"/>
      <c r="I46" s="407"/>
      <c r="J46" s="407"/>
      <c r="K46" s="407"/>
      <c r="L46" s="407"/>
      <c r="M46" s="407"/>
      <c r="N46" s="407"/>
      <c r="O46" s="407"/>
      <c r="P46" s="407"/>
      <c r="Q46" s="407"/>
      <c r="R46" s="407"/>
      <c r="S46" s="407"/>
      <c r="T46" s="407"/>
      <c r="U46" s="407"/>
    </row>
    <row r="47" spans="1:61" hidden="1" x14ac:dyDescent="0.25">
      <c r="D47" s="406"/>
      <c r="E47" s="408"/>
      <c r="F47" s="408"/>
      <c r="G47" s="408"/>
      <c r="H47" s="408"/>
      <c r="I47" s="408"/>
      <c r="J47" s="408"/>
      <c r="K47" s="408"/>
      <c r="L47" s="408"/>
      <c r="M47" s="408"/>
      <c r="N47" s="408"/>
      <c r="O47" s="408"/>
      <c r="P47" s="408"/>
      <c r="Q47" s="406"/>
      <c r="R47" s="409"/>
      <c r="S47" s="409"/>
      <c r="T47" s="409"/>
      <c r="U47" s="409"/>
    </row>
    <row r="48" spans="1:61" hidden="1" x14ac:dyDescent="0.25">
      <c r="D48" s="406"/>
      <c r="E48" s="407"/>
      <c r="F48" s="407"/>
      <c r="G48" s="407"/>
      <c r="H48" s="407"/>
      <c r="I48" s="407"/>
      <c r="J48" s="407"/>
      <c r="K48" s="407"/>
      <c r="L48" s="407"/>
      <c r="M48" s="407"/>
      <c r="N48" s="407"/>
      <c r="O48" s="407"/>
      <c r="P48" s="407"/>
      <c r="Q48" s="407"/>
      <c r="R48" s="407"/>
      <c r="S48" s="407"/>
      <c r="T48" s="407"/>
      <c r="U48" s="407"/>
    </row>
    <row r="49" spans="1:21" hidden="1" x14ac:dyDescent="0.25">
      <c r="F49" s="77"/>
      <c r="G49" s="77"/>
      <c r="H49" s="77"/>
      <c r="I49" s="77"/>
      <c r="J49" s="77"/>
      <c r="K49" s="77"/>
      <c r="L49" s="77"/>
      <c r="M49" s="77"/>
      <c r="N49" s="77"/>
    </row>
    <row r="50" spans="1:21" hidden="1" x14ac:dyDescent="0.25">
      <c r="F50" s="77"/>
      <c r="G50" s="77"/>
      <c r="H50" s="77"/>
      <c r="I50" s="77"/>
      <c r="J50" s="77"/>
      <c r="K50" s="77"/>
      <c r="L50" s="77"/>
      <c r="M50" s="77"/>
      <c r="N50" s="77"/>
    </row>
    <row r="51" spans="1:21" hidden="1" x14ac:dyDescent="0.25">
      <c r="F51" s="77"/>
      <c r="G51" s="77"/>
      <c r="H51" s="77"/>
      <c r="I51" s="77"/>
      <c r="J51" s="77"/>
      <c r="K51" s="77"/>
      <c r="L51" s="77"/>
      <c r="M51" s="77"/>
      <c r="N51" s="77"/>
    </row>
    <row r="52" spans="1:21" hidden="1" x14ac:dyDescent="0.25">
      <c r="A52" s="2440"/>
      <c r="B52" s="2440">
        <v>1992</v>
      </c>
      <c r="C52" s="2440">
        <v>1993</v>
      </c>
      <c r="D52" s="1664">
        <v>1994</v>
      </c>
      <c r="E52" s="1664">
        <v>1995</v>
      </c>
      <c r="F52" s="1664">
        <v>1996</v>
      </c>
      <c r="G52" s="1664">
        <v>1997</v>
      </c>
      <c r="H52" s="1664">
        <v>1998</v>
      </c>
      <c r="I52" s="1664">
        <v>1999</v>
      </c>
      <c r="J52" s="1664">
        <v>2000</v>
      </c>
      <c r="K52" s="1664">
        <v>2001</v>
      </c>
      <c r="L52" s="1664">
        <v>2002</v>
      </c>
      <c r="M52" s="1664">
        <v>2003</v>
      </c>
      <c r="N52" s="1664">
        <v>2004</v>
      </c>
      <c r="O52" s="1664">
        <v>2005</v>
      </c>
      <c r="P52" s="1664">
        <v>2006</v>
      </c>
    </row>
    <row r="53" spans="1:21" hidden="1" x14ac:dyDescent="0.25">
      <c r="A53" s="2440" t="s">
        <v>311</v>
      </c>
      <c r="B53" s="2440">
        <v>160.21498</v>
      </c>
      <c r="C53" s="2440">
        <v>176.84388000000001</v>
      </c>
      <c r="D53" s="1664">
        <v>181.23876999999999</v>
      </c>
      <c r="E53" s="1664">
        <v>201.06291000000002</v>
      </c>
      <c r="F53" s="1664">
        <v>215.54748000000001</v>
      </c>
      <c r="G53" s="1664">
        <v>226.96107999999998</v>
      </c>
      <c r="H53" s="1664">
        <v>234.32900000000001</v>
      </c>
      <c r="I53" s="1664">
        <v>237.28399999999999</v>
      </c>
      <c r="J53" s="1664">
        <v>257.01100000000002</v>
      </c>
      <c r="K53" s="1664">
        <v>263.161</v>
      </c>
      <c r="L53" s="1664">
        <v>265.76400000000001</v>
      </c>
      <c r="M53" s="1664">
        <v>266.05500000000001</v>
      </c>
      <c r="N53" s="1664">
        <v>273.69400000000002</v>
      </c>
      <c r="O53" s="1664">
        <v>295.58</v>
      </c>
      <c r="P53" s="1664">
        <v>312.173</v>
      </c>
    </row>
    <row r="54" spans="1:21" hidden="1" x14ac:dyDescent="0.25">
      <c r="A54" s="2440" t="s">
        <v>312</v>
      </c>
      <c r="B54" s="2440">
        <v>21.34</v>
      </c>
      <c r="C54" s="2440">
        <v>22.48</v>
      </c>
      <c r="D54" s="1664">
        <v>22.1</v>
      </c>
      <c r="E54" s="1664">
        <v>22.77</v>
      </c>
      <c r="F54" s="1664">
        <v>24.73</v>
      </c>
      <c r="G54" s="1664">
        <v>24.6</v>
      </c>
      <c r="H54" s="1664">
        <v>25.65</v>
      </c>
      <c r="I54" s="1664">
        <v>25.33</v>
      </c>
      <c r="J54" s="1664">
        <v>27.87</v>
      </c>
      <c r="K54" s="1664">
        <v>30.13</v>
      </c>
      <c r="L54" s="1664">
        <v>32.99</v>
      </c>
      <c r="M54" s="1664">
        <v>28.06</v>
      </c>
      <c r="N54" s="1664">
        <v>26.71</v>
      </c>
      <c r="O54" s="1664">
        <v>27.45</v>
      </c>
      <c r="P54" s="1664">
        <v>29.63</v>
      </c>
    </row>
    <row r="55" spans="1:21" hidden="1" x14ac:dyDescent="0.25">
      <c r="A55" s="2440" t="s">
        <v>313</v>
      </c>
      <c r="B55" s="2440">
        <v>62.34</v>
      </c>
      <c r="C55" s="2440">
        <v>68.81</v>
      </c>
      <c r="D55" s="1664">
        <v>70.52</v>
      </c>
      <c r="E55" s="1664">
        <v>78.23</v>
      </c>
      <c r="F55" s="1664">
        <v>83.87</v>
      </c>
      <c r="G55" s="1664">
        <v>87.14</v>
      </c>
      <c r="H55" s="1664">
        <v>91.17</v>
      </c>
      <c r="I55" s="1664">
        <v>85.65</v>
      </c>
      <c r="J55" s="1664">
        <v>100</v>
      </c>
      <c r="K55" s="1664">
        <v>102.31</v>
      </c>
      <c r="L55" s="1664">
        <v>103.41</v>
      </c>
      <c r="M55" s="1664">
        <v>103.52</v>
      </c>
      <c r="N55" s="1664">
        <v>106.49</v>
      </c>
      <c r="O55" s="1664">
        <v>115.01</v>
      </c>
      <c r="P55" s="1664">
        <v>121.46</v>
      </c>
    </row>
    <row r="56" spans="1:21" hidden="1" x14ac:dyDescent="0.25"/>
    <row r="57" spans="1:21" hidden="1" x14ac:dyDescent="0.25"/>
    <row r="58" spans="1:21" hidden="1" x14ac:dyDescent="0.25">
      <c r="D58" s="135" t="s">
        <v>93</v>
      </c>
      <c r="E58" s="135" t="s">
        <v>299</v>
      </c>
      <c r="F58" s="135"/>
      <c r="G58" s="135"/>
      <c r="H58" s="135"/>
      <c r="I58" s="117"/>
      <c r="J58" s="116"/>
      <c r="K58" s="117"/>
      <c r="L58" s="117"/>
      <c r="M58" s="177"/>
      <c r="N58" s="177"/>
      <c r="O58" s="177"/>
      <c r="P58" s="177"/>
      <c r="Q58" s="177"/>
      <c r="R58" s="177"/>
      <c r="S58" s="177"/>
      <c r="T58" s="177"/>
      <c r="U58" s="177"/>
    </row>
    <row r="59" spans="1:21" hidden="1" x14ac:dyDescent="0.25">
      <c r="D59" s="170"/>
      <c r="E59" s="171">
        <v>2000</v>
      </c>
      <c r="F59" s="171">
        <v>2001</v>
      </c>
      <c r="G59" s="171">
        <v>2002</v>
      </c>
      <c r="H59" s="171">
        <v>2003</v>
      </c>
      <c r="I59" s="171">
        <v>2004</v>
      </c>
      <c r="J59" s="171">
        <v>2005</v>
      </c>
      <c r="K59" s="171">
        <v>2006</v>
      </c>
      <c r="L59" s="171">
        <v>2007</v>
      </c>
      <c r="M59" s="177"/>
      <c r="N59" s="177"/>
      <c r="O59" s="177"/>
      <c r="P59" s="177"/>
      <c r="Q59" s="177"/>
      <c r="R59" s="177"/>
      <c r="S59" s="177"/>
      <c r="T59" s="177"/>
      <c r="U59" s="177"/>
    </row>
    <row r="60" spans="1:21" hidden="1" x14ac:dyDescent="0.25">
      <c r="D60" s="180" t="s">
        <v>314</v>
      </c>
      <c r="E60" s="410">
        <v>21.062020413209158</v>
      </c>
      <c r="F60" s="410">
        <v>23.191605547805064</v>
      </c>
      <c r="G60" s="410">
        <v>24.780375443120942</v>
      </c>
      <c r="H60" s="410">
        <v>20.570273651079209</v>
      </c>
      <c r="I60" s="410">
        <v>20.197309815539832</v>
      </c>
      <c r="J60" s="410">
        <v>21.097655066262529</v>
      </c>
      <c r="K60" s="410">
        <v>22.918783431482296</v>
      </c>
      <c r="L60" s="410">
        <v>24.867771305796595</v>
      </c>
      <c r="M60" s="177"/>
      <c r="N60" s="177"/>
      <c r="O60" s="177"/>
      <c r="P60" s="177"/>
      <c r="Q60" s="177"/>
      <c r="R60" s="177"/>
      <c r="S60" s="177"/>
      <c r="T60" s="177"/>
      <c r="U60" s="177"/>
    </row>
    <row r="61" spans="1:21" hidden="1" x14ac:dyDescent="0.25">
      <c r="D61" s="180" t="s">
        <v>315</v>
      </c>
      <c r="E61" s="410">
        <v>3.0188212738085425</v>
      </c>
      <c r="F61" s="410">
        <v>2.8701763811424823</v>
      </c>
      <c r="G61" s="410">
        <v>3.7343233801004363</v>
      </c>
      <c r="H61" s="410">
        <v>2.5466945560893888</v>
      </c>
      <c r="I61" s="410">
        <v>2.0566602812589356</v>
      </c>
      <c r="J61" s="410">
        <v>1.7535253171990575</v>
      </c>
      <c r="K61" s="410">
        <v>2.0372634847371804</v>
      </c>
      <c r="L61" s="410">
        <v>2.0010090807234486</v>
      </c>
      <c r="M61" s="177"/>
      <c r="N61" s="177"/>
      <c r="O61" s="177"/>
      <c r="P61" s="177"/>
      <c r="Q61" s="177"/>
      <c r="R61" s="177"/>
      <c r="S61" s="177"/>
      <c r="T61" s="177"/>
      <c r="U61" s="177"/>
    </row>
    <row r="62" spans="1:21" hidden="1" x14ac:dyDescent="0.25">
      <c r="D62" s="180" t="s">
        <v>316</v>
      </c>
      <c r="E62" s="410">
        <v>24.080841687017699</v>
      </c>
      <c r="F62" s="410">
        <v>26.061781928947546</v>
      </c>
      <c r="G62" s="410">
        <v>28.51469882322138</v>
      </c>
      <c r="H62" s="410">
        <v>23.116968207168597</v>
      </c>
      <c r="I62" s="410">
        <v>22.253970096798767</v>
      </c>
      <c r="J62" s="410">
        <v>22.851180383461585</v>
      </c>
      <c r="K62" s="410">
        <v>24.956046916219478</v>
      </c>
      <c r="L62" s="410">
        <v>26.868780386520044</v>
      </c>
      <c r="M62" s="177"/>
      <c r="N62" s="177"/>
      <c r="O62" s="177"/>
      <c r="P62" s="177"/>
      <c r="Q62" s="177"/>
      <c r="R62" s="177"/>
      <c r="S62" s="177"/>
      <c r="T62" s="177"/>
      <c r="U62" s="177"/>
    </row>
    <row r="63" spans="1:21" hidden="1" x14ac:dyDescent="0.25">
      <c r="D63" s="180" t="s">
        <v>317</v>
      </c>
      <c r="E63" s="410">
        <v>20.540195283186648</v>
      </c>
      <c r="F63" s="410">
        <v>21.689557032451738</v>
      </c>
      <c r="G63" s="410">
        <v>24.215302657057119</v>
      </c>
      <c r="H63" s="410">
        <v>21.000513209798104</v>
      </c>
      <c r="I63" s="410">
        <v>22.342405485574066</v>
      </c>
      <c r="J63" s="410">
        <v>23.264335684301852</v>
      </c>
      <c r="K63" s="410">
        <v>27.370953688584144</v>
      </c>
      <c r="L63" s="410">
        <v>28.88598892418554</v>
      </c>
      <c r="M63" s="177"/>
      <c r="N63" s="177"/>
      <c r="O63" s="177"/>
      <c r="P63" s="177"/>
      <c r="Q63" s="177"/>
      <c r="R63" s="177"/>
      <c r="S63" s="177"/>
      <c r="T63" s="177"/>
      <c r="U63" s="177"/>
    </row>
    <row r="64" spans="1:21" hidden="1" x14ac:dyDescent="0.25">
      <c r="D64" s="180" t="s">
        <v>305</v>
      </c>
      <c r="E64" s="410">
        <v>3.540646403831051</v>
      </c>
      <c r="F64" s="410">
        <v>4.3722248964958084</v>
      </c>
      <c r="G64" s="410">
        <v>4.2993961661642608</v>
      </c>
      <c r="H64" s="410">
        <v>2.1164549973704929</v>
      </c>
      <c r="I64" s="410">
        <v>-8.8435388775298662E-2</v>
      </c>
      <c r="J64" s="410">
        <v>-0.41315530084026619</v>
      </c>
      <c r="K64" s="410">
        <v>-2.4149067723646667</v>
      </c>
      <c r="L64" s="410">
        <v>-2.0172085376654962</v>
      </c>
      <c r="M64" s="177"/>
      <c r="N64" s="177"/>
      <c r="O64" s="177"/>
      <c r="P64" s="177"/>
      <c r="Q64" s="177"/>
      <c r="R64" s="177"/>
      <c r="S64" s="177"/>
      <c r="T64" s="177"/>
      <c r="U64" s="177"/>
    </row>
    <row r="65" spans="2:21" hidden="1" x14ac:dyDescent="0.25">
      <c r="D65" s="180" t="s">
        <v>318</v>
      </c>
      <c r="E65" s="410">
        <v>-0.58515552817985828</v>
      </c>
      <c r="F65" s="410">
        <v>-0.32303699876569475</v>
      </c>
      <c r="G65" s="410">
        <v>-0.45554929027919078</v>
      </c>
      <c r="H65" s="410">
        <v>0.15919815530029913</v>
      </c>
      <c r="I65" s="410">
        <v>-0.30250062886591289</v>
      </c>
      <c r="J65" s="410">
        <v>-0.42100700358907173</v>
      </c>
      <c r="K65" s="410">
        <v>-0.89922179636440092</v>
      </c>
      <c r="L65" s="410">
        <v>-1.0803483033701891</v>
      </c>
      <c r="M65" s="177"/>
      <c r="N65" s="177"/>
      <c r="O65" s="177"/>
      <c r="P65" s="177"/>
      <c r="Q65" s="177"/>
      <c r="R65" s="177"/>
      <c r="S65" s="177"/>
      <c r="T65" s="177"/>
      <c r="U65" s="177"/>
    </row>
    <row r="66" spans="2:21" hidden="1" x14ac:dyDescent="0.25">
      <c r="D66" s="180" t="s">
        <v>319</v>
      </c>
      <c r="E66" s="410">
        <v>-2.3883367962626392</v>
      </c>
      <c r="F66" s="410">
        <v>-3.1544881554734427</v>
      </c>
      <c r="G66" s="410">
        <v>-2.5156177938031949</v>
      </c>
      <c r="H66" s="410">
        <v>-2.7660183724348433</v>
      </c>
      <c r="I66" s="410">
        <v>-1.9958878260875796</v>
      </c>
      <c r="J66" s="410">
        <v>-2.0391715610028638</v>
      </c>
      <c r="K66" s="410">
        <v>-2.0534030685886364</v>
      </c>
      <c r="L66" s="410">
        <v>-3.1325637170280869</v>
      </c>
      <c r="M66" s="177"/>
      <c r="N66" s="177"/>
      <c r="O66" s="177"/>
      <c r="P66" s="177"/>
      <c r="Q66" s="177"/>
      <c r="R66" s="177"/>
      <c r="S66" s="177"/>
      <c r="T66" s="177"/>
      <c r="U66" s="177"/>
    </row>
    <row r="67" spans="2:21" hidden="1" x14ac:dyDescent="0.25">
      <c r="D67" s="180" t="s">
        <v>320</v>
      </c>
      <c r="E67" s="410">
        <v>0.56715407938855344</v>
      </c>
      <c r="F67" s="410">
        <v>0.89469974225667048</v>
      </c>
      <c r="G67" s="410">
        <v>1.328229082081875</v>
      </c>
      <c r="H67" s="410">
        <v>-0.49036521976405112</v>
      </c>
      <c r="I67" s="410">
        <v>-2.3868238437287914</v>
      </c>
      <c r="J67" s="410">
        <v>-2.8733338654322016</v>
      </c>
      <c r="K67" s="410">
        <v>-5.367531637317704</v>
      </c>
      <c r="L67" s="410">
        <v>-6.2301205580637724</v>
      </c>
      <c r="M67" s="177"/>
      <c r="N67" s="177"/>
      <c r="O67" s="177"/>
      <c r="P67" s="177"/>
      <c r="Q67" s="177"/>
      <c r="R67" s="177"/>
      <c r="S67" s="177"/>
      <c r="T67" s="177"/>
      <c r="U67" s="177"/>
    </row>
    <row r="68" spans="2:21" hidden="1" x14ac:dyDescent="0.25">
      <c r="D68" s="180" t="s">
        <v>321</v>
      </c>
      <c r="E68" s="410">
        <v>-0.69641749480560611</v>
      </c>
      <c r="F68" s="410">
        <v>-0.61342716275476539</v>
      </c>
      <c r="G68" s="410">
        <v>-0.50004321044169631</v>
      </c>
      <c r="H68" s="410">
        <v>-0.59316582228980419</v>
      </c>
      <c r="I68" s="410">
        <v>-0.81168493781931506</v>
      </c>
      <c r="J68" s="410">
        <v>-1.1614679958755849</v>
      </c>
      <c r="K68" s="410">
        <v>-1.0852003462256634</v>
      </c>
      <c r="L68" s="410">
        <v>-1.0428839246218706</v>
      </c>
      <c r="M68" s="177"/>
      <c r="N68" s="177"/>
      <c r="O68" s="177"/>
      <c r="P68" s="177"/>
      <c r="Q68" s="177"/>
      <c r="R68" s="177"/>
      <c r="S68" s="177"/>
      <c r="T68" s="177"/>
      <c r="U68" s="177"/>
    </row>
    <row r="69" spans="2:21" hidden="1" x14ac:dyDescent="0.25">
      <c r="D69" s="411" t="s">
        <v>322</v>
      </c>
      <c r="E69" s="412">
        <v>-0.12926341541705266</v>
      </c>
      <c r="F69" s="412">
        <v>0.2812725795019051</v>
      </c>
      <c r="G69" s="412">
        <v>0.82818587164017865</v>
      </c>
      <c r="H69" s="412">
        <v>-1.0835310420538553</v>
      </c>
      <c r="I69" s="412">
        <v>-3.1985087815481066</v>
      </c>
      <c r="J69" s="412">
        <v>-4.0348018613077867</v>
      </c>
      <c r="K69" s="412">
        <v>-6.4527319835433676</v>
      </c>
      <c r="L69" s="412">
        <v>-7.2730044826856428</v>
      </c>
      <c r="M69" s="177"/>
      <c r="N69" s="177"/>
      <c r="O69" s="177"/>
      <c r="P69" s="177"/>
      <c r="Q69" s="177"/>
      <c r="R69" s="177"/>
      <c r="S69" s="177"/>
      <c r="T69" s="177"/>
      <c r="U69" s="177"/>
    </row>
    <row r="70" spans="2:21" hidden="1" x14ac:dyDescent="0.25"/>
    <row r="71" spans="2:21" hidden="1" x14ac:dyDescent="0.25"/>
    <row r="72" spans="2:21" hidden="1" x14ac:dyDescent="0.25"/>
    <row r="73" spans="2:21" hidden="1" x14ac:dyDescent="0.25">
      <c r="B73" s="2440"/>
      <c r="C73" s="2440">
        <v>1992</v>
      </c>
      <c r="D73" s="1664">
        <v>1993</v>
      </c>
      <c r="E73" s="1664">
        <v>1994</v>
      </c>
      <c r="F73" s="1664">
        <v>1995</v>
      </c>
      <c r="G73" s="1664">
        <v>1996</v>
      </c>
      <c r="H73" s="1664">
        <v>1997</v>
      </c>
      <c r="I73" s="1664">
        <v>1998</v>
      </c>
      <c r="J73" s="1664">
        <v>1999</v>
      </c>
      <c r="K73" s="1664">
        <v>2000</v>
      </c>
      <c r="L73" s="1664">
        <v>2001</v>
      </c>
      <c r="M73" s="1664">
        <v>2002</v>
      </c>
      <c r="N73" s="1664">
        <v>2003</v>
      </c>
      <c r="O73" s="1664">
        <v>2004</v>
      </c>
      <c r="P73" s="1664">
        <v>2005</v>
      </c>
      <c r="Q73" s="1664">
        <v>2006</v>
      </c>
    </row>
    <row r="74" spans="2:21" hidden="1" x14ac:dyDescent="0.25">
      <c r="B74" s="2440" t="s">
        <v>323</v>
      </c>
      <c r="C74" s="2440">
        <v>21.34</v>
      </c>
      <c r="D74" s="1664">
        <v>22.48</v>
      </c>
      <c r="E74" s="1664">
        <v>22.1</v>
      </c>
      <c r="F74" s="1664">
        <v>22.77</v>
      </c>
      <c r="G74" s="1664">
        <v>24.73</v>
      </c>
      <c r="H74" s="1664">
        <v>24.6</v>
      </c>
      <c r="I74" s="1664">
        <v>25.65</v>
      </c>
      <c r="J74" s="1664">
        <v>25.33</v>
      </c>
      <c r="K74" s="1664">
        <v>27.87</v>
      </c>
      <c r="L74" s="1664">
        <v>30.13</v>
      </c>
      <c r="M74" s="1664">
        <v>32.99</v>
      </c>
      <c r="N74" s="1664">
        <v>28.06</v>
      </c>
      <c r="O74" s="1664">
        <v>26.71</v>
      </c>
      <c r="P74" s="1664">
        <v>27.45</v>
      </c>
      <c r="Q74" s="1664">
        <v>29.63</v>
      </c>
    </row>
    <row r="75" spans="2:21" hidden="1" x14ac:dyDescent="0.25">
      <c r="B75" s="2440" t="s">
        <v>324</v>
      </c>
      <c r="C75" s="2440">
        <v>1.5</v>
      </c>
      <c r="D75" s="1664">
        <v>2.13</v>
      </c>
      <c r="E75" s="1664">
        <v>0.01</v>
      </c>
      <c r="F75" s="1664">
        <v>-1.65</v>
      </c>
      <c r="G75" s="1664">
        <v>-1.1499999999999999</v>
      </c>
      <c r="H75" s="1664">
        <v>-1.49</v>
      </c>
      <c r="I75" s="1664">
        <v>-1.76</v>
      </c>
      <c r="J75" s="1664">
        <v>-0.51</v>
      </c>
      <c r="K75" s="1664">
        <v>-0.13</v>
      </c>
      <c r="L75" s="1664">
        <v>0.28000000000000003</v>
      </c>
      <c r="M75" s="1664">
        <v>0.83</v>
      </c>
      <c r="N75" s="1664">
        <v>-1.08</v>
      </c>
      <c r="O75" s="1664">
        <v>-3.2</v>
      </c>
      <c r="P75" s="1664">
        <v>-4.03</v>
      </c>
      <c r="Q75" s="1664">
        <v>-6.45</v>
      </c>
    </row>
    <row r="76" spans="2:21" hidden="1" x14ac:dyDescent="0.25">
      <c r="B76" s="2464" t="s">
        <v>325</v>
      </c>
      <c r="C76" s="2671">
        <v>2.8516000000000004</v>
      </c>
      <c r="D76" s="2672">
        <v>3.2667000000000002</v>
      </c>
      <c r="E76" s="2672">
        <v>3.5497000000000001</v>
      </c>
      <c r="F76" s="2672">
        <v>3.6269999999999998</v>
      </c>
      <c r="G76" s="2672">
        <v>4.2964000000000002</v>
      </c>
      <c r="H76" s="2672">
        <v>4.6073000000000004</v>
      </c>
      <c r="I76" s="2672">
        <v>5.5316000000000001</v>
      </c>
      <c r="J76" s="2672">
        <v>6.1130999999999993</v>
      </c>
      <c r="K76" s="2672">
        <v>6.9352999999999998</v>
      </c>
      <c r="L76" s="2672">
        <v>8.6030999999999995</v>
      </c>
      <c r="M76" s="2672">
        <v>10.516500000000001</v>
      </c>
      <c r="N76" s="2672">
        <v>7.5647000000000002</v>
      </c>
      <c r="O76" s="2672">
        <v>6.4499000000000004</v>
      </c>
      <c r="P76" s="2672">
        <v>6.3623000000000003</v>
      </c>
      <c r="Q76" s="2672">
        <v>6.7671999999999999</v>
      </c>
    </row>
    <row r="77" spans="2:21" hidden="1" x14ac:dyDescent="0.25"/>
    <row r="78" spans="2:21" hidden="1" x14ac:dyDescent="0.25">
      <c r="B78" s="2440" t="s">
        <v>325</v>
      </c>
    </row>
    <row r="79" spans="2:21" hidden="1" x14ac:dyDescent="0.25">
      <c r="B79" s="2673">
        <v>2.8516000000000004</v>
      </c>
    </row>
    <row r="80" spans="2:21" hidden="1" x14ac:dyDescent="0.25">
      <c r="B80" s="2673">
        <v>3.2667000000000002</v>
      </c>
    </row>
    <row r="81" spans="2:23" hidden="1" x14ac:dyDescent="0.25">
      <c r="B81" s="2673">
        <v>3.5497000000000001</v>
      </c>
    </row>
    <row r="82" spans="2:23" hidden="1" x14ac:dyDescent="0.25">
      <c r="B82" s="2673">
        <v>3.6269999999999998</v>
      </c>
    </row>
    <row r="83" spans="2:23" hidden="1" x14ac:dyDescent="0.25">
      <c r="B83" s="2673">
        <v>4.2964000000000002</v>
      </c>
    </row>
    <row r="84" spans="2:23" hidden="1" x14ac:dyDescent="0.25">
      <c r="B84" s="2673">
        <v>4.6073000000000004</v>
      </c>
    </row>
    <row r="85" spans="2:23" hidden="1" x14ac:dyDescent="0.25">
      <c r="B85" s="2673">
        <v>5.5316000000000001</v>
      </c>
    </row>
    <row r="86" spans="2:23" hidden="1" x14ac:dyDescent="0.25">
      <c r="B86" s="2673">
        <v>6.1130999999999993</v>
      </c>
    </row>
    <row r="87" spans="2:23" hidden="1" x14ac:dyDescent="0.25">
      <c r="B87" s="2673">
        <v>6.9352999999999998</v>
      </c>
    </row>
    <row r="88" spans="2:23" hidden="1" x14ac:dyDescent="0.25">
      <c r="B88" s="2673">
        <v>8.6030999999999995</v>
      </c>
    </row>
    <row r="89" spans="2:23" hidden="1" x14ac:dyDescent="0.25">
      <c r="B89" s="2673">
        <v>10.516500000000001</v>
      </c>
      <c r="W89" s="59" t="s">
        <v>326</v>
      </c>
    </row>
    <row r="90" spans="2:23" hidden="1" x14ac:dyDescent="0.25">
      <c r="B90" s="2673">
        <v>7.5647000000000002</v>
      </c>
      <c r="W90" s="59" t="s">
        <v>327</v>
      </c>
    </row>
    <row r="91" spans="2:23" hidden="1" x14ac:dyDescent="0.25">
      <c r="B91" s="2673">
        <v>6.4499000000000004</v>
      </c>
    </row>
    <row r="92" spans="2:23" hidden="1" x14ac:dyDescent="0.25">
      <c r="B92" s="2673">
        <v>6.3623000000000003</v>
      </c>
    </row>
    <row r="93" spans="2:23" hidden="1" x14ac:dyDescent="0.25">
      <c r="B93" s="2673">
        <v>6.7671999999999999</v>
      </c>
    </row>
    <row r="94" spans="2:23" hidden="1" x14ac:dyDescent="0.25"/>
    <row r="95" spans="2:23" hidden="1" x14ac:dyDescent="0.25"/>
    <row r="96" spans="2:23"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spans="3:104" hidden="1" x14ac:dyDescent="0.25"/>
    <row r="114" spans="3:104" hidden="1" x14ac:dyDescent="0.25"/>
    <row r="115" spans="3:104" hidden="1" x14ac:dyDescent="0.25"/>
    <row r="116" spans="3:104" hidden="1" x14ac:dyDescent="0.25"/>
    <row r="117" spans="3:104" hidden="1" x14ac:dyDescent="0.25"/>
    <row r="118" spans="3:104" hidden="1" x14ac:dyDescent="0.25"/>
    <row r="120" spans="3:104" ht="7.5" customHeight="1" x14ac:dyDescent="0.25"/>
    <row r="121" spans="3:104" x14ac:dyDescent="0.25">
      <c r="C121" s="1664"/>
      <c r="D121" s="413"/>
      <c r="E121" s="3571">
        <v>1990</v>
      </c>
      <c r="F121" s="3571"/>
      <c r="G121" s="3571"/>
      <c r="H121" s="3571"/>
      <c r="I121" s="3571">
        <v>1991</v>
      </c>
      <c r="J121" s="3571"/>
      <c r="K121" s="3571"/>
      <c r="L121" s="3571"/>
      <c r="M121" s="3571">
        <v>1992</v>
      </c>
      <c r="N121" s="3571"/>
      <c r="O121" s="3571"/>
      <c r="P121" s="3571"/>
      <c r="Q121" s="3571">
        <v>1993</v>
      </c>
      <c r="R121" s="3571"/>
      <c r="S121" s="3571"/>
      <c r="T121" s="3571"/>
      <c r="U121" s="3571">
        <v>1994</v>
      </c>
      <c r="V121" s="3571"/>
      <c r="W121" s="3571"/>
      <c r="X121" s="3571"/>
      <c r="Y121" s="3571">
        <v>1995</v>
      </c>
      <c r="Z121" s="3571"/>
      <c r="AA121" s="3571"/>
      <c r="AB121" s="3571"/>
      <c r="AC121" s="3571">
        <v>1996</v>
      </c>
      <c r="AD121" s="3571"/>
      <c r="AE121" s="3571"/>
      <c r="AF121" s="3571"/>
      <c r="AG121" s="3571">
        <v>1997</v>
      </c>
      <c r="AH121" s="3571"/>
      <c r="AI121" s="3571"/>
      <c r="AJ121" s="3571"/>
      <c r="AK121" s="3571">
        <v>1998</v>
      </c>
      <c r="AL121" s="3571"/>
      <c r="AM121" s="3571"/>
      <c r="AN121" s="3571"/>
      <c r="AO121" s="3571">
        <v>1999</v>
      </c>
      <c r="AP121" s="3571"/>
      <c r="AQ121" s="3571"/>
      <c r="AR121" s="3571"/>
      <c r="AS121" s="3571">
        <v>2000</v>
      </c>
      <c r="AT121" s="3571"/>
      <c r="AU121" s="3571"/>
      <c r="AV121" s="3571"/>
      <c r="AW121" s="3571">
        <v>2001</v>
      </c>
      <c r="AX121" s="3571"/>
      <c r="AY121" s="3571"/>
      <c r="AZ121" s="3571"/>
      <c r="BA121" s="3571">
        <v>2002</v>
      </c>
      <c r="BB121" s="3571"/>
      <c r="BC121" s="3571"/>
      <c r="BD121" s="3571"/>
      <c r="BE121" s="3571">
        <v>2003</v>
      </c>
      <c r="BF121" s="3571"/>
      <c r="BG121" s="3571"/>
      <c r="BH121" s="3571"/>
      <c r="BI121" s="3571">
        <v>2004</v>
      </c>
      <c r="BJ121" s="3571"/>
      <c r="BK121" s="3571"/>
      <c r="BL121" s="3571"/>
      <c r="BM121" s="3571">
        <v>2005</v>
      </c>
      <c r="BN121" s="3571"/>
      <c r="BO121" s="3571"/>
      <c r="BP121" s="3571"/>
      <c r="BQ121" s="3571">
        <v>2006</v>
      </c>
      <c r="BR121" s="3571"/>
      <c r="BS121" s="3571"/>
      <c r="BT121" s="3571"/>
      <c r="BU121" s="3571">
        <v>2007</v>
      </c>
      <c r="BV121" s="3571"/>
      <c r="BW121" s="3571"/>
      <c r="BX121" s="3571"/>
      <c r="BY121" s="3571">
        <v>2008</v>
      </c>
      <c r="BZ121" s="3571"/>
      <c r="CA121" s="3571"/>
      <c r="CB121" s="3571"/>
      <c r="CC121" s="3571">
        <v>2009</v>
      </c>
      <c r="CD121" s="3571"/>
      <c r="CE121" s="3571"/>
      <c r="CF121" s="3571"/>
      <c r="CG121" s="3571">
        <v>2010</v>
      </c>
      <c r="CH121" s="3571"/>
      <c r="CI121" s="3571"/>
      <c r="CJ121" s="3571"/>
      <c r="CK121" s="3571">
        <v>2011</v>
      </c>
      <c r="CL121" s="3571"/>
      <c r="CM121" s="3571"/>
      <c r="CN121" s="3571"/>
      <c r="CO121" s="3571">
        <v>2012</v>
      </c>
      <c r="CP121" s="3571"/>
      <c r="CQ121" s="3571"/>
      <c r="CR121" s="3571"/>
      <c r="CS121" s="3571">
        <v>2013</v>
      </c>
      <c r="CT121" s="3571"/>
      <c r="CU121" s="3571"/>
      <c r="CV121" s="3571"/>
      <c r="CW121" s="3613">
        <v>2014</v>
      </c>
      <c r="CX121" s="3614"/>
      <c r="CY121" s="3614"/>
      <c r="CZ121" s="414"/>
    </row>
    <row r="122" spans="3:104" x14ac:dyDescent="0.25">
      <c r="C122" s="1664"/>
      <c r="D122" s="1664"/>
      <c r="E122" s="264" t="s">
        <v>85</v>
      </c>
      <c r="F122" s="264" t="s">
        <v>86</v>
      </c>
      <c r="G122" s="264" t="s">
        <v>87</v>
      </c>
      <c r="H122" s="415" t="s">
        <v>88</v>
      </c>
      <c r="I122" s="264" t="s">
        <v>85</v>
      </c>
      <c r="J122" s="264" t="s">
        <v>86</v>
      </c>
      <c r="K122" s="264" t="s">
        <v>87</v>
      </c>
      <c r="L122" s="415" t="s">
        <v>88</v>
      </c>
      <c r="M122" s="264" t="s">
        <v>85</v>
      </c>
      <c r="N122" s="264" t="s">
        <v>86</v>
      </c>
      <c r="O122" s="264" t="s">
        <v>87</v>
      </c>
      <c r="P122" s="415" t="s">
        <v>88</v>
      </c>
      <c r="Q122" s="264" t="s">
        <v>85</v>
      </c>
      <c r="R122" s="264" t="s">
        <v>86</v>
      </c>
      <c r="S122" s="264" t="s">
        <v>87</v>
      </c>
      <c r="T122" s="415" t="s">
        <v>88</v>
      </c>
      <c r="U122" s="264" t="s">
        <v>85</v>
      </c>
      <c r="V122" s="264" t="s">
        <v>86</v>
      </c>
      <c r="W122" s="264" t="s">
        <v>87</v>
      </c>
      <c r="X122" s="415" t="s">
        <v>88</v>
      </c>
      <c r="Y122" s="264" t="s">
        <v>85</v>
      </c>
      <c r="Z122" s="264" t="s">
        <v>86</v>
      </c>
      <c r="AA122" s="264" t="s">
        <v>87</v>
      </c>
      <c r="AB122" s="415" t="s">
        <v>88</v>
      </c>
      <c r="AC122" s="264" t="s">
        <v>85</v>
      </c>
      <c r="AD122" s="264" t="s">
        <v>86</v>
      </c>
      <c r="AE122" s="264" t="s">
        <v>87</v>
      </c>
      <c r="AF122" s="415" t="s">
        <v>88</v>
      </c>
      <c r="AG122" s="264" t="s">
        <v>85</v>
      </c>
      <c r="AH122" s="264" t="s">
        <v>86</v>
      </c>
      <c r="AI122" s="264" t="s">
        <v>87</v>
      </c>
      <c r="AJ122" s="415" t="s">
        <v>88</v>
      </c>
      <c r="AK122" s="264" t="s">
        <v>85</v>
      </c>
      <c r="AL122" s="264" t="s">
        <v>86</v>
      </c>
      <c r="AM122" s="264" t="s">
        <v>87</v>
      </c>
      <c r="AN122" s="415" t="s">
        <v>88</v>
      </c>
      <c r="AO122" s="264" t="s">
        <v>85</v>
      </c>
      <c r="AP122" s="264" t="s">
        <v>86</v>
      </c>
      <c r="AQ122" s="264" t="s">
        <v>87</v>
      </c>
      <c r="AR122" s="415" t="s">
        <v>88</v>
      </c>
      <c r="AS122" s="264" t="s">
        <v>85</v>
      </c>
      <c r="AT122" s="264" t="s">
        <v>86</v>
      </c>
      <c r="AU122" s="264" t="s">
        <v>87</v>
      </c>
      <c r="AV122" s="415" t="s">
        <v>88</v>
      </c>
      <c r="AW122" s="264" t="s">
        <v>85</v>
      </c>
      <c r="AX122" s="264" t="s">
        <v>86</v>
      </c>
      <c r="AY122" s="264" t="s">
        <v>87</v>
      </c>
      <c r="AZ122" s="415" t="s">
        <v>88</v>
      </c>
      <c r="BA122" s="264" t="s">
        <v>85</v>
      </c>
      <c r="BB122" s="264" t="s">
        <v>86</v>
      </c>
      <c r="BC122" s="264" t="s">
        <v>87</v>
      </c>
      <c r="BD122" s="415" t="s">
        <v>88</v>
      </c>
      <c r="BE122" s="264" t="s">
        <v>85</v>
      </c>
      <c r="BF122" s="264" t="s">
        <v>86</v>
      </c>
      <c r="BG122" s="264" t="s">
        <v>87</v>
      </c>
      <c r="BH122" s="415" t="s">
        <v>88</v>
      </c>
      <c r="BI122" s="264" t="s">
        <v>85</v>
      </c>
      <c r="BJ122" s="264" t="s">
        <v>86</v>
      </c>
      <c r="BK122" s="264" t="s">
        <v>87</v>
      </c>
      <c r="BL122" s="415" t="s">
        <v>88</v>
      </c>
      <c r="BM122" s="264" t="s">
        <v>85</v>
      </c>
      <c r="BN122" s="264" t="s">
        <v>86</v>
      </c>
      <c r="BO122" s="264" t="s">
        <v>87</v>
      </c>
      <c r="BP122" s="415" t="s">
        <v>88</v>
      </c>
      <c r="BQ122" s="264" t="s">
        <v>85</v>
      </c>
      <c r="BR122" s="264" t="s">
        <v>86</v>
      </c>
      <c r="BS122" s="264" t="s">
        <v>87</v>
      </c>
      <c r="BT122" s="415" t="s">
        <v>88</v>
      </c>
      <c r="BU122" s="264" t="s">
        <v>85</v>
      </c>
      <c r="BV122" s="264" t="s">
        <v>86</v>
      </c>
      <c r="BW122" s="264" t="s">
        <v>87</v>
      </c>
      <c r="BX122" s="415" t="s">
        <v>88</v>
      </c>
      <c r="BY122" s="264" t="s">
        <v>85</v>
      </c>
      <c r="BZ122" s="264" t="s">
        <v>86</v>
      </c>
      <c r="CA122" s="264" t="s">
        <v>87</v>
      </c>
      <c r="CB122" s="415" t="s">
        <v>88</v>
      </c>
      <c r="CC122" s="264" t="s">
        <v>85</v>
      </c>
      <c r="CD122" s="264" t="s">
        <v>86</v>
      </c>
      <c r="CE122" s="264" t="s">
        <v>87</v>
      </c>
      <c r="CF122" s="415" t="s">
        <v>88</v>
      </c>
      <c r="CG122" s="264" t="s">
        <v>85</v>
      </c>
      <c r="CH122" s="264" t="s">
        <v>86</v>
      </c>
      <c r="CI122" s="264" t="s">
        <v>87</v>
      </c>
      <c r="CJ122" s="415" t="s">
        <v>88</v>
      </c>
      <c r="CK122" s="264" t="s">
        <v>85</v>
      </c>
      <c r="CL122" s="264" t="s">
        <v>86</v>
      </c>
      <c r="CM122" s="264" t="s">
        <v>87</v>
      </c>
      <c r="CN122" s="415" t="s">
        <v>88</v>
      </c>
      <c r="CO122" s="264" t="s">
        <v>85</v>
      </c>
      <c r="CP122" s="264" t="s">
        <v>86</v>
      </c>
      <c r="CQ122" s="264" t="s">
        <v>87</v>
      </c>
      <c r="CR122" s="415" t="s">
        <v>88</v>
      </c>
      <c r="CS122" s="264" t="s">
        <v>85</v>
      </c>
      <c r="CT122" s="264" t="s">
        <v>86</v>
      </c>
      <c r="CU122" s="264" t="s">
        <v>87</v>
      </c>
      <c r="CV122" s="415" t="s">
        <v>88</v>
      </c>
      <c r="CW122" s="264" t="s">
        <v>85</v>
      </c>
      <c r="CX122" s="264" t="s">
        <v>86</v>
      </c>
      <c r="CY122" s="264" t="s">
        <v>87</v>
      </c>
      <c r="CZ122" s="415" t="s">
        <v>88</v>
      </c>
    </row>
    <row r="123" spans="3:104" x14ac:dyDescent="0.25">
      <c r="C123" s="1664"/>
      <c r="D123" s="1664" t="s">
        <v>328</v>
      </c>
      <c r="E123" s="1934">
        <v>15.631122502721112</v>
      </c>
      <c r="F123" s="1934">
        <v>15.04714071133523</v>
      </c>
      <c r="G123" s="1934">
        <v>15.380606000626784</v>
      </c>
      <c r="H123" s="1934">
        <v>13.821185466475505</v>
      </c>
      <c r="I123" s="1934">
        <v>14.422118948755871</v>
      </c>
      <c r="J123" s="1934">
        <v>14.038318063803754</v>
      </c>
      <c r="K123" s="1934">
        <v>14.128463389873042</v>
      </c>
      <c r="L123" s="1934">
        <v>12.962155405874592</v>
      </c>
      <c r="M123" s="1934">
        <v>13.59534198815466</v>
      </c>
      <c r="N123" s="1934">
        <v>12.864359125061553</v>
      </c>
      <c r="O123" s="1934">
        <v>14.243341858306161</v>
      </c>
      <c r="P123" s="1934">
        <v>13.467086578046414</v>
      </c>
      <c r="Q123" s="1934">
        <v>13.581500769520735</v>
      </c>
      <c r="R123" s="1934">
        <v>12.987691350515608</v>
      </c>
      <c r="S123" s="1934">
        <v>14.152347994044506</v>
      </c>
      <c r="T123" s="1934">
        <v>14.367715105722487</v>
      </c>
      <c r="U123" s="1934">
        <v>14.263418577950587</v>
      </c>
      <c r="V123" s="1934">
        <v>14.746592888615636</v>
      </c>
      <c r="W123" s="1934">
        <v>16.801768904562273</v>
      </c>
      <c r="X123" s="1934">
        <v>16.687923743035508</v>
      </c>
      <c r="Y123" s="1934">
        <v>17.773807780905592</v>
      </c>
      <c r="Z123" s="1934">
        <v>17.944480445430752</v>
      </c>
      <c r="AA123" s="1934">
        <v>17.412025636995512</v>
      </c>
      <c r="AB123" s="1934">
        <v>17.42581832153321</v>
      </c>
      <c r="AC123" s="1934">
        <v>17.510038169830963</v>
      </c>
      <c r="AD123" s="1934">
        <v>18.526482283739661</v>
      </c>
      <c r="AE123" s="1934">
        <v>19.495465592580853</v>
      </c>
      <c r="AF123" s="1934">
        <v>19.172426540772637</v>
      </c>
      <c r="AG123" s="1934">
        <v>18.367557299681199</v>
      </c>
      <c r="AH123" s="1934">
        <v>18.029394690102716</v>
      </c>
      <c r="AI123" s="1934">
        <v>19.45032277296497</v>
      </c>
      <c r="AJ123" s="1934">
        <v>19.787848663176707</v>
      </c>
      <c r="AK123" s="1934">
        <v>19.124995930592181</v>
      </c>
      <c r="AL123" s="1934">
        <v>18.070323288649455</v>
      </c>
      <c r="AM123" s="1934">
        <v>21.659955753656195</v>
      </c>
      <c r="AN123" s="1934">
        <v>20.246511990970781</v>
      </c>
      <c r="AO123" s="1934">
        <v>17.686328829025744</v>
      </c>
      <c r="AP123" s="1934">
        <v>17.433413152045439</v>
      </c>
      <c r="AQ123" s="1934">
        <v>17.802757751473166</v>
      </c>
      <c r="AR123" s="1934">
        <v>18.82459395688727</v>
      </c>
      <c r="AS123" s="1934">
        <v>19.771484401200148</v>
      </c>
      <c r="AT123" s="1934">
        <v>19.231601789877821</v>
      </c>
      <c r="AU123" s="1934">
        <v>19.773784951144034</v>
      </c>
      <c r="AV123" s="1934">
        <v>21.203027796394579</v>
      </c>
      <c r="AW123" s="1934">
        <v>20.81968067274806</v>
      </c>
      <c r="AX123" s="1934">
        <v>21.170367702026951</v>
      </c>
      <c r="AY123" s="1934">
        <v>20.26189913107163</v>
      </c>
      <c r="AZ123" s="1934">
        <v>22.288528170615713</v>
      </c>
      <c r="BA123" s="1934">
        <v>24.01068113408817</v>
      </c>
      <c r="BB123" s="1934">
        <v>23.411910835236998</v>
      </c>
      <c r="BC123" s="1934">
        <v>22.520406517180191</v>
      </c>
      <c r="BD123" s="1934">
        <v>23.113174152928352</v>
      </c>
      <c r="BE123" s="1934">
        <v>20.402369813903189</v>
      </c>
      <c r="BF123" s="1934">
        <v>19.895686611667003</v>
      </c>
      <c r="BG123" s="1934">
        <v>19.884091168022834</v>
      </c>
      <c r="BH123" s="1934">
        <v>19.715241543646627</v>
      </c>
      <c r="BI123" s="1934">
        <v>19.392974485578161</v>
      </c>
      <c r="BJ123" s="1934">
        <v>21.785363403844254</v>
      </c>
      <c r="BK123" s="1934">
        <v>21.309168638171375</v>
      </c>
      <c r="BL123" s="1934">
        <v>21.873306800862242</v>
      </c>
      <c r="BM123" s="1934">
        <v>20.512435908810357</v>
      </c>
      <c r="BN123" s="1934">
        <v>22.070297526751688</v>
      </c>
      <c r="BO123" s="70">
        <v>23.121537375261163</v>
      </c>
      <c r="BP123" s="70">
        <v>22.143450515976081</v>
      </c>
      <c r="BQ123" s="70">
        <v>22.548713133512972</v>
      </c>
      <c r="BR123" s="96">
        <v>24.950401574680424</v>
      </c>
      <c r="BS123" s="96">
        <v>25.895490593177129</v>
      </c>
      <c r="BT123" s="96">
        <v>29.344604830950701</v>
      </c>
      <c r="BU123" s="96">
        <v>26.610244958115164</v>
      </c>
      <c r="BV123" s="96">
        <v>27.435914311099413</v>
      </c>
      <c r="BW123" s="96">
        <v>27.660327764843167</v>
      </c>
      <c r="BX123" s="96">
        <v>26.671676073535817</v>
      </c>
      <c r="BY123" s="96">
        <v>29.462094819336997</v>
      </c>
      <c r="BZ123" s="96">
        <v>32.393499552903442</v>
      </c>
      <c r="CA123" s="96">
        <v>33.406501039075373</v>
      </c>
      <c r="CB123" s="96">
        <v>30.180155761551109</v>
      </c>
      <c r="CC123" s="96">
        <v>25.730666879393894</v>
      </c>
      <c r="CD123" s="96">
        <v>21.249792361924232</v>
      </c>
      <c r="CE123" s="96">
        <v>20.564345747643291</v>
      </c>
      <c r="CF123" s="96">
        <v>22.057612090004291</v>
      </c>
      <c r="CG123" s="96">
        <v>22.365665056130794</v>
      </c>
      <c r="CH123" s="96">
        <v>22.338568107761837</v>
      </c>
      <c r="CI123" s="96">
        <v>22.721010826827513</v>
      </c>
      <c r="CJ123" s="96">
        <v>21.275510651469741</v>
      </c>
      <c r="CK123" s="96">
        <v>22.696340529552568</v>
      </c>
      <c r="CL123" s="96">
        <v>23.962228229060571</v>
      </c>
      <c r="CM123" s="96">
        <v>24.997231228055835</v>
      </c>
      <c r="CN123" s="96">
        <v>26.556315358630091</v>
      </c>
      <c r="CO123" s="96">
        <v>26.077037922144452</v>
      </c>
      <c r="CP123" s="96">
        <v>26.45944407396162</v>
      </c>
      <c r="CQ123" s="96">
        <v>26.089156749989932</v>
      </c>
      <c r="CR123" s="96">
        <v>26.386230996191063</v>
      </c>
      <c r="CS123" s="96">
        <v>27.614466132618219</v>
      </c>
      <c r="CT123" s="96">
        <v>28.512244382224711</v>
      </c>
      <c r="CU123" s="96">
        <v>29.448844459996305</v>
      </c>
      <c r="CV123" s="96">
        <v>27.700989440503211</v>
      </c>
      <c r="CW123" s="96">
        <v>29.402143113695427</v>
      </c>
      <c r="CX123" s="96">
        <v>28.494982453254448</v>
      </c>
      <c r="CY123" s="96">
        <v>28.08707891546387</v>
      </c>
      <c r="CZ123" s="96">
        <v>27.067012631793695</v>
      </c>
    </row>
    <row r="124" spans="3:104" x14ac:dyDescent="0.25">
      <c r="C124" s="1664"/>
      <c r="D124" s="1664" t="s">
        <v>329</v>
      </c>
      <c r="E124" s="1934">
        <v>15.560900249289</v>
      </c>
      <c r="F124" s="1934">
        <v>13.906174561450566</v>
      </c>
      <c r="G124" s="1934">
        <v>14.598446236825177</v>
      </c>
      <c r="H124" s="1934">
        <v>15.794164374007053</v>
      </c>
      <c r="I124" s="1934">
        <v>13.352495993168276</v>
      </c>
      <c r="J124" s="1934">
        <v>14.462980094899876</v>
      </c>
      <c r="K124" s="1934">
        <v>12.29596085185988</v>
      </c>
      <c r="L124" s="1934">
        <v>13.846538434830915</v>
      </c>
      <c r="M124" s="1934">
        <v>13.704700239288847</v>
      </c>
      <c r="N124" s="1934">
        <v>13.337198650845339</v>
      </c>
      <c r="O124" s="1934">
        <v>13.427220091697331</v>
      </c>
      <c r="P124" s="1934">
        <v>12.181918376608641</v>
      </c>
      <c r="Q124" s="1934">
        <v>11.952421769393483</v>
      </c>
      <c r="R124" s="1934">
        <v>13.287862678001829</v>
      </c>
      <c r="S124" s="1934">
        <v>12.928386516974502</v>
      </c>
      <c r="T124" s="1934">
        <v>14.938466844985909</v>
      </c>
      <c r="U124" s="1934">
        <v>13.607883095477721</v>
      </c>
      <c r="V124" s="1934">
        <v>12.899067527410596</v>
      </c>
      <c r="W124" s="1934">
        <v>13.802216779576899</v>
      </c>
      <c r="X124" s="1934">
        <v>15.881049875813922</v>
      </c>
      <c r="Y124" s="1934">
        <v>14.932459604561132</v>
      </c>
      <c r="Z124" s="1934">
        <v>14.508357256893786</v>
      </c>
      <c r="AA124" s="1934">
        <v>16.136812140898694</v>
      </c>
      <c r="AB124" s="1934">
        <v>15.773349604697257</v>
      </c>
      <c r="AC124" s="1934">
        <v>15.493811860737949</v>
      </c>
      <c r="AD124" s="1934">
        <v>15.482671223304918</v>
      </c>
      <c r="AE124" s="1934">
        <v>17.301918809554888</v>
      </c>
      <c r="AF124" s="1934">
        <v>17.123567859447959</v>
      </c>
      <c r="AG124" s="1934">
        <v>15.585218780600938</v>
      </c>
      <c r="AH124" s="1934">
        <v>15.949809457571979</v>
      </c>
      <c r="AI124" s="1934">
        <v>17.553196724884383</v>
      </c>
      <c r="AJ124" s="1934">
        <v>17.951489382794922</v>
      </c>
      <c r="AK124" s="1934">
        <v>18.010385128756063</v>
      </c>
      <c r="AL124" s="1934">
        <v>17.218389175054739</v>
      </c>
      <c r="AM124" s="1934">
        <v>18.757708848616158</v>
      </c>
      <c r="AN124" s="1934">
        <v>17.044696933827961</v>
      </c>
      <c r="AO124" s="1934">
        <v>18.590479378398058</v>
      </c>
      <c r="AP124" s="1934">
        <v>17.153945380435783</v>
      </c>
      <c r="AQ124" s="1934">
        <v>17.699295042725396</v>
      </c>
      <c r="AR124" s="1934">
        <v>18.70753441916936</v>
      </c>
      <c r="AS124" s="1934">
        <v>19.465634348212969</v>
      </c>
      <c r="AT124" s="1934">
        <v>19.842658754731815</v>
      </c>
      <c r="AU124" s="1934">
        <v>19.767383028088954</v>
      </c>
      <c r="AV124" s="1934">
        <v>22.850564441304748</v>
      </c>
      <c r="AW124" s="1934">
        <v>22.513446211712338</v>
      </c>
      <c r="AX124" s="1934">
        <v>23.7059933145086</v>
      </c>
      <c r="AY124" s="1934">
        <v>21.102791403788498</v>
      </c>
      <c r="AZ124" s="1934">
        <v>23.122012664323606</v>
      </c>
      <c r="BA124" s="1934">
        <v>24.502034048924365</v>
      </c>
      <c r="BB124" s="1934">
        <v>24.434811420655482</v>
      </c>
      <c r="BC124" s="1934">
        <v>22.654702371350218</v>
      </c>
      <c r="BD124" s="1934">
        <v>23.646502451894261</v>
      </c>
      <c r="BE124" s="1934">
        <v>20.661631108878133</v>
      </c>
      <c r="BF124" s="1934">
        <v>19.570155060030121</v>
      </c>
      <c r="BG124" s="1934">
        <v>19.95889523832367</v>
      </c>
      <c r="BH124" s="1934">
        <v>18.120406663848922</v>
      </c>
      <c r="BI124" s="1934">
        <v>18.606924115825365</v>
      </c>
      <c r="BJ124" s="1934">
        <v>19.264561401582927</v>
      </c>
      <c r="BK124" s="1934">
        <v>19.410750586080685</v>
      </c>
      <c r="BL124" s="1934">
        <v>19.044324299039918</v>
      </c>
      <c r="BM124" s="1934">
        <v>18.490176567118546</v>
      </c>
      <c r="BN124" s="1934">
        <v>21.156090877841169</v>
      </c>
      <c r="BO124" s="70">
        <v>20.993235606686795</v>
      </c>
      <c r="BP124" s="70">
        <v>20.141135234946152</v>
      </c>
      <c r="BQ124" s="70">
        <v>20.249979236646855</v>
      </c>
      <c r="BR124" s="96">
        <v>21.896953287301244</v>
      </c>
      <c r="BS124" s="96">
        <v>23.563933446840931</v>
      </c>
      <c r="BT124" s="96">
        <v>24.182705746270848</v>
      </c>
      <c r="BU124" s="96">
        <v>25.137606807684783</v>
      </c>
      <c r="BV124" s="96">
        <v>24.00820343274366</v>
      </c>
      <c r="BW124" s="96">
        <v>23.689780904742751</v>
      </c>
      <c r="BX124" s="96">
        <v>24.533929668466847</v>
      </c>
      <c r="BY124" s="96">
        <v>26.848880723659292</v>
      </c>
      <c r="BZ124" s="96">
        <v>29.436180750670221</v>
      </c>
      <c r="CA124" s="96">
        <v>30.115902287955265</v>
      </c>
      <c r="CB124" s="96">
        <v>28.380897936923304</v>
      </c>
      <c r="CC124" s="96">
        <v>23.644835535264651</v>
      </c>
      <c r="CD124" s="96">
        <v>20.923338600943783</v>
      </c>
      <c r="CE124" s="96">
        <v>20.205675869786312</v>
      </c>
      <c r="CF124" s="96">
        <v>20.878455813731161</v>
      </c>
      <c r="CG124" s="96">
        <v>21.574813973234015</v>
      </c>
      <c r="CH124" s="96">
        <v>22.050441492567369</v>
      </c>
      <c r="CI124" s="96">
        <v>22.624711309301109</v>
      </c>
      <c r="CJ124" s="96">
        <v>22.410860693472326</v>
      </c>
      <c r="CK124" s="96">
        <v>23.033237267684026</v>
      </c>
      <c r="CL124" s="96">
        <v>23.697201527931576</v>
      </c>
      <c r="CM124" s="96">
        <v>24.160336946360978</v>
      </c>
      <c r="CN124" s="96">
        <v>24.205805783139581</v>
      </c>
      <c r="CO124" s="96">
        <v>23.510631821240175</v>
      </c>
      <c r="CP124" s="96">
        <v>23.48515853353048</v>
      </c>
      <c r="CQ124" s="96">
        <v>22.613683366704123</v>
      </c>
      <c r="CR124" s="96">
        <v>22.855192060862127</v>
      </c>
      <c r="CS124" s="96">
        <v>23.909977069883119</v>
      </c>
      <c r="CT124" s="96">
        <v>24.273573802618372</v>
      </c>
      <c r="CU124" s="96">
        <v>25.164834424178974</v>
      </c>
      <c r="CV124" s="96">
        <v>24.930303812050443</v>
      </c>
      <c r="CW124" s="96">
        <v>25.845389441256224</v>
      </c>
      <c r="CX124" s="96">
        <v>24.376376536188939</v>
      </c>
      <c r="CY124" s="96">
        <v>24.419348864928214</v>
      </c>
      <c r="CZ124" s="96">
        <v>24.579047000032293</v>
      </c>
    </row>
    <row r="125" spans="3:104" x14ac:dyDescent="0.25">
      <c r="C125" s="1664"/>
      <c r="D125" s="1664" t="s">
        <v>330</v>
      </c>
      <c r="E125" s="1934">
        <v>1.8</v>
      </c>
      <c r="F125" s="1934">
        <v>1.2</v>
      </c>
      <c r="G125" s="1934">
        <v>0.4</v>
      </c>
      <c r="H125" s="1934">
        <v>2</v>
      </c>
      <c r="I125" s="1934">
        <v>-0.5</v>
      </c>
      <c r="J125" s="1934">
        <v>1.6</v>
      </c>
      <c r="K125" s="1934">
        <v>0.1</v>
      </c>
      <c r="L125" s="1934">
        <v>3.2</v>
      </c>
      <c r="M125" s="1934">
        <v>2.8</v>
      </c>
      <c r="N125" s="1934">
        <v>1.2</v>
      </c>
      <c r="O125" s="1934">
        <v>1.7</v>
      </c>
      <c r="P125" s="1934">
        <v>0.2</v>
      </c>
      <c r="Q125" s="1934">
        <v>2.5</v>
      </c>
      <c r="R125" s="1934">
        <v>2.2000000000000002</v>
      </c>
      <c r="S125" s="1934">
        <v>0.9</v>
      </c>
      <c r="T125" s="1934">
        <v>2.7</v>
      </c>
      <c r="U125" s="1934">
        <v>1.2</v>
      </c>
      <c r="V125" s="1934">
        <v>0</v>
      </c>
      <c r="W125" s="1934">
        <v>-0.8</v>
      </c>
      <c r="X125" s="1934">
        <v>-0.2</v>
      </c>
      <c r="Y125" s="1934">
        <v>-1.5</v>
      </c>
      <c r="Z125" s="1934">
        <v>-3.3</v>
      </c>
      <c r="AA125" s="1934">
        <v>-0.8</v>
      </c>
      <c r="AB125" s="1934">
        <v>-0.9</v>
      </c>
      <c r="AC125" s="1934">
        <v>-1.2</v>
      </c>
      <c r="AD125" s="1934">
        <v>-1.9</v>
      </c>
      <c r="AE125" s="1934">
        <v>-0.2</v>
      </c>
      <c r="AF125" s="1934">
        <v>-1.1000000000000001</v>
      </c>
      <c r="AG125" s="1934">
        <v>-1.6</v>
      </c>
      <c r="AH125" s="1934">
        <v>-1.3</v>
      </c>
      <c r="AI125" s="1934">
        <v>-1.2</v>
      </c>
      <c r="AJ125" s="1934">
        <v>-1.7</v>
      </c>
      <c r="AK125" s="1934">
        <v>-0.5</v>
      </c>
      <c r="AL125" s="1934">
        <v>-1</v>
      </c>
      <c r="AM125" s="1934">
        <v>-2.6</v>
      </c>
      <c r="AN125" s="1934">
        <v>-2.7</v>
      </c>
      <c r="AO125" s="1934">
        <v>1.3</v>
      </c>
      <c r="AP125" s="1934">
        <v>-0.9</v>
      </c>
      <c r="AQ125" s="1934">
        <v>-0.8</v>
      </c>
      <c r="AR125" s="1934">
        <v>-1.4</v>
      </c>
      <c r="AS125" s="1934">
        <v>-0.1</v>
      </c>
      <c r="AT125" s="1934">
        <v>-0.1</v>
      </c>
      <c r="AU125" s="1934">
        <v>-1</v>
      </c>
      <c r="AV125" s="1934">
        <v>0.7</v>
      </c>
      <c r="AW125" s="1934">
        <v>0.7</v>
      </c>
      <c r="AX125" s="1934">
        <v>0.5</v>
      </c>
      <c r="AY125" s="1934">
        <v>-0.7</v>
      </c>
      <c r="AZ125" s="1934">
        <v>0.6</v>
      </c>
      <c r="BA125" s="1934">
        <v>1.2</v>
      </c>
      <c r="BB125" s="1934">
        <v>0.4</v>
      </c>
      <c r="BC125" s="1934">
        <v>0.8</v>
      </c>
      <c r="BD125" s="1934">
        <v>1.2</v>
      </c>
      <c r="BE125" s="1934">
        <v>0.3</v>
      </c>
      <c r="BF125" s="1934">
        <v>-2.5</v>
      </c>
      <c r="BG125" s="1934">
        <v>0</v>
      </c>
      <c r="BH125" s="1934">
        <v>-1.1000000000000001</v>
      </c>
      <c r="BI125" s="1934">
        <v>-1.4</v>
      </c>
      <c r="BJ125" s="1934">
        <v>-3.1</v>
      </c>
      <c r="BK125" s="1934">
        <v>-2.9</v>
      </c>
      <c r="BL125" s="1934">
        <v>-3.5</v>
      </c>
      <c r="BM125" s="1934">
        <v>-3.2</v>
      </c>
      <c r="BN125" s="1934">
        <v>-2.4</v>
      </c>
      <c r="BO125" s="70">
        <v>-3.3</v>
      </c>
      <c r="BP125" s="70">
        <v>-3.6</v>
      </c>
      <c r="BQ125" s="70">
        <v>-4.5</v>
      </c>
      <c r="BR125" s="96">
        <v>-3.8</v>
      </c>
      <c r="BS125" s="96">
        <v>-3.1</v>
      </c>
      <c r="BT125" s="96">
        <v>-6.5</v>
      </c>
      <c r="BU125" s="96">
        <v>-3.4</v>
      </c>
      <c r="BV125" s="96">
        <v>-5.4</v>
      </c>
      <c r="BW125" s="96">
        <v>-6.9</v>
      </c>
      <c r="BX125" s="96">
        <v>-5.7</v>
      </c>
      <c r="BY125" s="96">
        <v>-5.9</v>
      </c>
      <c r="BZ125" s="96">
        <v>-5.8</v>
      </c>
      <c r="CA125" s="96">
        <v>-6.6</v>
      </c>
      <c r="CB125" s="96">
        <v>-3.8</v>
      </c>
      <c r="CC125" s="96">
        <v>-4</v>
      </c>
      <c r="CD125" s="96">
        <v>-1.9</v>
      </c>
      <c r="CE125" s="96">
        <v>-2.2999999999999998</v>
      </c>
      <c r="CF125" s="96">
        <v>-2.7</v>
      </c>
      <c r="CG125" s="96">
        <v>-2.7</v>
      </c>
      <c r="CH125" s="96">
        <v>-1.2</v>
      </c>
      <c r="CI125" s="96">
        <v>-1.9</v>
      </c>
      <c r="CJ125" s="96">
        <v>-0.4</v>
      </c>
      <c r="CK125" s="96">
        <v>-1.4</v>
      </c>
      <c r="CL125" s="96">
        <v>-1.9</v>
      </c>
      <c r="CM125" s="96">
        <v>-2.7</v>
      </c>
      <c r="CN125" s="96">
        <v>-2.7</v>
      </c>
      <c r="CO125" s="96">
        <v>-3.6</v>
      </c>
      <c r="CP125" s="96">
        <v>-4.8</v>
      </c>
      <c r="CQ125" s="96">
        <v>-5.5</v>
      </c>
      <c r="CR125" s="96">
        <v>-5.8</v>
      </c>
      <c r="CS125" s="96">
        <v>-5.2</v>
      </c>
      <c r="CT125" s="96">
        <v>-6.1</v>
      </c>
      <c r="CU125" s="96">
        <v>-6.4</v>
      </c>
      <c r="CV125" s="96">
        <v>-5.3</v>
      </c>
      <c r="CW125" s="51">
        <v>-4.5999999999999996</v>
      </c>
      <c r="CX125" s="51">
        <v>-6.2</v>
      </c>
      <c r="CY125" s="51">
        <v>-5.8</v>
      </c>
      <c r="CZ125" s="51">
        <v>-5.0999999999999996</v>
      </c>
    </row>
    <row r="126" spans="3:104" x14ac:dyDescent="0.25">
      <c r="C126" s="1664"/>
      <c r="D126" s="1664" t="s">
        <v>305</v>
      </c>
      <c r="E126" s="1934">
        <v>5.543695797198132</v>
      </c>
      <c r="F126" s="1934">
        <v>5.7098599860522503</v>
      </c>
      <c r="G126" s="1934">
        <v>4.4089267158196845</v>
      </c>
      <c r="H126" s="1934">
        <v>6.7048991875589312</v>
      </c>
      <c r="I126" s="1934">
        <v>3.1073830902418953</v>
      </c>
      <c r="J126" s="1934">
        <v>5.8330597749858253</v>
      </c>
      <c r="K126" s="1934">
        <v>3.3307858145026064</v>
      </c>
      <c r="L126" s="1934">
        <v>6.2437330740920771</v>
      </c>
      <c r="M126" s="1934">
        <v>5.717487575386814</v>
      </c>
      <c r="N126" s="1934">
        <v>4.7238945456663437</v>
      </c>
      <c r="O126" s="1934">
        <v>4.6376196965661336</v>
      </c>
      <c r="P126" s="1934">
        <v>3.6737258656931906</v>
      </c>
      <c r="Q126" s="1934">
        <v>5.668042440089029</v>
      </c>
      <c r="R126" s="1934">
        <v>5.5597858638573294</v>
      </c>
      <c r="S126" s="1934">
        <v>4.443594936935245</v>
      </c>
      <c r="T126" s="1934">
        <v>6.6952151002991513</v>
      </c>
      <c r="U126" s="1934">
        <v>4.4349705050707104</v>
      </c>
      <c r="V126" s="1934">
        <v>3.1326980223383547</v>
      </c>
      <c r="W126" s="1934">
        <v>2.3678869579602724</v>
      </c>
      <c r="X126" s="1934">
        <v>2.6883648673270746</v>
      </c>
      <c r="Y126" s="1934">
        <v>1.6095166261121601</v>
      </c>
      <c r="Z126" s="1934">
        <v>-0.18318267222248366</v>
      </c>
      <c r="AA126" s="1934">
        <v>2.5666684130560067</v>
      </c>
      <c r="AB126" s="1934">
        <v>2.0625815613400516</v>
      </c>
      <c r="AC126" s="1934">
        <v>1.6419636808275087</v>
      </c>
      <c r="AD126" s="1934">
        <v>1.2640859832556248</v>
      </c>
      <c r="AE126" s="1934">
        <v>2.8827207687669767</v>
      </c>
      <c r="AF126" s="1934">
        <v>1.9908306642465599</v>
      </c>
      <c r="AG126" s="1934">
        <v>1.3155550319906348</v>
      </c>
      <c r="AH126" s="1934">
        <v>1.3520465348867954</v>
      </c>
      <c r="AI126" s="1934">
        <v>1.9332631214838418</v>
      </c>
      <c r="AJ126" s="1934">
        <v>1.4936511564505957</v>
      </c>
      <c r="AK126" s="1934">
        <v>2.3717865242916516</v>
      </c>
      <c r="AL126" s="1934">
        <v>2.0673513644072692</v>
      </c>
      <c r="AM126" s="1934">
        <v>0.63954892222954585</v>
      </c>
      <c r="AN126" s="1934">
        <v>0.26847080411996477</v>
      </c>
      <c r="AO126" s="1934">
        <v>4.7247143226489774</v>
      </c>
      <c r="AP126" s="1934">
        <v>2.3700143477305669</v>
      </c>
      <c r="AQ126" s="1934">
        <v>2.6852100057845059</v>
      </c>
      <c r="AR126" s="1934">
        <v>2.0483128307332827</v>
      </c>
      <c r="AS126" s="1934">
        <v>3.2629595016969311</v>
      </c>
      <c r="AT126" s="1934">
        <v>3.4716306519269184</v>
      </c>
      <c r="AU126" s="1934">
        <v>2.8881966092524309</v>
      </c>
      <c r="AV126" s="1934">
        <v>4.1464146052332334</v>
      </c>
      <c r="AW126" s="1934">
        <v>4.250880602752062</v>
      </c>
      <c r="AX126" s="1934">
        <v>4.8681881388691988</v>
      </c>
      <c r="AY126" s="1934">
        <v>3.756074488293498</v>
      </c>
      <c r="AZ126" s="1934">
        <v>4.1883240350520188</v>
      </c>
      <c r="BA126" s="1934">
        <v>4.2944970893996057</v>
      </c>
      <c r="BB126" s="1934">
        <v>4.6776035804434262</v>
      </c>
      <c r="BC126" s="1934">
        <v>3.8022261655105658</v>
      </c>
      <c r="BD126" s="1934">
        <v>3.7743596520622811</v>
      </c>
      <c r="BE126" s="1934">
        <v>3.0804019672582941</v>
      </c>
      <c r="BF126" s="1934">
        <v>2.014621862061817</v>
      </c>
      <c r="BG126" s="1934">
        <v>2.1322158194868353</v>
      </c>
      <c r="BH126" s="1934">
        <v>0.88326837133018399</v>
      </c>
      <c r="BI126" s="1934">
        <v>1.2634687614865598</v>
      </c>
      <c r="BJ126" s="1934">
        <v>-0.51058212674402015</v>
      </c>
      <c r="BK126" s="1934">
        <v>-0.16723104065909572</v>
      </c>
      <c r="BL126" s="1934">
        <v>-0.84106114292322354</v>
      </c>
      <c r="BM126" s="1934">
        <v>-0.43268933110276098</v>
      </c>
      <c r="BN126" s="1934">
        <v>0.68681420590701014</v>
      </c>
      <c r="BO126" s="70">
        <v>-0.56311706714027865</v>
      </c>
      <c r="BP126" s="70">
        <v>-0.17437580525485896</v>
      </c>
      <c r="BQ126" s="70">
        <v>-0.52831198553024994</v>
      </c>
      <c r="BR126" s="96">
        <v>-1.0994039282398183</v>
      </c>
      <c r="BS126" s="96">
        <v>-0.26714432531864984</v>
      </c>
      <c r="BT126" s="96">
        <v>-3.2483801340369265</v>
      </c>
      <c r="BU126" s="96">
        <v>0.45038093035663129</v>
      </c>
      <c r="BV126" s="96">
        <v>-1.5888101925425804</v>
      </c>
      <c r="BW126" s="96">
        <v>-2.0510322194464745</v>
      </c>
      <c r="BX126" s="96">
        <v>-0.25337651849518256</v>
      </c>
      <c r="BY126" s="96">
        <v>-0.52527048539564991</v>
      </c>
      <c r="BZ126" s="96">
        <v>-0.84865195163937535</v>
      </c>
      <c r="CA126" s="96">
        <v>-1.2660803855562306</v>
      </c>
      <c r="CB126" s="96">
        <v>0.17868553809357191</v>
      </c>
      <c r="CC126" s="96">
        <v>0.10026815902996386</v>
      </c>
      <c r="CD126" s="96">
        <v>1.7011498174206416</v>
      </c>
      <c r="CE126" s="96">
        <v>1.7084449482845785</v>
      </c>
      <c r="CF126" s="96">
        <v>0.95819698451473179</v>
      </c>
      <c r="CG126" s="96">
        <v>1.1754355054049908</v>
      </c>
      <c r="CH126" s="96">
        <v>1.9678923782520952</v>
      </c>
      <c r="CI126" s="96">
        <v>2.1319643185706605</v>
      </c>
      <c r="CJ126" s="96">
        <v>3.3356541442258281</v>
      </c>
      <c r="CK126" s="96">
        <v>2.4890815477308816</v>
      </c>
      <c r="CL126" s="96">
        <v>2.0894020265679263</v>
      </c>
      <c r="CM126" s="96">
        <v>1.8935103941017248</v>
      </c>
      <c r="CN126" s="96">
        <v>0.34954404394885863</v>
      </c>
      <c r="CO126" s="96">
        <v>-0.15298946139192651</v>
      </c>
      <c r="CP126" s="96">
        <v>-0.57933286527916306</v>
      </c>
      <c r="CQ126" s="96">
        <v>-1.3942829184251915</v>
      </c>
      <c r="CR126" s="96">
        <v>-1.6903008566093396</v>
      </c>
      <c r="CS126" s="96">
        <v>-1.7447105907860088</v>
      </c>
      <c r="CT126" s="96">
        <v>-2.2401111120353874</v>
      </c>
      <c r="CU126" s="96">
        <v>-2.5172669640866245</v>
      </c>
      <c r="CV126" s="96">
        <v>-1.2492813801449001</v>
      </c>
      <c r="CW126" s="96">
        <v>-1.9270746554220102</v>
      </c>
      <c r="CX126" s="96">
        <v>-2.4153934481612152</v>
      </c>
      <c r="CY126" s="96">
        <v>-2.026357440723038</v>
      </c>
      <c r="CZ126" s="96">
        <v>-0.89926499496891377</v>
      </c>
    </row>
    <row r="127" spans="3:104" x14ac:dyDescent="0.25">
      <c r="C127" s="1664"/>
      <c r="D127" s="1664"/>
      <c r="E127" s="1664"/>
      <c r="F127" s="1664"/>
      <c r="G127" s="1664"/>
      <c r="H127" s="1664"/>
      <c r="I127" s="1664"/>
      <c r="J127" s="1664"/>
      <c r="K127" s="1664"/>
      <c r="L127" s="1664"/>
      <c r="M127" s="1664"/>
      <c r="N127" s="1664"/>
      <c r="O127" s="1664"/>
      <c r="P127" s="1664"/>
      <c r="Q127" s="1664"/>
      <c r="R127" s="1664"/>
      <c r="S127" s="1664"/>
      <c r="T127" s="1664"/>
      <c r="U127" s="1664"/>
      <c r="V127" s="1664"/>
      <c r="W127" s="1664"/>
      <c r="X127" s="1664"/>
      <c r="Y127" s="1664"/>
      <c r="Z127" s="1664"/>
      <c r="AA127" s="1664"/>
      <c r="AB127" s="1664"/>
      <c r="AC127" s="1664"/>
      <c r="AD127" s="1664"/>
      <c r="AE127" s="1664"/>
      <c r="AF127" s="1664"/>
      <c r="AG127" s="1664"/>
      <c r="AH127" s="1664"/>
      <c r="AI127" s="1664"/>
      <c r="AJ127" s="1664"/>
      <c r="AK127" s="1664"/>
      <c r="AL127" s="1664"/>
      <c r="AM127" s="1664"/>
      <c r="AN127" s="1664"/>
      <c r="AO127" s="1664"/>
      <c r="AP127" s="1664"/>
      <c r="AQ127" s="1664"/>
      <c r="AR127" s="1664"/>
      <c r="AS127" s="1664"/>
      <c r="AT127" s="1664"/>
      <c r="AU127" s="1664"/>
      <c r="AV127" s="1664"/>
      <c r="AW127" s="1664"/>
      <c r="AX127" s="1664"/>
      <c r="AY127" s="1664"/>
      <c r="AZ127" s="1664"/>
      <c r="BA127" s="1664"/>
      <c r="BB127" s="1664"/>
      <c r="BC127" s="1664"/>
      <c r="BD127" s="1664"/>
      <c r="BE127" s="1664"/>
      <c r="BF127" s="1664"/>
      <c r="BG127" s="1664"/>
      <c r="BH127" s="1664"/>
      <c r="BI127" s="1664"/>
      <c r="BJ127" s="1664"/>
      <c r="BK127" s="1664"/>
      <c r="BL127" s="1664"/>
      <c r="BM127" s="1664"/>
      <c r="BN127" s="1664"/>
    </row>
    <row r="128" spans="3:104" x14ac:dyDescent="0.25">
      <c r="C128" s="1664"/>
      <c r="D128" s="1664"/>
      <c r="E128" s="1664"/>
      <c r="F128" s="1664"/>
      <c r="G128" s="1664"/>
      <c r="H128" s="1664"/>
      <c r="I128" s="1664"/>
      <c r="J128" s="1664"/>
      <c r="K128" s="1664"/>
      <c r="L128" s="1664"/>
      <c r="M128" s="1664"/>
      <c r="N128" s="1664"/>
      <c r="O128" s="1664"/>
      <c r="P128" s="1664"/>
      <c r="Q128" s="1664"/>
      <c r="R128" s="1664"/>
      <c r="S128" s="1664"/>
      <c r="T128" s="1664"/>
      <c r="U128" s="1664"/>
      <c r="V128" s="1664"/>
      <c r="W128" s="1664"/>
      <c r="X128" s="1664"/>
      <c r="Y128" s="1664"/>
      <c r="Z128" s="1664"/>
      <c r="AA128" s="1664"/>
      <c r="AB128" s="1664"/>
      <c r="AC128" s="1664"/>
      <c r="AD128" s="1664"/>
      <c r="AE128" s="1664"/>
      <c r="AF128" s="1664"/>
      <c r="AG128" s="1664"/>
      <c r="AH128" s="1664"/>
      <c r="AI128" s="1664"/>
      <c r="AJ128" s="1664"/>
      <c r="AK128" s="1664"/>
      <c r="AL128" s="1664"/>
      <c r="AM128" s="1664"/>
      <c r="AN128" s="1664"/>
      <c r="AO128" s="1664"/>
      <c r="AP128" s="1664"/>
      <c r="AQ128" s="1664"/>
      <c r="AR128" s="1664"/>
      <c r="AS128" s="1664"/>
      <c r="AT128" s="1664"/>
      <c r="AU128" s="1664"/>
      <c r="AV128" s="1664"/>
      <c r="AW128" s="1664"/>
      <c r="AX128" s="1664"/>
      <c r="AY128" s="1664"/>
      <c r="AZ128" s="1664"/>
      <c r="BA128" s="1664"/>
      <c r="BB128" s="1664"/>
      <c r="BC128" s="1664"/>
      <c r="BD128" s="1664"/>
      <c r="BE128" s="1664"/>
      <c r="BF128" s="1664"/>
      <c r="BG128" s="1664"/>
      <c r="BH128" s="1664"/>
      <c r="BI128" s="1664"/>
      <c r="BJ128" s="1664"/>
      <c r="BK128" s="1664"/>
      <c r="BL128" s="1664"/>
      <c r="BM128" s="1664"/>
      <c r="BN128" s="1664"/>
      <c r="CG128" s="96">
        <v>22.365665056130794</v>
      </c>
      <c r="CH128" s="96">
        <v>22.338568107761837</v>
      </c>
      <c r="CI128" s="96">
        <v>22.721010826827513</v>
      </c>
      <c r="CJ128" s="96">
        <v>21.275510651469741</v>
      </c>
      <c r="CK128" s="96">
        <v>22.696340529552568</v>
      </c>
      <c r="CL128" s="96">
        <v>23.962228229060571</v>
      </c>
      <c r="CM128" s="96">
        <v>24.997231228055835</v>
      </c>
      <c r="CN128" s="96">
        <v>26.556315358630091</v>
      </c>
      <c r="CO128" s="96">
        <v>26.077037922144452</v>
      </c>
      <c r="CP128" s="96">
        <v>26.45944407396162</v>
      </c>
      <c r="CQ128" s="96">
        <v>26.089156749989932</v>
      </c>
      <c r="CR128" s="96">
        <v>26.386230996191063</v>
      </c>
      <c r="CS128" s="96">
        <v>27.614466132618219</v>
      </c>
      <c r="CT128" s="96">
        <v>28.512244382224711</v>
      </c>
      <c r="CU128" s="96">
        <v>29.448844459996305</v>
      </c>
      <c r="CV128" s="96">
        <v>27.700989440503211</v>
      </c>
      <c r="CW128" s="96">
        <v>29.402143113695427</v>
      </c>
      <c r="CX128" s="96">
        <v>28.494982453254448</v>
      </c>
      <c r="CY128" s="96">
        <v>28.08707891546387</v>
      </c>
      <c r="CZ128" s="96">
        <v>27.067012631793695</v>
      </c>
    </row>
    <row r="129" spans="3:104" x14ac:dyDescent="0.25">
      <c r="C129" s="1664"/>
      <c r="D129" s="1664"/>
      <c r="E129" s="1664"/>
      <c r="F129" s="1664"/>
      <c r="G129" s="1664"/>
      <c r="H129" s="1664"/>
      <c r="I129" s="1664"/>
      <c r="J129" s="1664"/>
      <c r="K129" s="1664"/>
      <c r="L129" s="1664"/>
      <c r="M129" s="1664"/>
      <c r="N129" s="1664"/>
      <c r="O129" s="1664"/>
      <c r="P129" s="1664"/>
      <c r="Q129" s="1664"/>
      <c r="R129" s="1664"/>
      <c r="S129" s="1664"/>
      <c r="T129" s="1664"/>
      <c r="U129" s="1664"/>
      <c r="V129" s="1664"/>
      <c r="W129" s="1664"/>
      <c r="X129" s="1664"/>
      <c r="Y129" s="1664"/>
      <c r="Z129" s="1664"/>
      <c r="AA129" s="1664"/>
      <c r="AB129" s="1664"/>
      <c r="AC129" s="1664"/>
      <c r="AD129" s="1664"/>
      <c r="AE129" s="1664"/>
      <c r="AF129" s="1664"/>
      <c r="AG129" s="1664"/>
      <c r="AH129" s="1664"/>
      <c r="AI129" s="1664"/>
      <c r="AJ129" s="1664"/>
      <c r="AK129" s="1664"/>
      <c r="AL129" s="1664"/>
      <c r="AM129" s="1664"/>
      <c r="AN129" s="1664"/>
      <c r="AO129" s="1664"/>
      <c r="AP129" s="1664"/>
      <c r="AQ129" s="1664"/>
      <c r="AR129" s="1664"/>
      <c r="AS129" s="1664"/>
      <c r="AT129" s="1664"/>
      <c r="AU129" s="1664"/>
      <c r="AV129" s="1664"/>
      <c r="AW129" s="1664"/>
      <c r="AX129" s="1664"/>
      <c r="AY129" s="1664"/>
      <c r="AZ129" s="1664"/>
      <c r="BA129" s="1664"/>
      <c r="BB129" s="1664"/>
      <c r="BC129" s="1664"/>
      <c r="BD129" s="1664"/>
      <c r="BE129" s="1664"/>
      <c r="BF129" s="1664"/>
      <c r="BG129" s="1664"/>
      <c r="BH129" s="1664"/>
      <c r="BI129" s="1664"/>
      <c r="BJ129" s="1664"/>
      <c r="BK129" s="1664"/>
      <c r="BL129" s="1664"/>
      <c r="BM129" s="1664"/>
      <c r="BN129" s="1664"/>
      <c r="CG129" s="96">
        <v>21.574813973234015</v>
      </c>
      <c r="CH129" s="96">
        <v>22.050441492567369</v>
      </c>
      <c r="CI129" s="96">
        <v>22.624711309301109</v>
      </c>
      <c r="CJ129" s="96">
        <v>22.410860693472326</v>
      </c>
      <c r="CK129" s="96">
        <v>23.033237267684026</v>
      </c>
      <c r="CL129" s="96">
        <v>23.697201527931576</v>
      </c>
      <c r="CM129" s="96">
        <v>24.160336946360978</v>
      </c>
      <c r="CN129" s="96">
        <v>24.205805783139581</v>
      </c>
      <c r="CO129" s="96">
        <v>23.510631821240175</v>
      </c>
      <c r="CP129" s="96">
        <v>23.48515853353048</v>
      </c>
      <c r="CQ129" s="96">
        <v>22.613683366704123</v>
      </c>
      <c r="CR129" s="96">
        <v>22.855192060862127</v>
      </c>
      <c r="CS129" s="96">
        <v>23.909977069883119</v>
      </c>
      <c r="CT129" s="96">
        <v>24.273573802618372</v>
      </c>
      <c r="CU129" s="96">
        <v>25.164834424178974</v>
      </c>
      <c r="CV129" s="96">
        <v>24.930303812050443</v>
      </c>
      <c r="CW129" s="96">
        <v>25.828058277587434</v>
      </c>
      <c r="CX129" s="96">
        <v>24.35226802971976</v>
      </c>
      <c r="CY129" s="96">
        <v>24.419348864928214</v>
      </c>
      <c r="CZ129" s="96">
        <v>24.579047000032293</v>
      </c>
    </row>
    <row r="130" spans="3:104" x14ac:dyDescent="0.25">
      <c r="CG130" s="51">
        <v>-2.7</v>
      </c>
      <c r="CH130" s="51">
        <v>-1.2</v>
      </c>
      <c r="CI130" s="51">
        <v>-1.9</v>
      </c>
      <c r="CJ130" s="51">
        <v>-0.4</v>
      </c>
      <c r="CK130" s="51">
        <v>-1.4</v>
      </c>
      <c r="CL130" s="51">
        <v>-1.9</v>
      </c>
      <c r="CM130" s="51">
        <v>-2.7</v>
      </c>
      <c r="CN130" s="51">
        <v>-2.7</v>
      </c>
      <c r="CO130" s="51">
        <v>-3.6</v>
      </c>
      <c r="CP130" s="51">
        <v>-4.8</v>
      </c>
      <c r="CQ130" s="51">
        <v>-5.5</v>
      </c>
      <c r="CR130" s="51">
        <v>-5.8</v>
      </c>
      <c r="CS130" s="51">
        <v>-5.2</v>
      </c>
      <c r="CT130" s="51">
        <v>-6.1</v>
      </c>
      <c r="CU130" s="51">
        <v>-6.4</v>
      </c>
      <c r="CV130" s="51">
        <v>-5.3</v>
      </c>
      <c r="CW130" s="51">
        <v>-4.5999999999999996</v>
      </c>
      <c r="CX130" s="51">
        <v>-6.2</v>
      </c>
      <c r="CY130" s="51">
        <v>-5.8</v>
      </c>
      <c r="CZ130" s="51">
        <v>-5.0999999999999996</v>
      </c>
    </row>
    <row r="131" spans="3:104" x14ac:dyDescent="0.25">
      <c r="CG131" s="96">
        <v>1.1754355054049908</v>
      </c>
      <c r="CH131" s="96">
        <v>1.9678923782520952</v>
      </c>
      <c r="CI131" s="96">
        <v>2.1319643185706605</v>
      </c>
      <c r="CJ131" s="96">
        <v>3.3356541442258281</v>
      </c>
      <c r="CK131" s="96">
        <v>2.4890815477308816</v>
      </c>
      <c r="CL131" s="96">
        <v>2.0894020265679263</v>
      </c>
      <c r="CM131" s="96">
        <v>1.8935103941017248</v>
      </c>
      <c r="CN131" s="96">
        <v>0.34954404394885863</v>
      </c>
      <c r="CO131" s="96">
        <v>-0.15298946139192651</v>
      </c>
      <c r="CP131" s="96">
        <v>-0.57933286527916306</v>
      </c>
      <c r="CQ131" s="96">
        <v>-1.3942829184251915</v>
      </c>
      <c r="CR131" s="96">
        <v>-1.6903008566093396</v>
      </c>
      <c r="CS131" s="96">
        <v>-1.7447105907860088</v>
      </c>
      <c r="CT131" s="96">
        <v>-2.2401111120353874</v>
      </c>
      <c r="CU131" s="96">
        <v>-2.5172669640866245</v>
      </c>
      <c r="CV131" s="96">
        <v>-1.2492813801449001</v>
      </c>
      <c r="CW131" s="96">
        <v>-1.9270746554220102</v>
      </c>
      <c r="CX131" s="96">
        <v>-2.4153934481612152</v>
      </c>
      <c r="CY131" s="96">
        <v>-2.026357440723038</v>
      </c>
      <c r="CZ131" s="96">
        <v>-0.89926499496891377</v>
      </c>
    </row>
    <row r="132" spans="3:104" x14ac:dyDescent="0.25">
      <c r="CG132" s="96">
        <f>CG126-CG131</f>
        <v>0</v>
      </c>
      <c r="CH132" s="96">
        <f t="shared" ref="CH132:CZ132" si="0">CH126-CH131</f>
        <v>0</v>
      </c>
      <c r="CI132" s="96">
        <f t="shared" si="0"/>
        <v>0</v>
      </c>
      <c r="CJ132" s="96">
        <f t="shared" si="0"/>
        <v>0</v>
      </c>
      <c r="CK132" s="96">
        <f t="shared" si="0"/>
        <v>0</v>
      </c>
      <c r="CL132" s="96">
        <f t="shared" si="0"/>
        <v>0</v>
      </c>
      <c r="CM132" s="96">
        <f t="shared" si="0"/>
        <v>0</v>
      </c>
      <c r="CN132" s="96">
        <f t="shared" si="0"/>
        <v>0</v>
      </c>
      <c r="CO132" s="96">
        <f t="shared" si="0"/>
        <v>0</v>
      </c>
      <c r="CP132" s="96">
        <f t="shared" si="0"/>
        <v>0</v>
      </c>
      <c r="CQ132" s="96">
        <f t="shared" si="0"/>
        <v>0</v>
      </c>
      <c r="CR132" s="96">
        <f t="shared" si="0"/>
        <v>0</v>
      </c>
      <c r="CS132" s="96">
        <f t="shared" si="0"/>
        <v>0</v>
      </c>
      <c r="CT132" s="96">
        <f t="shared" si="0"/>
        <v>0</v>
      </c>
      <c r="CU132" s="96">
        <f t="shared" si="0"/>
        <v>0</v>
      </c>
      <c r="CV132" s="96">
        <f t="shared" si="0"/>
        <v>0</v>
      </c>
      <c r="CW132" s="96">
        <f t="shared" si="0"/>
        <v>0</v>
      </c>
      <c r="CX132" s="96">
        <f t="shared" si="0"/>
        <v>0</v>
      </c>
      <c r="CY132" s="96">
        <f t="shared" si="0"/>
        <v>0</v>
      </c>
      <c r="CZ132" s="96">
        <f t="shared" si="0"/>
        <v>0</v>
      </c>
    </row>
  </sheetData>
  <mergeCells count="32">
    <mergeCell ref="D2:Z2"/>
    <mergeCell ref="D3:Z3"/>
    <mergeCell ref="D4:Z4"/>
    <mergeCell ref="D35:Z35"/>
    <mergeCell ref="D36:Z36"/>
    <mergeCell ref="D37:Z37"/>
    <mergeCell ref="E121:H121"/>
    <mergeCell ref="I121:L121"/>
    <mergeCell ref="M121:P121"/>
    <mergeCell ref="Q121:T121"/>
    <mergeCell ref="U121:X121"/>
    <mergeCell ref="D38:Z38"/>
    <mergeCell ref="BQ121:BT121"/>
    <mergeCell ref="Y121:AB121"/>
    <mergeCell ref="AC121:AF121"/>
    <mergeCell ref="AG121:AJ121"/>
    <mergeCell ref="AK121:AN121"/>
    <mergeCell ref="AO121:AR121"/>
    <mergeCell ref="AS121:AV121"/>
    <mergeCell ref="AW121:AZ121"/>
    <mergeCell ref="BA121:BD121"/>
    <mergeCell ref="BE121:BH121"/>
    <mergeCell ref="BI121:BL121"/>
    <mergeCell ref="BM121:BP121"/>
    <mergeCell ref="CS121:CV121"/>
    <mergeCell ref="CW121:CY121"/>
    <mergeCell ref="BU121:BX121"/>
    <mergeCell ref="BY121:CB121"/>
    <mergeCell ref="CC121:CF121"/>
    <mergeCell ref="CG121:CJ121"/>
    <mergeCell ref="CK121:CN121"/>
    <mergeCell ref="CO121:CR121"/>
  </mergeCells>
  <pageMargins left="0.74803149606299213" right="0.74803149606299213" top="0.98425196850393704" bottom="0.98425196850393704" header="0.51181102362204722" footer="0.51181102362204722"/>
  <pageSetup paperSize="9" scale="52"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132"/>
  <sheetViews>
    <sheetView showGridLines="0" view="pageBreakPreview" topLeftCell="F10" zoomScaleNormal="100" zoomScaleSheetLayoutView="100" workbookViewId="0">
      <selection activeCell="P25" sqref="P25:P42"/>
    </sheetView>
  </sheetViews>
  <sheetFormatPr defaultColWidth="9.140625" defaultRowHeight="15" x14ac:dyDescent="0.25"/>
  <cols>
    <col min="1" max="1" width="3.7109375" style="2427" customWidth="1"/>
    <col min="2" max="2" width="14.42578125" style="2427" customWidth="1"/>
    <col min="3" max="3" width="5.42578125" style="2427" customWidth="1"/>
    <col min="4" max="4" width="22" style="2427" bestFit="1" customWidth="1"/>
    <col min="5" max="16" width="11" style="2427" customWidth="1"/>
    <col min="17" max="16384" width="9.140625" style="2427"/>
  </cols>
  <sheetData>
    <row r="1" spans="1:22" s="964" customFormat="1" x14ac:dyDescent="0.2">
      <c r="A1" s="965"/>
      <c r="B1" s="1277"/>
      <c r="C1" s="965"/>
    </row>
    <row r="2" spans="1:22" s="964" customFormat="1" ht="14.25" customHeight="1" x14ac:dyDescent="0.2">
      <c r="A2" s="835">
        <v>1</v>
      </c>
      <c r="B2" s="835" t="s">
        <v>24</v>
      </c>
      <c r="C2" s="835">
        <f>1+'[7]Foreign Trade'!C2</f>
        <v>14</v>
      </c>
      <c r="D2" s="3623" t="s">
        <v>331</v>
      </c>
      <c r="E2" s="3624"/>
      <c r="F2" s="3624"/>
      <c r="G2" s="3624"/>
      <c r="H2" s="3624"/>
      <c r="I2" s="3624"/>
      <c r="J2" s="3624"/>
      <c r="K2" s="3624"/>
      <c r="L2" s="3624"/>
      <c r="M2" s="3624"/>
      <c r="N2" s="3624"/>
      <c r="O2" s="3624"/>
      <c r="P2" s="3624"/>
      <c r="Q2" s="3625"/>
      <c r="R2" s="416"/>
      <c r="S2" s="416"/>
      <c r="T2" s="1696"/>
    </row>
    <row r="3" spans="1:22" s="964" customFormat="1" ht="14.25" customHeight="1" x14ac:dyDescent="0.25">
      <c r="A3" s="835">
        <v>2</v>
      </c>
      <c r="B3" s="835" t="s">
        <v>26</v>
      </c>
      <c r="C3" s="835"/>
      <c r="D3" s="3626" t="s">
        <v>300</v>
      </c>
      <c r="E3" s="3627"/>
      <c r="F3" s="3627"/>
      <c r="G3" s="3627"/>
      <c r="H3" s="3627"/>
      <c r="I3" s="3627"/>
      <c r="J3" s="3627"/>
      <c r="K3" s="3627"/>
      <c r="L3" s="3627"/>
      <c r="M3" s="3627"/>
      <c r="N3" s="3627"/>
      <c r="O3" s="3627"/>
      <c r="P3" s="3627"/>
      <c r="Q3" s="3628"/>
      <c r="R3" s="416"/>
      <c r="S3" s="416"/>
      <c r="T3" s="2441"/>
    </row>
    <row r="4" spans="1:22" s="964" customFormat="1" ht="18" customHeight="1" x14ac:dyDescent="0.2">
      <c r="A4" s="835">
        <v>3</v>
      </c>
      <c r="B4" s="835" t="s">
        <v>28</v>
      </c>
      <c r="C4" s="835"/>
      <c r="D4" s="3626" t="s">
        <v>332</v>
      </c>
      <c r="E4" s="3627"/>
      <c r="F4" s="3627"/>
      <c r="G4" s="3627"/>
      <c r="H4" s="3627"/>
      <c r="I4" s="3627"/>
      <c r="J4" s="3627"/>
      <c r="K4" s="3627"/>
      <c r="L4" s="3627"/>
      <c r="M4" s="3627"/>
      <c r="N4" s="3627"/>
      <c r="O4" s="3627"/>
      <c r="P4" s="3627"/>
      <c r="Q4" s="3628"/>
      <c r="R4" s="416"/>
      <c r="S4" s="416"/>
      <c r="T4" s="417"/>
    </row>
    <row r="5" spans="1:22" x14ac:dyDescent="0.25">
      <c r="A5" s="1687"/>
      <c r="B5" s="1688"/>
      <c r="C5" s="418"/>
      <c r="D5" s="428"/>
      <c r="E5" s="428"/>
      <c r="F5" s="428"/>
      <c r="G5" s="428"/>
      <c r="H5" s="428"/>
      <c r="I5" s="428"/>
      <c r="J5" s="428"/>
      <c r="K5" s="428"/>
      <c r="L5" s="428"/>
      <c r="M5" s="428"/>
      <c r="N5" s="428"/>
      <c r="O5" s="428"/>
      <c r="P5" s="428"/>
      <c r="Q5" s="428"/>
      <c r="R5" s="428"/>
      <c r="S5" s="428"/>
      <c r="T5" s="428"/>
      <c r="U5" s="428"/>
    </row>
    <row r="6" spans="1:22" x14ac:dyDescent="0.25">
      <c r="A6" s="835">
        <v>4</v>
      </c>
      <c r="B6" s="835" t="s">
        <v>1</v>
      </c>
      <c r="C6" s="418"/>
      <c r="D6" s="425" t="s">
        <v>31</v>
      </c>
      <c r="E6" s="425" t="s">
        <v>333</v>
      </c>
      <c r="F6" s="401"/>
      <c r="G6" s="401"/>
      <c r="H6" s="428"/>
      <c r="I6" s="428"/>
      <c r="J6" s="428"/>
      <c r="K6" s="428"/>
      <c r="L6" s="428"/>
      <c r="M6" s="428"/>
      <c r="N6" s="428"/>
      <c r="O6" s="428"/>
      <c r="P6" s="1094"/>
      <c r="Q6" s="1094"/>
      <c r="R6" s="428"/>
      <c r="S6" s="428"/>
      <c r="T6" s="428"/>
      <c r="U6" s="428"/>
    </row>
    <row r="7" spans="1:22" x14ac:dyDescent="0.25">
      <c r="A7" s="835"/>
      <c r="B7" s="835"/>
      <c r="C7" s="418"/>
      <c r="D7" s="2995"/>
      <c r="E7" s="799" t="s">
        <v>136</v>
      </c>
      <c r="F7" s="799" t="s">
        <v>137</v>
      </c>
      <c r="G7" s="419" t="s">
        <v>138</v>
      </c>
      <c r="H7" s="419" t="s">
        <v>139</v>
      </c>
      <c r="I7" s="419" t="s">
        <v>140</v>
      </c>
      <c r="J7" s="419" t="s">
        <v>141</v>
      </c>
      <c r="K7" s="419" t="s">
        <v>142</v>
      </c>
      <c r="L7" s="419" t="s">
        <v>143</v>
      </c>
      <c r="M7" s="419" t="s">
        <v>144</v>
      </c>
      <c r="N7" s="419" t="s">
        <v>145</v>
      </c>
      <c r="O7" s="3234" t="s">
        <v>334</v>
      </c>
      <c r="P7" s="428"/>
      <c r="Q7" s="428"/>
      <c r="R7" s="428"/>
      <c r="S7" s="428"/>
      <c r="T7" s="428"/>
      <c r="U7" s="428"/>
    </row>
    <row r="8" spans="1:22" x14ac:dyDescent="0.25">
      <c r="A8" s="835"/>
      <c r="B8" s="835"/>
      <c r="C8" s="418"/>
      <c r="D8" s="3033" t="s">
        <v>71</v>
      </c>
      <c r="E8" s="420">
        <v>26</v>
      </c>
      <c r="F8" s="420">
        <v>19</v>
      </c>
      <c r="G8" s="420">
        <v>21</v>
      </c>
      <c r="H8" s="420">
        <v>21</v>
      </c>
      <c r="I8" s="420">
        <v>24</v>
      </c>
      <c r="J8" s="420">
        <v>26</v>
      </c>
      <c r="K8" s="420">
        <v>21</v>
      </c>
      <c r="L8" s="633">
        <v>25</v>
      </c>
      <c r="M8" s="633">
        <v>24</v>
      </c>
      <c r="N8" s="633">
        <v>20</v>
      </c>
      <c r="O8" s="3235">
        <v>20</v>
      </c>
      <c r="P8" s="428"/>
      <c r="Q8" s="428"/>
      <c r="R8" s="428"/>
      <c r="S8" s="428"/>
      <c r="T8" s="428"/>
      <c r="U8" s="428"/>
    </row>
    <row r="9" spans="1:22" x14ac:dyDescent="0.25">
      <c r="A9" s="835"/>
      <c r="B9" s="835"/>
      <c r="C9" s="418"/>
      <c r="D9" s="3033" t="s">
        <v>63</v>
      </c>
      <c r="E9" s="420">
        <v>27</v>
      </c>
      <c r="F9" s="420">
        <v>27</v>
      </c>
      <c r="G9" s="420">
        <v>26</v>
      </c>
      <c r="H9" s="420">
        <v>28</v>
      </c>
      <c r="I9" s="420">
        <v>30</v>
      </c>
      <c r="J9" s="420">
        <v>30</v>
      </c>
      <c r="K9" s="420">
        <v>31</v>
      </c>
      <c r="L9" s="633">
        <v>33</v>
      </c>
      <c r="M9" s="633">
        <v>34</v>
      </c>
      <c r="N9" s="633">
        <v>33</v>
      </c>
      <c r="O9" s="3235">
        <v>33</v>
      </c>
      <c r="P9" s="428"/>
      <c r="Q9" s="428"/>
      <c r="R9" s="428"/>
      <c r="S9" s="428"/>
      <c r="T9" s="428"/>
      <c r="U9" s="428"/>
    </row>
    <row r="10" spans="1:22" x14ac:dyDescent="0.25">
      <c r="A10" s="835"/>
      <c r="B10" s="835"/>
      <c r="C10" s="418"/>
      <c r="D10" s="3033" t="s">
        <v>335</v>
      </c>
      <c r="E10" s="420">
        <v>25</v>
      </c>
      <c r="F10" s="420">
        <v>26</v>
      </c>
      <c r="G10" s="420">
        <v>27</v>
      </c>
      <c r="H10" s="420">
        <v>32</v>
      </c>
      <c r="I10" s="420">
        <v>35</v>
      </c>
      <c r="J10" s="420">
        <v>33</v>
      </c>
      <c r="K10" s="420">
        <v>33</v>
      </c>
      <c r="L10" s="633">
        <v>34</v>
      </c>
      <c r="M10" s="633">
        <v>32</v>
      </c>
      <c r="N10" s="633">
        <v>29</v>
      </c>
      <c r="O10" s="3235">
        <v>29</v>
      </c>
      <c r="P10" s="428"/>
      <c r="Q10" s="428"/>
      <c r="R10" s="428"/>
      <c r="S10" s="428"/>
      <c r="T10" s="428"/>
      <c r="U10" s="428"/>
    </row>
    <row r="11" spans="1:22" x14ac:dyDescent="0.25">
      <c r="A11" s="835"/>
      <c r="B11" s="835"/>
      <c r="C11" s="418"/>
      <c r="D11" s="3033" t="s">
        <v>336</v>
      </c>
      <c r="E11" s="420">
        <v>40</v>
      </c>
      <c r="F11" s="420">
        <v>39</v>
      </c>
      <c r="G11" s="420">
        <v>38</v>
      </c>
      <c r="H11" s="420">
        <v>44</v>
      </c>
      <c r="I11" s="420">
        <v>53</v>
      </c>
      <c r="J11" s="420">
        <v>47</v>
      </c>
      <c r="K11" s="420">
        <v>44</v>
      </c>
      <c r="L11" s="633">
        <v>45</v>
      </c>
      <c r="M11" s="633">
        <v>48</v>
      </c>
      <c r="N11" s="633">
        <v>41</v>
      </c>
      <c r="O11" s="3235">
        <v>41</v>
      </c>
      <c r="P11" s="428"/>
      <c r="Q11" s="428"/>
      <c r="R11" s="428"/>
      <c r="S11" s="428"/>
      <c r="T11" s="428"/>
      <c r="U11" s="428"/>
    </row>
    <row r="12" spans="1:22" x14ac:dyDescent="0.25">
      <c r="A12" s="835"/>
      <c r="B12" s="835"/>
      <c r="C12" s="418"/>
      <c r="D12" s="3033" t="s">
        <v>337</v>
      </c>
      <c r="E12" s="420">
        <v>37</v>
      </c>
      <c r="F12" s="420">
        <v>37</v>
      </c>
      <c r="G12" s="420">
        <v>41</v>
      </c>
      <c r="H12" s="420">
        <v>46</v>
      </c>
      <c r="I12" s="420">
        <v>47</v>
      </c>
      <c r="J12" s="420">
        <v>60</v>
      </c>
      <c r="K12" s="420">
        <v>69</v>
      </c>
      <c r="L12" s="633">
        <v>71</v>
      </c>
      <c r="M12" s="633">
        <v>78</v>
      </c>
      <c r="N12" s="633">
        <v>75</v>
      </c>
      <c r="O12" s="3235">
        <v>75</v>
      </c>
      <c r="P12" s="428"/>
      <c r="Q12" s="428"/>
      <c r="R12" s="428"/>
      <c r="S12" s="428"/>
      <c r="T12" s="428"/>
      <c r="U12" s="428"/>
    </row>
    <row r="13" spans="1:22" x14ac:dyDescent="0.25">
      <c r="A13" s="835"/>
      <c r="B13" s="835"/>
      <c r="C13" s="418"/>
      <c r="D13" s="3231" t="s">
        <v>0</v>
      </c>
      <c r="E13" s="433">
        <v>42</v>
      </c>
      <c r="F13" s="433">
        <v>36</v>
      </c>
      <c r="G13" s="433">
        <v>44</v>
      </c>
      <c r="H13" s="433">
        <v>45</v>
      </c>
      <c r="I13" s="433">
        <v>45</v>
      </c>
      <c r="J13" s="433">
        <v>54</v>
      </c>
      <c r="K13" s="433">
        <v>50</v>
      </c>
      <c r="L13" s="1293">
        <v>52</v>
      </c>
      <c r="M13" s="1293">
        <v>53</v>
      </c>
      <c r="N13" s="1293">
        <v>56</v>
      </c>
      <c r="O13" s="3236">
        <v>56</v>
      </c>
      <c r="P13" s="428"/>
      <c r="Q13" s="428"/>
      <c r="R13" s="428"/>
      <c r="S13" s="428"/>
      <c r="T13" s="428"/>
      <c r="U13" s="428"/>
    </row>
    <row r="14" spans="1:22" x14ac:dyDescent="0.25">
      <c r="A14" s="835"/>
      <c r="B14" s="835"/>
      <c r="C14" s="418"/>
      <c r="D14" s="3033" t="s">
        <v>338</v>
      </c>
      <c r="E14" s="420">
        <v>36</v>
      </c>
      <c r="F14" s="420">
        <v>44</v>
      </c>
      <c r="G14" s="420">
        <v>45</v>
      </c>
      <c r="H14" s="420">
        <v>54</v>
      </c>
      <c r="I14" s="420">
        <v>68</v>
      </c>
      <c r="J14" s="420">
        <v>70</v>
      </c>
      <c r="K14" s="420">
        <v>64</v>
      </c>
      <c r="L14" s="633">
        <v>55</v>
      </c>
      <c r="M14" s="633">
        <v>52</v>
      </c>
      <c r="N14" s="633">
        <v>42</v>
      </c>
      <c r="O14" s="3235">
        <v>42</v>
      </c>
      <c r="P14" s="428"/>
      <c r="Q14" s="428"/>
      <c r="R14" s="428"/>
      <c r="S14" s="428"/>
      <c r="T14" s="428"/>
      <c r="U14" s="428"/>
    </row>
    <row r="15" spans="1:22" x14ac:dyDescent="0.25">
      <c r="A15" s="835"/>
      <c r="B15" s="835"/>
      <c r="C15" s="418"/>
      <c r="D15" s="3033" t="s">
        <v>339</v>
      </c>
      <c r="E15" s="420">
        <v>41</v>
      </c>
      <c r="F15" s="420">
        <v>38</v>
      </c>
      <c r="G15" s="420">
        <v>47</v>
      </c>
      <c r="H15" s="420">
        <v>62</v>
      </c>
      <c r="I15" s="420">
        <v>58</v>
      </c>
      <c r="J15" s="420">
        <v>52</v>
      </c>
      <c r="K15" s="420">
        <v>48</v>
      </c>
      <c r="L15" s="633">
        <v>60</v>
      </c>
      <c r="M15" s="633">
        <v>63</v>
      </c>
      <c r="N15" s="633">
        <v>60</v>
      </c>
      <c r="O15" s="3235">
        <v>60</v>
      </c>
      <c r="P15" s="428"/>
      <c r="Q15" s="428"/>
      <c r="R15" s="428"/>
      <c r="S15" s="428"/>
      <c r="T15" s="428"/>
      <c r="U15" s="428"/>
    </row>
    <row r="16" spans="1:22" x14ac:dyDescent="0.25">
      <c r="A16" s="835"/>
      <c r="B16" s="835"/>
      <c r="C16" s="418"/>
      <c r="D16" s="3232" t="s">
        <v>73</v>
      </c>
      <c r="E16" s="420">
        <v>48</v>
      </c>
      <c r="F16" s="420">
        <v>45</v>
      </c>
      <c r="G16" s="420">
        <v>51</v>
      </c>
      <c r="H16" s="420">
        <v>53</v>
      </c>
      <c r="I16" s="420">
        <v>46</v>
      </c>
      <c r="J16" s="420">
        <v>39</v>
      </c>
      <c r="K16" s="420">
        <v>41</v>
      </c>
      <c r="L16" s="633">
        <v>41</v>
      </c>
      <c r="M16" s="633">
        <v>42</v>
      </c>
      <c r="N16" s="633">
        <v>43</v>
      </c>
      <c r="O16" s="3235">
        <v>43</v>
      </c>
      <c r="P16" s="428"/>
      <c r="Q16" s="428"/>
      <c r="R16" s="428"/>
      <c r="S16" s="428"/>
      <c r="T16" s="428"/>
      <c r="U16" s="428"/>
      <c r="V16" s="428"/>
    </row>
    <row r="17" spans="1:23" x14ac:dyDescent="0.25">
      <c r="A17" s="835"/>
      <c r="B17" s="835"/>
      <c r="C17" s="418"/>
      <c r="D17" s="3033" t="s">
        <v>72</v>
      </c>
      <c r="E17" s="420">
        <v>58</v>
      </c>
      <c r="F17" s="420">
        <v>52</v>
      </c>
      <c r="G17" s="420">
        <v>52</v>
      </c>
      <c r="H17" s="420">
        <v>60</v>
      </c>
      <c r="I17" s="420">
        <v>60</v>
      </c>
      <c r="J17" s="420">
        <v>66</v>
      </c>
      <c r="K17" s="420">
        <v>58</v>
      </c>
      <c r="L17" s="633">
        <v>53</v>
      </c>
      <c r="M17" s="633">
        <v>55</v>
      </c>
      <c r="N17" s="633">
        <v>61</v>
      </c>
      <c r="O17" s="3235">
        <v>61</v>
      </c>
      <c r="P17" s="428"/>
      <c r="Q17" s="428"/>
      <c r="R17" s="428"/>
      <c r="S17" s="428"/>
      <c r="T17" s="428"/>
      <c r="U17" s="428"/>
      <c r="V17" s="428"/>
    </row>
    <row r="18" spans="1:23" x14ac:dyDescent="0.25">
      <c r="A18" s="835"/>
      <c r="B18" s="835"/>
      <c r="C18" s="418"/>
      <c r="D18" s="3033" t="s">
        <v>340</v>
      </c>
      <c r="E18" s="420">
        <v>55</v>
      </c>
      <c r="F18" s="420">
        <v>55</v>
      </c>
      <c r="G18" s="420">
        <v>60</v>
      </c>
      <c r="H18" s="420">
        <v>57</v>
      </c>
      <c r="I18" s="420">
        <v>57</v>
      </c>
      <c r="J18" s="420">
        <v>55</v>
      </c>
      <c r="K18" s="420">
        <v>54</v>
      </c>
      <c r="L18" s="633">
        <v>54</v>
      </c>
      <c r="M18" s="633">
        <v>45</v>
      </c>
      <c r="N18" s="633">
        <v>39</v>
      </c>
      <c r="O18" s="3235">
        <v>39</v>
      </c>
      <c r="P18" s="428"/>
      <c r="Q18" s="428"/>
      <c r="R18" s="428"/>
      <c r="S18" s="428"/>
      <c r="T18" s="428"/>
      <c r="U18" s="428"/>
      <c r="V18" s="428"/>
    </row>
    <row r="19" spans="1:23" x14ac:dyDescent="0.25">
      <c r="A19" s="835"/>
      <c r="B19" s="835"/>
      <c r="C19" s="418"/>
      <c r="D19" s="3033" t="s">
        <v>61</v>
      </c>
      <c r="E19" s="420">
        <v>66</v>
      </c>
      <c r="F19" s="420">
        <v>66</v>
      </c>
      <c r="G19" s="420">
        <v>72</v>
      </c>
      <c r="H19" s="420">
        <v>64</v>
      </c>
      <c r="I19" s="420">
        <v>56</v>
      </c>
      <c r="J19" s="420">
        <v>58</v>
      </c>
      <c r="K19" s="420">
        <v>53</v>
      </c>
      <c r="L19" s="633">
        <v>48</v>
      </c>
      <c r="M19" s="633">
        <v>56</v>
      </c>
      <c r="N19" s="633">
        <v>57</v>
      </c>
      <c r="O19" s="3235">
        <v>57</v>
      </c>
      <c r="P19" s="428"/>
      <c r="Q19" s="428"/>
      <c r="R19" s="428"/>
      <c r="S19" s="428"/>
      <c r="T19" s="428"/>
      <c r="U19" s="428"/>
      <c r="V19" s="428"/>
    </row>
    <row r="20" spans="1:23" x14ac:dyDescent="0.25">
      <c r="A20" s="835"/>
      <c r="B20" s="835"/>
      <c r="C20" s="418"/>
      <c r="D20" s="3033" t="s">
        <v>341</v>
      </c>
      <c r="E20" s="420">
        <v>68</v>
      </c>
      <c r="F20" s="420">
        <v>73</v>
      </c>
      <c r="G20" s="420">
        <v>74</v>
      </c>
      <c r="H20" s="420">
        <v>68</v>
      </c>
      <c r="I20" s="420">
        <v>64</v>
      </c>
      <c r="J20" s="420">
        <v>67</v>
      </c>
      <c r="K20" s="420">
        <v>77</v>
      </c>
      <c r="L20" s="633">
        <v>78</v>
      </c>
      <c r="M20" s="633">
        <v>76</v>
      </c>
      <c r="N20" s="633">
        <v>59</v>
      </c>
      <c r="O20" s="3235">
        <v>59</v>
      </c>
      <c r="P20" s="428"/>
      <c r="Q20" s="428"/>
      <c r="R20" s="428"/>
      <c r="S20" s="428"/>
      <c r="T20" s="428"/>
      <c r="U20" s="428"/>
      <c r="V20" s="428"/>
    </row>
    <row r="21" spans="1:23" x14ac:dyDescent="0.25">
      <c r="A21" s="835"/>
      <c r="B21" s="835"/>
      <c r="C21" s="418"/>
      <c r="D21" s="3040" t="s">
        <v>60</v>
      </c>
      <c r="E21" s="422">
        <v>81</v>
      </c>
      <c r="F21" s="422">
        <v>57</v>
      </c>
      <c r="G21" s="422">
        <v>76</v>
      </c>
      <c r="H21" s="422">
        <v>56</v>
      </c>
      <c r="I21" s="422">
        <v>66</v>
      </c>
      <c r="J21" s="422">
        <v>76</v>
      </c>
      <c r="K21" s="422">
        <v>80</v>
      </c>
      <c r="L21" s="633">
        <v>79</v>
      </c>
      <c r="M21" s="633">
        <v>74</v>
      </c>
      <c r="N21" s="633">
        <v>74</v>
      </c>
      <c r="O21" s="3235">
        <v>74</v>
      </c>
      <c r="P21" s="428"/>
      <c r="Q21" s="428"/>
      <c r="R21" s="428"/>
      <c r="S21" s="428"/>
      <c r="T21" s="428"/>
      <c r="U21" s="428"/>
      <c r="V21" s="428"/>
    </row>
    <row r="22" spans="1:23" x14ac:dyDescent="0.25">
      <c r="A22" s="835"/>
      <c r="B22" s="835"/>
      <c r="C22" s="418"/>
      <c r="D22" s="3233" t="s">
        <v>342</v>
      </c>
      <c r="E22" s="423">
        <v>117</v>
      </c>
      <c r="F22" s="423">
        <v>125</v>
      </c>
      <c r="G22" s="423">
        <v>131</v>
      </c>
      <c r="H22" s="423">
        <v>134</v>
      </c>
      <c r="I22" s="423">
        <v>133</v>
      </c>
      <c r="J22" s="423">
        <v>139</v>
      </c>
      <c r="K22" s="423">
        <v>142</v>
      </c>
      <c r="L22" s="423">
        <v>144</v>
      </c>
      <c r="M22" s="423">
        <v>148</v>
      </c>
      <c r="N22" s="423">
        <v>144</v>
      </c>
      <c r="O22" s="3237">
        <v>140</v>
      </c>
      <c r="P22" s="428"/>
      <c r="Q22" s="428"/>
      <c r="R22" s="428"/>
      <c r="S22" s="428"/>
      <c r="T22" s="428"/>
      <c r="U22" s="428"/>
      <c r="V22" s="428"/>
    </row>
    <row r="23" spans="1:23" x14ac:dyDescent="0.25">
      <c r="A23" s="835"/>
      <c r="B23" s="835"/>
      <c r="C23" s="418"/>
      <c r="D23" s="421"/>
      <c r="E23" s="1094"/>
      <c r="F23" s="1094"/>
      <c r="G23" s="1094"/>
      <c r="H23" s="428"/>
      <c r="I23" s="428"/>
      <c r="J23" s="428"/>
      <c r="K23" s="428"/>
      <c r="L23" s="428"/>
      <c r="M23" s="428"/>
      <c r="N23" s="428"/>
      <c r="O23" s="428"/>
      <c r="P23" s="428"/>
      <c r="Q23" s="428"/>
      <c r="R23" s="428"/>
      <c r="S23" s="428"/>
      <c r="T23" s="428"/>
      <c r="U23" s="428"/>
      <c r="V23" s="428"/>
    </row>
    <row r="24" spans="1:23" x14ac:dyDescent="0.25">
      <c r="A24" s="835"/>
      <c r="B24" s="835"/>
      <c r="C24" s="1688"/>
      <c r="D24" s="424" t="s">
        <v>55</v>
      </c>
      <c r="E24" s="425" t="s">
        <v>343</v>
      </c>
      <c r="F24" s="426"/>
      <c r="G24" s="426"/>
      <c r="H24" s="420"/>
      <c r="I24" s="420"/>
      <c r="J24" s="420"/>
      <c r="K24" s="420"/>
      <c r="L24" s="420"/>
      <c r="M24" s="420"/>
      <c r="N24" s="420"/>
      <c r="O24" s="420"/>
      <c r="P24" s="420"/>
      <c r="Q24" s="420"/>
      <c r="R24" s="420"/>
      <c r="S24" s="420"/>
      <c r="T24" s="420"/>
      <c r="U24" s="420"/>
      <c r="V24" s="428"/>
    </row>
    <row r="25" spans="1:23" x14ac:dyDescent="0.25">
      <c r="A25" s="835"/>
      <c r="B25" s="835"/>
      <c r="C25" s="1688"/>
      <c r="D25" s="2995"/>
      <c r="E25" s="834">
        <v>2005</v>
      </c>
      <c r="F25" s="834">
        <v>2006</v>
      </c>
      <c r="G25" s="834">
        <v>2007</v>
      </c>
      <c r="H25" s="834">
        <v>2008</v>
      </c>
      <c r="I25" s="834">
        <v>2009</v>
      </c>
      <c r="J25" s="834">
        <v>2010</v>
      </c>
      <c r="K25" s="834">
        <v>2011</v>
      </c>
      <c r="L25" s="834">
        <v>2012</v>
      </c>
      <c r="M25" s="834">
        <v>2013</v>
      </c>
      <c r="N25" s="834">
        <v>2014</v>
      </c>
      <c r="O25" s="834">
        <v>2015</v>
      </c>
      <c r="P25" s="2786">
        <v>2016</v>
      </c>
      <c r="Q25" s="428"/>
      <c r="R25" s="428"/>
      <c r="S25" s="428"/>
      <c r="T25" s="428"/>
      <c r="U25" s="428"/>
      <c r="V25" s="428"/>
      <c r="W25" s="428"/>
    </row>
    <row r="26" spans="1:23" x14ac:dyDescent="0.25">
      <c r="A26" s="835"/>
      <c r="B26" s="835"/>
      <c r="C26" s="1688"/>
      <c r="D26" s="3238" t="s">
        <v>344</v>
      </c>
      <c r="E26" s="1968"/>
      <c r="F26" s="1968"/>
      <c r="G26" s="1968"/>
      <c r="H26" s="1968"/>
      <c r="I26" s="1968"/>
      <c r="J26" s="1968"/>
      <c r="K26" s="1968"/>
      <c r="L26" s="1968"/>
      <c r="M26" s="1968"/>
      <c r="N26" s="1968"/>
      <c r="O26" s="1968"/>
      <c r="P26" s="3239"/>
      <c r="Q26" s="428"/>
      <c r="R26" s="428"/>
      <c r="S26" s="428"/>
      <c r="T26" s="428"/>
      <c r="U26" s="428"/>
      <c r="V26" s="428"/>
      <c r="W26" s="428"/>
    </row>
    <row r="27" spans="1:23" x14ac:dyDescent="0.25">
      <c r="A27" s="1667"/>
      <c r="B27" s="1667"/>
      <c r="C27" s="1688"/>
      <c r="D27" s="3033" t="s">
        <v>71</v>
      </c>
      <c r="E27" s="633" t="s">
        <v>345</v>
      </c>
      <c r="F27" s="427">
        <v>22</v>
      </c>
      <c r="G27" s="427">
        <v>23</v>
      </c>
      <c r="H27" s="427">
        <v>19</v>
      </c>
      <c r="I27" s="427">
        <v>18</v>
      </c>
      <c r="J27" s="427">
        <v>10</v>
      </c>
      <c r="K27" s="427">
        <v>16</v>
      </c>
      <c r="L27" s="427">
        <v>14</v>
      </c>
      <c r="M27" s="427">
        <v>15</v>
      </c>
      <c r="N27" s="427">
        <v>12</v>
      </c>
      <c r="O27" s="427">
        <v>14</v>
      </c>
      <c r="P27" s="3240">
        <v>19</v>
      </c>
      <c r="Q27" s="428"/>
      <c r="R27" s="428"/>
      <c r="S27" s="429"/>
      <c r="T27" s="428"/>
      <c r="U27" s="428"/>
      <c r="V27" s="428"/>
      <c r="W27" s="428"/>
    </row>
    <row r="28" spans="1:23" x14ac:dyDescent="0.25">
      <c r="A28" s="1667"/>
      <c r="B28" s="1667"/>
      <c r="C28" s="430"/>
      <c r="D28" s="3033" t="s">
        <v>63</v>
      </c>
      <c r="E28" s="633" t="s">
        <v>345</v>
      </c>
      <c r="F28" s="401">
        <v>23</v>
      </c>
      <c r="G28" s="401">
        <v>26</v>
      </c>
      <c r="H28" s="401">
        <v>26</v>
      </c>
      <c r="I28" s="401">
        <v>25</v>
      </c>
      <c r="J28" s="401">
        <v>28</v>
      </c>
      <c r="K28" s="401">
        <v>25</v>
      </c>
      <c r="L28" s="401">
        <v>28</v>
      </c>
      <c r="M28" s="401">
        <v>30</v>
      </c>
      <c r="N28" s="401">
        <v>31</v>
      </c>
      <c r="O28" s="401">
        <v>35</v>
      </c>
      <c r="P28" s="2787">
        <v>36</v>
      </c>
      <c r="Q28" s="428"/>
      <c r="R28" s="428"/>
      <c r="S28" s="428"/>
      <c r="T28" s="428"/>
      <c r="U28" s="428"/>
      <c r="V28" s="428"/>
      <c r="W28" s="428"/>
    </row>
    <row r="29" spans="1:23" x14ac:dyDescent="0.25">
      <c r="A29" s="1667"/>
      <c r="B29" s="1667"/>
      <c r="C29" s="431"/>
      <c r="D29" s="3033" t="s">
        <v>335</v>
      </c>
      <c r="E29" s="633" t="s">
        <v>345</v>
      </c>
      <c r="F29" s="633">
        <v>19</v>
      </c>
      <c r="G29" s="633">
        <v>22</v>
      </c>
      <c r="H29" s="633">
        <v>23</v>
      </c>
      <c r="I29" s="401">
        <v>35</v>
      </c>
      <c r="J29" s="401">
        <v>34</v>
      </c>
      <c r="K29" s="401">
        <v>33</v>
      </c>
      <c r="L29" s="401">
        <v>31</v>
      </c>
      <c r="M29" s="401">
        <v>36</v>
      </c>
      <c r="N29" s="401">
        <v>30</v>
      </c>
      <c r="O29" s="401">
        <v>31</v>
      </c>
      <c r="P29" s="2787">
        <v>31</v>
      </c>
      <c r="Q29" s="428"/>
      <c r="R29" s="428"/>
      <c r="S29" s="428"/>
      <c r="T29" s="428"/>
      <c r="U29" s="428"/>
      <c r="V29" s="428"/>
      <c r="W29" s="428"/>
    </row>
    <row r="30" spans="1:23" x14ac:dyDescent="0.25">
      <c r="A30" s="1667"/>
      <c r="B30" s="1667"/>
      <c r="C30" s="430"/>
      <c r="D30" s="3033" t="s">
        <v>336</v>
      </c>
      <c r="E30" s="633" t="s">
        <v>345</v>
      </c>
      <c r="F30" s="633" t="s">
        <v>345</v>
      </c>
      <c r="G30" s="633">
        <v>31</v>
      </c>
      <c r="H30" s="633">
        <v>36</v>
      </c>
      <c r="I30" s="401">
        <v>31</v>
      </c>
      <c r="J30" s="401">
        <v>43</v>
      </c>
      <c r="K30" s="401">
        <v>45</v>
      </c>
      <c r="L30" s="401">
        <v>36</v>
      </c>
      <c r="M30" s="401">
        <v>31</v>
      </c>
      <c r="N30" s="401">
        <v>34</v>
      </c>
      <c r="O30" s="401">
        <v>28</v>
      </c>
      <c r="P30" s="2787">
        <v>30</v>
      </c>
      <c r="Q30" s="428"/>
      <c r="R30" s="428"/>
      <c r="S30" s="428"/>
      <c r="T30" s="428"/>
      <c r="U30" s="428"/>
      <c r="V30" s="428"/>
      <c r="W30" s="428"/>
    </row>
    <row r="31" spans="1:23" x14ac:dyDescent="0.25">
      <c r="A31" s="1667"/>
      <c r="B31" s="1667"/>
      <c r="C31" s="431"/>
      <c r="D31" s="3033" t="s">
        <v>346</v>
      </c>
      <c r="E31" s="633" t="s">
        <v>345</v>
      </c>
      <c r="F31" s="432">
        <v>33</v>
      </c>
      <c r="G31" s="432">
        <v>34</v>
      </c>
      <c r="H31" s="432">
        <v>30</v>
      </c>
      <c r="I31" s="432">
        <v>33</v>
      </c>
      <c r="J31" s="432">
        <v>49</v>
      </c>
      <c r="K31" s="432">
        <v>48</v>
      </c>
      <c r="L31" s="432">
        <v>47</v>
      </c>
      <c r="M31" s="432">
        <v>47</v>
      </c>
      <c r="N31" s="432">
        <v>45</v>
      </c>
      <c r="O31" s="432">
        <v>46</v>
      </c>
      <c r="P31" s="2787">
        <v>40</v>
      </c>
      <c r="Q31" s="428"/>
      <c r="R31" s="428"/>
      <c r="S31" s="428"/>
      <c r="T31" s="428"/>
      <c r="U31" s="428"/>
      <c r="V31" s="428"/>
      <c r="W31" s="428"/>
    </row>
    <row r="32" spans="1:23" x14ac:dyDescent="0.25">
      <c r="A32" s="835"/>
      <c r="B32" s="835"/>
      <c r="C32" s="430"/>
      <c r="D32" s="3231" t="s">
        <v>347</v>
      </c>
      <c r="E32" s="433">
        <v>37</v>
      </c>
      <c r="F32" s="433">
        <v>38</v>
      </c>
      <c r="G32" s="433">
        <v>50</v>
      </c>
      <c r="H32" s="433">
        <v>53</v>
      </c>
      <c r="I32" s="433">
        <v>48</v>
      </c>
      <c r="J32" s="433">
        <v>44</v>
      </c>
      <c r="K32" s="433">
        <v>52</v>
      </c>
      <c r="L32" s="433">
        <v>50</v>
      </c>
      <c r="M32" s="433">
        <v>53</v>
      </c>
      <c r="N32" s="433">
        <v>52</v>
      </c>
      <c r="O32" s="433">
        <v>53</v>
      </c>
      <c r="P32" s="3241">
        <v>52</v>
      </c>
    </row>
    <row r="33" spans="1:20" x14ac:dyDescent="0.25">
      <c r="A33" s="835"/>
      <c r="B33" s="835"/>
      <c r="C33" s="1688"/>
      <c r="D33" s="3033" t="s">
        <v>339</v>
      </c>
      <c r="E33" s="432">
        <v>31</v>
      </c>
      <c r="F33" s="432">
        <v>35</v>
      </c>
      <c r="G33" s="432">
        <v>35</v>
      </c>
      <c r="H33" s="432">
        <v>38</v>
      </c>
      <c r="I33" s="432">
        <v>45</v>
      </c>
      <c r="J33" s="432">
        <v>42</v>
      </c>
      <c r="K33" s="432">
        <v>47</v>
      </c>
      <c r="L33" s="432">
        <v>45</v>
      </c>
      <c r="M33" s="432">
        <v>50</v>
      </c>
      <c r="N33" s="432">
        <v>48</v>
      </c>
      <c r="O33" s="432">
        <v>48</v>
      </c>
      <c r="P33" s="2787">
        <v>46</v>
      </c>
    </row>
    <row r="34" spans="1:20" x14ac:dyDescent="0.25">
      <c r="A34" s="835"/>
      <c r="B34" s="835"/>
      <c r="C34" s="430"/>
      <c r="D34" s="3232" t="s">
        <v>73</v>
      </c>
      <c r="E34" s="432">
        <v>48</v>
      </c>
      <c r="F34" s="432">
        <v>50</v>
      </c>
      <c r="G34" s="432">
        <v>52</v>
      </c>
      <c r="H34" s="432">
        <v>44</v>
      </c>
      <c r="I34" s="432">
        <v>44</v>
      </c>
      <c r="J34" s="432">
        <v>32</v>
      </c>
      <c r="K34" s="432">
        <v>34</v>
      </c>
      <c r="L34" s="432">
        <v>34</v>
      </c>
      <c r="M34" s="432">
        <v>33</v>
      </c>
      <c r="N34" s="432">
        <v>36</v>
      </c>
      <c r="O34" s="432">
        <v>33</v>
      </c>
      <c r="P34" s="2787">
        <v>33</v>
      </c>
    </row>
    <row r="35" spans="1:20" x14ac:dyDescent="0.25">
      <c r="A35" s="835"/>
      <c r="B35" s="835"/>
      <c r="C35" s="431"/>
      <c r="D35" s="3033" t="s">
        <v>72</v>
      </c>
      <c r="E35" s="432">
        <v>47</v>
      </c>
      <c r="F35" s="432">
        <v>45</v>
      </c>
      <c r="G35" s="432">
        <v>47</v>
      </c>
      <c r="H35" s="432">
        <v>50</v>
      </c>
      <c r="I35" s="432">
        <v>46</v>
      </c>
      <c r="J35" s="432">
        <v>47</v>
      </c>
      <c r="K35" s="432">
        <v>38</v>
      </c>
      <c r="L35" s="432">
        <v>37</v>
      </c>
      <c r="M35" s="432">
        <v>32</v>
      </c>
      <c r="N35" s="432">
        <v>41</v>
      </c>
      <c r="O35" s="432">
        <v>39</v>
      </c>
      <c r="P35" s="2787">
        <v>45</v>
      </c>
    </row>
    <row r="36" spans="1:20" x14ac:dyDescent="0.25">
      <c r="A36" s="835"/>
      <c r="B36" s="835"/>
      <c r="C36" s="1688"/>
      <c r="D36" s="3104" t="s">
        <v>61</v>
      </c>
      <c r="E36" s="1126" t="s">
        <v>345</v>
      </c>
      <c r="F36" s="434">
        <v>44</v>
      </c>
      <c r="G36" s="434">
        <v>49</v>
      </c>
      <c r="H36" s="434">
        <v>43</v>
      </c>
      <c r="I36" s="434">
        <v>40</v>
      </c>
      <c r="J36" s="434">
        <v>38</v>
      </c>
      <c r="K36" s="434">
        <v>44</v>
      </c>
      <c r="L36" s="434">
        <v>46</v>
      </c>
      <c r="M36" s="434">
        <v>51</v>
      </c>
      <c r="N36" s="434">
        <v>54</v>
      </c>
      <c r="O36" s="434">
        <v>56</v>
      </c>
      <c r="P36" s="3096">
        <v>57</v>
      </c>
    </row>
    <row r="37" spans="1:20" x14ac:dyDescent="0.25">
      <c r="A37" s="835"/>
      <c r="B37" s="835"/>
      <c r="C37" s="1688"/>
      <c r="D37" s="2950" t="s">
        <v>348</v>
      </c>
      <c r="E37" s="401"/>
      <c r="F37" s="401"/>
      <c r="G37" s="401"/>
      <c r="H37" s="401"/>
      <c r="I37" s="401"/>
      <c r="J37" s="401"/>
      <c r="K37" s="401"/>
      <c r="L37" s="401"/>
      <c r="M37" s="401"/>
      <c r="N37" s="401"/>
      <c r="O37" s="401"/>
      <c r="P37" s="2787"/>
    </row>
    <row r="38" spans="1:20" x14ac:dyDescent="0.25">
      <c r="A38" s="835"/>
      <c r="B38" s="835"/>
      <c r="C38" s="1688"/>
      <c r="D38" s="2947" t="s">
        <v>349</v>
      </c>
      <c r="E38" s="427">
        <v>37</v>
      </c>
      <c r="F38" s="427">
        <v>40</v>
      </c>
      <c r="G38" s="427">
        <v>54</v>
      </c>
      <c r="H38" s="427">
        <v>55</v>
      </c>
      <c r="I38" s="427">
        <v>56</v>
      </c>
      <c r="J38" s="427">
        <v>56</v>
      </c>
      <c r="K38" s="427">
        <v>54</v>
      </c>
      <c r="L38" s="427">
        <v>57</v>
      </c>
      <c r="M38" s="427">
        <v>57</v>
      </c>
      <c r="N38" s="427">
        <v>56</v>
      </c>
      <c r="O38" s="427">
        <v>49</v>
      </c>
      <c r="P38" s="3240">
        <v>54</v>
      </c>
    </row>
    <row r="39" spans="1:20" x14ac:dyDescent="0.25">
      <c r="A39" s="835"/>
      <c r="B39" s="835"/>
      <c r="C39" s="1688"/>
      <c r="D39" s="2948" t="s">
        <v>350</v>
      </c>
      <c r="E39" s="432">
        <v>29</v>
      </c>
      <c r="F39" s="432">
        <v>25</v>
      </c>
      <c r="G39" s="432">
        <v>35</v>
      </c>
      <c r="H39" s="432">
        <v>28</v>
      </c>
      <c r="I39" s="432">
        <v>26</v>
      </c>
      <c r="J39" s="432">
        <v>21</v>
      </c>
      <c r="K39" s="432">
        <v>32</v>
      </c>
      <c r="L39" s="432">
        <v>29</v>
      </c>
      <c r="M39" s="906">
        <v>32</v>
      </c>
      <c r="N39" s="906">
        <v>35</v>
      </c>
      <c r="O39" s="432">
        <v>40</v>
      </c>
      <c r="P39" s="2787">
        <v>40</v>
      </c>
    </row>
    <row r="40" spans="1:20" x14ac:dyDescent="0.25">
      <c r="A40" s="835"/>
      <c r="B40" s="835"/>
      <c r="C40" s="1688"/>
      <c r="D40" s="2948" t="s">
        <v>351</v>
      </c>
      <c r="E40" s="432">
        <v>35</v>
      </c>
      <c r="F40" s="432">
        <v>32</v>
      </c>
      <c r="G40" s="432">
        <v>32</v>
      </c>
      <c r="H40" s="432">
        <v>38</v>
      </c>
      <c r="I40" s="432">
        <v>30</v>
      </c>
      <c r="J40" s="432">
        <v>31</v>
      </c>
      <c r="K40" s="432">
        <v>40</v>
      </c>
      <c r="L40" s="432">
        <v>37</v>
      </c>
      <c r="M40" s="906">
        <v>43</v>
      </c>
      <c r="N40" s="906">
        <v>51</v>
      </c>
      <c r="O40" s="432">
        <v>52</v>
      </c>
      <c r="P40" s="2787">
        <v>47</v>
      </c>
    </row>
    <row r="41" spans="1:20" x14ac:dyDescent="0.25">
      <c r="A41" s="835"/>
      <c r="B41" s="835"/>
      <c r="C41" s="1688"/>
      <c r="D41" s="2205" t="s">
        <v>217</v>
      </c>
      <c r="E41" s="436">
        <v>49</v>
      </c>
      <c r="F41" s="436">
        <v>52</v>
      </c>
      <c r="G41" s="436">
        <v>55</v>
      </c>
      <c r="H41" s="436">
        <v>55</v>
      </c>
      <c r="I41" s="436">
        <v>54</v>
      </c>
      <c r="J41" s="436">
        <v>51</v>
      </c>
      <c r="K41" s="436">
        <v>56</v>
      </c>
      <c r="L41" s="436">
        <v>54</v>
      </c>
      <c r="M41" s="903">
        <v>58</v>
      </c>
      <c r="N41" s="903">
        <v>55</v>
      </c>
      <c r="O41" s="436">
        <v>55</v>
      </c>
      <c r="P41" s="2281">
        <v>54</v>
      </c>
    </row>
    <row r="42" spans="1:20" x14ac:dyDescent="0.25">
      <c r="A42" s="835"/>
      <c r="B42" s="835"/>
      <c r="C42" s="1688"/>
      <c r="D42" s="3233" t="s">
        <v>342</v>
      </c>
      <c r="E42" s="423">
        <v>50</v>
      </c>
      <c r="F42" s="423">
        <v>52</v>
      </c>
      <c r="G42" s="423">
        <v>55</v>
      </c>
      <c r="H42" s="423">
        <v>55</v>
      </c>
      <c r="I42" s="423">
        <v>57</v>
      </c>
      <c r="J42" s="423">
        <v>58</v>
      </c>
      <c r="K42" s="423">
        <v>59</v>
      </c>
      <c r="L42" s="423">
        <v>59</v>
      </c>
      <c r="M42" s="423">
        <v>60</v>
      </c>
      <c r="N42" s="423">
        <v>60</v>
      </c>
      <c r="O42" s="423">
        <v>61</v>
      </c>
      <c r="P42" s="3237">
        <v>61</v>
      </c>
    </row>
    <row r="43" spans="1:20" x14ac:dyDescent="0.25">
      <c r="A43" s="835"/>
      <c r="B43" s="835"/>
      <c r="C43" s="1688"/>
      <c r="D43" s="437"/>
      <c r="E43" s="438"/>
      <c r="F43" s="438"/>
      <c r="G43" s="438"/>
      <c r="H43" s="438"/>
      <c r="I43" s="438"/>
      <c r="J43" s="438"/>
      <c r="K43" s="438"/>
      <c r="L43" s="438"/>
      <c r="M43" s="428"/>
      <c r="N43" s="428"/>
      <c r="O43" s="439"/>
    </row>
    <row r="44" spans="1:20" x14ac:dyDescent="0.25">
      <c r="A44" s="835">
        <v>5</v>
      </c>
      <c r="B44" s="835" t="s">
        <v>77</v>
      </c>
      <c r="C44" s="1688"/>
      <c r="D44" s="437"/>
      <c r="E44" s="438"/>
      <c r="F44" s="438"/>
      <c r="G44" s="438"/>
      <c r="H44" s="438"/>
      <c r="I44" s="438"/>
      <c r="J44" s="438"/>
      <c r="K44" s="438"/>
      <c r="L44" s="438"/>
      <c r="M44" s="428"/>
      <c r="N44" s="428"/>
      <c r="O44" s="439"/>
    </row>
    <row r="45" spans="1:20" x14ac:dyDescent="0.25">
      <c r="A45" s="835"/>
      <c r="B45" s="835"/>
      <c r="C45" s="1688"/>
      <c r="D45" s="437"/>
      <c r="E45" s="438"/>
      <c r="F45" s="438"/>
      <c r="G45" s="438"/>
      <c r="H45" s="438"/>
      <c r="I45" s="438"/>
      <c r="J45" s="438"/>
      <c r="K45" s="438"/>
      <c r="L45" s="438"/>
      <c r="M45" s="428"/>
      <c r="N45" s="428"/>
      <c r="O45" s="439"/>
    </row>
    <row r="46" spans="1:20" x14ac:dyDescent="0.25">
      <c r="A46" s="835"/>
      <c r="B46" s="835"/>
      <c r="C46" s="1688"/>
      <c r="D46" s="437"/>
      <c r="E46" s="438"/>
      <c r="F46" s="438"/>
      <c r="G46" s="438"/>
      <c r="H46" s="438"/>
      <c r="I46" s="438"/>
      <c r="J46" s="438"/>
      <c r="K46" s="438"/>
      <c r="L46" s="438"/>
      <c r="M46" s="428"/>
      <c r="N46" s="428"/>
      <c r="O46" s="439"/>
    </row>
    <row r="47" spans="1:20" x14ac:dyDescent="0.25">
      <c r="A47" s="835"/>
      <c r="B47" s="835"/>
      <c r="C47" s="1688"/>
      <c r="D47" s="437"/>
      <c r="E47" s="438"/>
      <c r="F47" s="438"/>
      <c r="G47" s="438"/>
      <c r="H47" s="438"/>
      <c r="I47" s="438"/>
      <c r="J47" s="438"/>
      <c r="K47" s="438"/>
      <c r="L47" s="438"/>
      <c r="M47" s="428"/>
      <c r="N47" s="428"/>
      <c r="O47" s="439"/>
    </row>
    <row r="48" spans="1:20" x14ac:dyDescent="0.25">
      <c r="A48" s="835"/>
      <c r="B48" s="835"/>
      <c r="C48" s="1688"/>
      <c r="D48" s="437"/>
      <c r="E48" s="438"/>
      <c r="F48" s="438"/>
      <c r="G48" s="438"/>
      <c r="H48" s="438"/>
      <c r="I48" s="438"/>
      <c r="J48" s="438"/>
      <c r="K48" s="438"/>
      <c r="L48" s="438"/>
      <c r="M48" s="428"/>
      <c r="N48" s="428"/>
      <c r="O48" s="439"/>
      <c r="P48" s="428"/>
      <c r="Q48" s="428"/>
      <c r="R48" s="428"/>
      <c r="S48" s="428"/>
      <c r="T48" s="428"/>
    </row>
    <row r="49" spans="1:20" x14ac:dyDescent="0.25">
      <c r="A49" s="835"/>
      <c r="B49" s="835"/>
      <c r="C49" s="1688"/>
      <c r="D49" s="437"/>
      <c r="E49" s="438"/>
      <c r="F49" s="438"/>
      <c r="G49" s="438"/>
      <c r="H49" s="438"/>
      <c r="I49" s="438"/>
      <c r="J49" s="438"/>
      <c r="K49" s="438"/>
      <c r="L49" s="438"/>
      <c r="M49" s="428"/>
      <c r="N49" s="428"/>
      <c r="O49" s="439"/>
      <c r="P49" s="428"/>
      <c r="Q49" s="428"/>
      <c r="R49" s="428"/>
      <c r="S49" s="428"/>
      <c r="T49" s="428"/>
    </row>
    <row r="50" spans="1:20" x14ac:dyDescent="0.25">
      <c r="A50" s="835"/>
      <c r="B50" s="835"/>
      <c r="C50" s="1688"/>
      <c r="D50" s="437"/>
      <c r="E50" s="438"/>
      <c r="F50" s="438"/>
      <c r="G50" s="438"/>
      <c r="H50" s="438"/>
      <c r="I50" s="438"/>
      <c r="J50" s="438"/>
      <c r="K50" s="438"/>
      <c r="L50" s="438"/>
      <c r="M50" s="428"/>
      <c r="N50" s="428"/>
      <c r="O50" s="439"/>
      <c r="P50" s="428"/>
      <c r="Q50" s="428"/>
      <c r="R50" s="428"/>
      <c r="S50" s="428"/>
      <c r="T50" s="428"/>
    </row>
    <row r="51" spans="1:20" x14ac:dyDescent="0.25">
      <c r="A51" s="835"/>
      <c r="B51" s="835"/>
      <c r="C51" s="1688"/>
      <c r="D51" s="437"/>
      <c r="E51" s="438"/>
      <c r="F51" s="438"/>
      <c r="G51" s="438"/>
      <c r="H51" s="438"/>
      <c r="I51" s="438"/>
      <c r="J51" s="438"/>
      <c r="K51" s="438"/>
      <c r="L51" s="438"/>
      <c r="M51" s="428"/>
      <c r="N51" s="428"/>
      <c r="O51" s="439"/>
      <c r="P51" s="428"/>
      <c r="Q51" s="428"/>
      <c r="R51" s="428"/>
      <c r="S51" s="428"/>
      <c r="T51" s="428"/>
    </row>
    <row r="52" spans="1:20" x14ac:dyDescent="0.25">
      <c r="A52" s="835"/>
      <c r="B52" s="835"/>
      <c r="C52" s="1688"/>
      <c r="D52" s="437"/>
      <c r="E52" s="438"/>
      <c r="F52" s="438"/>
      <c r="G52" s="438"/>
      <c r="H52" s="438"/>
      <c r="I52" s="438"/>
      <c r="J52" s="438"/>
      <c r="K52" s="438"/>
      <c r="L52" s="438"/>
      <c r="M52" s="428"/>
      <c r="N52" s="428"/>
      <c r="O52" s="439"/>
      <c r="P52" s="428"/>
      <c r="Q52" s="428"/>
      <c r="R52" s="428"/>
      <c r="S52" s="428"/>
      <c r="T52" s="428"/>
    </row>
    <row r="53" spans="1:20" x14ac:dyDescent="0.25">
      <c r="A53" s="835"/>
      <c r="B53" s="835"/>
      <c r="C53" s="1688"/>
      <c r="D53" s="437"/>
      <c r="E53" s="438"/>
      <c r="F53" s="438"/>
      <c r="G53" s="438"/>
      <c r="H53" s="438"/>
      <c r="I53" s="438"/>
      <c r="J53" s="438"/>
      <c r="K53" s="438"/>
      <c r="L53" s="438"/>
      <c r="M53" s="428"/>
      <c r="N53" s="428"/>
      <c r="O53" s="439"/>
      <c r="P53" s="428"/>
      <c r="Q53" s="428"/>
      <c r="R53" s="428"/>
      <c r="S53" s="428"/>
      <c r="T53" s="428"/>
    </row>
    <row r="54" spans="1:20" x14ac:dyDescent="0.25">
      <c r="A54" s="835"/>
      <c r="B54" s="835"/>
      <c r="C54" s="1688"/>
      <c r="D54" s="437"/>
      <c r="E54" s="438"/>
      <c r="F54" s="438"/>
      <c r="G54" s="438"/>
      <c r="H54" s="438"/>
      <c r="I54" s="438"/>
      <c r="J54" s="438"/>
      <c r="K54" s="438"/>
      <c r="L54" s="438"/>
      <c r="M54" s="428"/>
      <c r="N54" s="428"/>
      <c r="O54" s="439"/>
      <c r="P54" s="428"/>
      <c r="Q54" s="428"/>
      <c r="R54" s="428"/>
      <c r="S54" s="428"/>
      <c r="T54" s="428"/>
    </row>
    <row r="55" spans="1:20" x14ac:dyDescent="0.25">
      <c r="A55" s="835"/>
      <c r="B55" s="835"/>
      <c r="C55" s="1688"/>
      <c r="D55" s="437"/>
      <c r="E55" s="438"/>
      <c r="F55" s="438"/>
      <c r="G55" s="438"/>
      <c r="H55" s="438"/>
      <c r="I55" s="438"/>
      <c r="J55" s="438"/>
      <c r="K55" s="438"/>
      <c r="L55" s="438"/>
      <c r="M55" s="428"/>
      <c r="N55" s="428"/>
      <c r="O55" s="439"/>
      <c r="P55" s="428"/>
      <c r="Q55" s="428"/>
      <c r="R55" s="428"/>
      <c r="S55" s="428"/>
      <c r="T55" s="428"/>
    </row>
    <row r="56" spans="1:20" x14ac:dyDescent="0.25">
      <c r="A56" s="835"/>
      <c r="B56" s="835"/>
      <c r="C56" s="1688"/>
      <c r="D56" s="437"/>
      <c r="E56" s="438"/>
      <c r="F56" s="438"/>
      <c r="G56" s="438"/>
      <c r="H56" s="438"/>
      <c r="I56" s="438"/>
      <c r="J56" s="438"/>
      <c r="K56" s="438"/>
      <c r="L56" s="438"/>
      <c r="M56" s="428"/>
      <c r="N56" s="428"/>
      <c r="O56" s="439"/>
      <c r="P56" s="428"/>
      <c r="Q56" s="428"/>
      <c r="R56" s="428"/>
      <c r="S56" s="428"/>
      <c r="T56" s="428"/>
    </row>
    <row r="57" spans="1:20" x14ac:dyDescent="0.25">
      <c r="A57" s="835"/>
      <c r="B57" s="835"/>
      <c r="C57" s="1688"/>
      <c r="D57" s="437"/>
      <c r="E57" s="438"/>
      <c r="F57" s="438"/>
      <c r="G57" s="438"/>
      <c r="H57" s="438"/>
      <c r="I57" s="438"/>
      <c r="J57" s="438"/>
      <c r="K57" s="438"/>
      <c r="L57" s="438"/>
      <c r="M57" s="428"/>
      <c r="N57" s="428"/>
      <c r="O57" s="439"/>
      <c r="P57" s="428"/>
      <c r="Q57" s="428"/>
      <c r="R57" s="428"/>
      <c r="S57" s="428"/>
      <c r="T57" s="428"/>
    </row>
    <row r="58" spans="1:20" x14ac:dyDescent="0.25">
      <c r="A58" s="835"/>
      <c r="B58" s="835"/>
      <c r="C58" s="1688"/>
      <c r="D58" s="437"/>
      <c r="E58" s="438"/>
      <c r="F58" s="438"/>
      <c r="G58" s="438"/>
      <c r="H58" s="438"/>
      <c r="I58" s="438"/>
      <c r="J58" s="438"/>
      <c r="K58" s="438"/>
      <c r="L58" s="438"/>
      <c r="M58" s="428"/>
      <c r="N58" s="428"/>
      <c r="O58" s="439"/>
      <c r="P58" s="428"/>
      <c r="Q58" s="428"/>
      <c r="R58" s="428"/>
      <c r="S58" s="428"/>
      <c r="T58" s="428"/>
    </row>
    <row r="59" spans="1:20" x14ac:dyDescent="0.25">
      <c r="A59" s="835"/>
      <c r="B59" s="835"/>
      <c r="C59" s="1688"/>
      <c r="D59" s="437"/>
      <c r="E59" s="438"/>
      <c r="F59" s="438"/>
      <c r="G59" s="438"/>
      <c r="H59" s="438"/>
      <c r="I59" s="438"/>
      <c r="J59" s="438"/>
      <c r="K59" s="438"/>
      <c r="L59" s="438"/>
      <c r="M59" s="428"/>
      <c r="N59" s="428"/>
      <c r="O59" s="439"/>
      <c r="P59" s="428"/>
      <c r="Q59" s="428"/>
      <c r="R59" s="428"/>
      <c r="S59" s="428"/>
      <c r="T59" s="428"/>
    </row>
    <row r="60" spans="1:20" x14ac:dyDescent="0.25">
      <c r="A60" s="835"/>
      <c r="B60" s="835"/>
      <c r="C60" s="1688"/>
      <c r="D60" s="437"/>
      <c r="E60" s="438"/>
      <c r="F60" s="438"/>
      <c r="G60" s="438"/>
      <c r="H60" s="438"/>
      <c r="I60" s="438"/>
      <c r="J60" s="438"/>
      <c r="K60" s="438"/>
      <c r="L60" s="438"/>
      <c r="M60" s="428"/>
      <c r="N60" s="428"/>
      <c r="O60" s="439"/>
      <c r="P60" s="428"/>
      <c r="Q60" s="428"/>
      <c r="R60" s="428"/>
      <c r="S60" s="428"/>
      <c r="T60" s="428"/>
    </row>
    <row r="61" spans="1:20" x14ac:dyDescent="0.25">
      <c r="A61" s="835"/>
      <c r="B61" s="835"/>
      <c r="C61" s="1688"/>
      <c r="D61" s="437"/>
      <c r="E61" s="438"/>
      <c r="F61" s="438"/>
      <c r="G61" s="438"/>
      <c r="H61" s="438"/>
      <c r="I61" s="438"/>
      <c r="J61" s="438"/>
      <c r="K61" s="438"/>
      <c r="L61" s="438"/>
      <c r="M61" s="428"/>
      <c r="N61" s="428"/>
      <c r="O61" s="439"/>
      <c r="P61" s="428"/>
      <c r="Q61" s="428"/>
      <c r="R61" s="428"/>
      <c r="S61" s="428"/>
      <c r="T61" s="428"/>
    </row>
    <row r="62" spans="1:20" x14ac:dyDescent="0.25">
      <c r="A62" s="835"/>
      <c r="B62" s="835"/>
      <c r="C62" s="1688"/>
      <c r="D62" s="437"/>
      <c r="E62" s="438"/>
      <c r="F62" s="438"/>
      <c r="G62" s="438"/>
      <c r="H62" s="438"/>
      <c r="I62" s="438"/>
      <c r="J62" s="438"/>
      <c r="K62" s="438"/>
      <c r="L62" s="438"/>
      <c r="M62" s="438"/>
      <c r="N62" s="428"/>
      <c r="O62" s="428"/>
      <c r="P62" s="439"/>
      <c r="Q62" s="428"/>
      <c r="R62" s="428"/>
      <c r="S62" s="428"/>
      <c r="T62" s="428"/>
    </row>
    <row r="63" spans="1:20" s="964" customFormat="1" ht="14.25" customHeight="1" x14ac:dyDescent="0.2">
      <c r="A63" s="835">
        <v>6</v>
      </c>
      <c r="B63" s="835" t="s">
        <v>78</v>
      </c>
      <c r="C63" s="835"/>
      <c r="D63" s="3615" t="s">
        <v>352</v>
      </c>
      <c r="E63" s="3616"/>
      <c r="F63" s="3616"/>
      <c r="G63" s="3616"/>
      <c r="H63" s="3616"/>
      <c r="I63" s="3616"/>
      <c r="J63" s="3616"/>
      <c r="K63" s="3616"/>
      <c r="L63" s="3616"/>
      <c r="M63" s="3616"/>
      <c r="N63" s="3616"/>
      <c r="O63" s="3616"/>
      <c r="P63" s="3616"/>
      <c r="Q63" s="3617"/>
      <c r="R63" s="428"/>
      <c r="S63" s="428"/>
      <c r="T63" s="428"/>
    </row>
    <row r="64" spans="1:20" s="964" customFormat="1" ht="30" customHeight="1" x14ac:dyDescent="0.2">
      <c r="A64" s="835">
        <v>7</v>
      </c>
      <c r="B64" s="835" t="s">
        <v>80</v>
      </c>
      <c r="C64" s="963"/>
      <c r="D64" s="3615" t="s">
        <v>353</v>
      </c>
      <c r="E64" s="3616"/>
      <c r="F64" s="3616"/>
      <c r="G64" s="3616"/>
      <c r="H64" s="3616"/>
      <c r="I64" s="3616"/>
      <c r="J64" s="3616"/>
      <c r="K64" s="3616"/>
      <c r="L64" s="3616"/>
      <c r="M64" s="3616"/>
      <c r="N64" s="3616"/>
      <c r="O64" s="3616"/>
      <c r="P64" s="3616"/>
      <c r="Q64" s="3617"/>
      <c r="R64" s="428"/>
      <c r="S64" s="428"/>
      <c r="T64" s="428"/>
    </row>
    <row r="65" spans="1:20" s="964" customFormat="1" ht="25.5" customHeight="1" x14ac:dyDescent="0.2">
      <c r="A65" s="835">
        <v>8</v>
      </c>
      <c r="B65" s="835" t="s">
        <v>20</v>
      </c>
      <c r="C65" s="835"/>
      <c r="D65" s="3615" t="s">
        <v>354</v>
      </c>
      <c r="E65" s="3616"/>
      <c r="F65" s="3616"/>
      <c r="G65" s="3616"/>
      <c r="H65" s="3616"/>
      <c r="I65" s="3616"/>
      <c r="J65" s="3616"/>
      <c r="K65" s="3616"/>
      <c r="L65" s="3616"/>
      <c r="M65" s="3616"/>
      <c r="N65" s="3616"/>
      <c r="O65" s="3616"/>
      <c r="P65" s="3616"/>
      <c r="Q65" s="3617"/>
      <c r="R65" s="428"/>
      <c r="S65" s="428"/>
      <c r="T65" s="428"/>
    </row>
    <row r="66" spans="1:20" hidden="1" x14ac:dyDescent="0.25">
      <c r="A66" s="835"/>
      <c r="B66" s="835"/>
      <c r="C66" s="1704"/>
      <c r="D66" s="428"/>
      <c r="E66" s="428"/>
      <c r="F66" s="428"/>
      <c r="G66" s="428"/>
      <c r="H66" s="428"/>
      <c r="I66" s="428"/>
      <c r="J66" s="428"/>
      <c r="K66" s="428"/>
      <c r="L66" s="428"/>
      <c r="M66" s="428"/>
      <c r="N66" s="428"/>
      <c r="O66" s="428"/>
      <c r="P66" s="428"/>
      <c r="Q66" s="428"/>
      <c r="R66" s="428"/>
      <c r="S66" s="428"/>
      <c r="T66" s="428"/>
    </row>
    <row r="67" spans="1:20" hidden="1" x14ac:dyDescent="0.25">
      <c r="A67" s="428"/>
      <c r="B67" s="1704"/>
      <c r="C67" s="1704"/>
      <c r="D67" s="428"/>
      <c r="E67" s="428"/>
      <c r="F67" s="428"/>
      <c r="G67" s="428"/>
      <c r="H67" s="428"/>
      <c r="I67" s="428"/>
      <c r="J67" s="428"/>
      <c r="K67" s="428"/>
      <c r="L67" s="428"/>
      <c r="M67" s="428"/>
      <c r="N67" s="428"/>
      <c r="O67" s="428"/>
      <c r="P67" s="428"/>
      <c r="Q67" s="428"/>
      <c r="R67" s="428"/>
      <c r="S67" s="428"/>
      <c r="T67" s="428"/>
    </row>
    <row r="68" spans="1:20" hidden="1" x14ac:dyDescent="0.25">
      <c r="A68" s="428"/>
      <c r="B68" s="1704"/>
      <c r="C68" s="1704"/>
      <c r="D68" s="428"/>
      <c r="E68" s="428"/>
      <c r="F68" s="428"/>
      <c r="G68" s="428"/>
      <c r="H68" s="428"/>
      <c r="I68" s="428"/>
      <c r="J68" s="428"/>
      <c r="K68" s="428"/>
      <c r="L68" s="428"/>
      <c r="M68" s="428"/>
      <c r="N68" s="428"/>
      <c r="O68" s="428"/>
      <c r="P68" s="428"/>
      <c r="Q68" s="428"/>
      <c r="R68" s="428"/>
      <c r="S68" s="428"/>
      <c r="T68" s="428"/>
    </row>
    <row r="69" spans="1:20" hidden="1" x14ac:dyDescent="0.25">
      <c r="A69" s="428"/>
      <c r="B69" s="1704"/>
      <c r="C69" s="1704"/>
      <c r="D69" s="428"/>
      <c r="E69" s="428"/>
      <c r="F69" s="428"/>
      <c r="G69" s="428"/>
      <c r="H69" s="428"/>
      <c r="I69" s="428"/>
      <c r="J69" s="428"/>
      <c r="K69" s="428"/>
      <c r="L69" s="428"/>
      <c r="M69" s="428"/>
      <c r="N69" s="428"/>
      <c r="O69" s="428"/>
      <c r="P69" s="428"/>
      <c r="Q69" s="428"/>
      <c r="R69" s="428"/>
      <c r="S69" s="428"/>
      <c r="T69" s="428"/>
    </row>
    <row r="70" spans="1:20" hidden="1" x14ac:dyDescent="0.25">
      <c r="A70" s="428"/>
      <c r="B70" s="1704"/>
      <c r="C70" s="1704"/>
      <c r="D70" s="428"/>
      <c r="E70" s="428"/>
      <c r="F70" s="428"/>
      <c r="G70" s="428"/>
      <c r="H70" s="428"/>
      <c r="I70" s="428"/>
      <c r="J70" s="428"/>
      <c r="K70" s="428"/>
      <c r="L70" s="428"/>
      <c r="M70" s="428"/>
      <c r="N70" s="428"/>
      <c r="O70" s="428"/>
      <c r="P70" s="428"/>
      <c r="Q70" s="428"/>
      <c r="R70" s="428"/>
      <c r="S70" s="428"/>
      <c r="T70" s="428"/>
    </row>
    <row r="71" spans="1:20" hidden="1" x14ac:dyDescent="0.25">
      <c r="A71" s="428"/>
      <c r="B71" s="1704"/>
      <c r="C71" s="1704"/>
      <c r="D71" s="428"/>
      <c r="E71" s="428"/>
      <c r="F71" s="428"/>
      <c r="G71" s="428"/>
      <c r="H71" s="428"/>
      <c r="I71" s="428"/>
      <c r="J71" s="428"/>
      <c r="K71" s="428"/>
      <c r="L71" s="428"/>
      <c r="M71" s="428"/>
      <c r="N71" s="428"/>
      <c r="O71" s="428"/>
      <c r="P71" s="428"/>
      <c r="Q71" s="428"/>
      <c r="R71" s="428"/>
      <c r="S71" s="428"/>
      <c r="T71" s="428"/>
    </row>
    <row r="72" spans="1:20" hidden="1" x14ac:dyDescent="0.25">
      <c r="A72" s="428"/>
      <c r="B72" s="1704"/>
      <c r="C72" s="1704"/>
      <c r="D72" s="428"/>
      <c r="E72" s="428"/>
      <c r="F72" s="428"/>
      <c r="G72" s="428"/>
      <c r="H72" s="428"/>
      <c r="I72" s="428"/>
      <c r="J72" s="428"/>
      <c r="K72" s="428"/>
      <c r="L72" s="428"/>
      <c r="M72" s="428"/>
      <c r="N72" s="428"/>
      <c r="O72" s="428"/>
      <c r="P72" s="428"/>
      <c r="Q72" s="428"/>
      <c r="R72" s="428"/>
      <c r="S72" s="428"/>
      <c r="T72" s="428"/>
    </row>
    <row r="73" spans="1:20" hidden="1" x14ac:dyDescent="0.25">
      <c r="A73" s="428"/>
      <c r="B73" s="1704"/>
      <c r="C73" s="1704"/>
      <c r="D73" s="428"/>
      <c r="E73" s="428"/>
      <c r="F73" s="428"/>
      <c r="G73" s="428"/>
      <c r="H73" s="428"/>
      <c r="I73" s="428"/>
      <c r="J73" s="428"/>
      <c r="K73" s="428"/>
      <c r="L73" s="428"/>
      <c r="M73" s="428"/>
      <c r="N73" s="428"/>
      <c r="O73" s="428"/>
      <c r="P73" s="428"/>
      <c r="Q73" s="428"/>
      <c r="R73" s="428"/>
      <c r="S73" s="428"/>
      <c r="T73" s="428"/>
    </row>
    <row r="74" spans="1:20" hidden="1" x14ac:dyDescent="0.25">
      <c r="A74" s="428"/>
      <c r="B74" s="1704"/>
      <c r="C74" s="1704"/>
      <c r="D74" s="428"/>
      <c r="E74" s="428"/>
      <c r="F74" s="428"/>
      <c r="G74" s="428"/>
      <c r="H74" s="428"/>
      <c r="I74" s="428"/>
      <c r="J74" s="428"/>
      <c r="K74" s="428"/>
      <c r="L74" s="428"/>
      <c r="M74" s="428"/>
      <c r="N74" s="428"/>
      <c r="O74" s="428"/>
      <c r="P74" s="428"/>
      <c r="Q74" s="428"/>
      <c r="R74" s="428"/>
      <c r="S74" s="428"/>
      <c r="T74" s="428"/>
    </row>
    <row r="75" spans="1:20" hidden="1" x14ac:dyDescent="0.25">
      <c r="A75" s="428"/>
      <c r="B75" s="1704"/>
      <c r="C75" s="1704"/>
      <c r="D75" s="428"/>
      <c r="E75" s="428"/>
      <c r="F75" s="428"/>
      <c r="G75" s="428"/>
      <c r="H75" s="428"/>
      <c r="I75" s="428"/>
      <c r="J75" s="428"/>
      <c r="K75" s="428"/>
      <c r="L75" s="428"/>
      <c r="M75" s="428"/>
      <c r="N75" s="428"/>
      <c r="O75" s="428"/>
      <c r="P75" s="428"/>
      <c r="Q75" s="428"/>
      <c r="R75" s="428"/>
      <c r="S75" s="428"/>
      <c r="T75" s="428"/>
    </row>
    <row r="76" spans="1:20" hidden="1" x14ac:dyDescent="0.25">
      <c r="A76" s="428"/>
      <c r="B76" s="1704"/>
      <c r="C76" s="1704"/>
      <c r="D76" s="3618" t="s">
        <v>355</v>
      </c>
      <c r="E76" s="3619"/>
      <c r="F76" s="3619"/>
      <c r="G76" s="3620"/>
      <c r="H76" s="1253"/>
      <c r="I76" s="1253"/>
      <c r="J76" s="1253"/>
      <c r="K76" s="1253"/>
      <c r="L76" s="1253"/>
      <c r="M76" s="424"/>
      <c r="N76" s="1098" t="s">
        <v>31</v>
      </c>
      <c r="O76" s="420"/>
      <c r="P76" s="440" t="s">
        <v>356</v>
      </c>
      <c r="Q76" s="426" t="s">
        <v>357</v>
      </c>
      <c r="R76" s="449" t="s">
        <v>358</v>
      </c>
      <c r="S76" s="428"/>
      <c r="T76" s="428"/>
    </row>
    <row r="77" spans="1:20" hidden="1" x14ac:dyDescent="0.25">
      <c r="A77" s="428"/>
      <c r="B77" s="1704"/>
      <c r="C77" s="1704"/>
      <c r="D77" s="2654" t="s">
        <v>359</v>
      </c>
      <c r="E77" s="2655" t="s">
        <v>360</v>
      </c>
      <c r="F77" s="2655" t="s">
        <v>230</v>
      </c>
      <c r="G77" s="2656" t="s">
        <v>361</v>
      </c>
      <c r="H77" s="438"/>
      <c r="I77" s="438"/>
      <c r="J77" s="438"/>
      <c r="K77" s="438"/>
      <c r="L77" s="438"/>
      <c r="M77" s="1094"/>
      <c r="N77" s="983" t="s">
        <v>362</v>
      </c>
      <c r="O77" s="770" t="s">
        <v>71</v>
      </c>
      <c r="P77" s="420">
        <v>21</v>
      </c>
      <c r="Q77" s="420">
        <v>19</v>
      </c>
      <c r="R77" s="422">
        <v>26</v>
      </c>
      <c r="S77" s="428"/>
      <c r="T77" s="428"/>
    </row>
    <row r="78" spans="1:20" ht="33" hidden="1" x14ac:dyDescent="0.25">
      <c r="A78" s="428"/>
      <c r="B78" s="1704"/>
      <c r="C78" s="1704"/>
      <c r="D78" s="2657" t="s">
        <v>363</v>
      </c>
      <c r="E78" s="2658" t="s">
        <v>364</v>
      </c>
      <c r="F78" s="2655">
        <v>61</v>
      </c>
      <c r="G78" s="2656">
        <v>4.45</v>
      </c>
      <c r="H78" s="441"/>
      <c r="I78" s="441"/>
      <c r="J78" s="441"/>
      <c r="K78" s="441"/>
      <c r="L78" s="441"/>
      <c r="M78" s="441"/>
      <c r="N78" s="436"/>
      <c r="O78" s="770" t="s">
        <v>63</v>
      </c>
      <c r="P78" s="420">
        <v>26</v>
      </c>
      <c r="Q78" s="420">
        <v>27</v>
      </c>
      <c r="R78" s="422">
        <v>27</v>
      </c>
      <c r="S78" s="428"/>
      <c r="T78" s="428"/>
    </row>
    <row r="79" spans="1:20" ht="33" hidden="1" x14ac:dyDescent="0.25">
      <c r="A79" s="428"/>
      <c r="B79" s="1704"/>
      <c r="C79" s="1704"/>
      <c r="D79" s="3621" t="s">
        <v>365</v>
      </c>
      <c r="E79" s="2659" t="s">
        <v>366</v>
      </c>
      <c r="F79" s="2660">
        <v>39</v>
      </c>
      <c r="G79" s="2661">
        <v>4.55</v>
      </c>
      <c r="H79" s="1094"/>
      <c r="I79" s="1094"/>
      <c r="J79" s="1094"/>
      <c r="K79" s="1094"/>
      <c r="L79" s="1094"/>
      <c r="M79" s="1094"/>
      <c r="N79" s="1098"/>
      <c r="O79" s="770" t="s">
        <v>335</v>
      </c>
      <c r="P79" s="420">
        <v>27</v>
      </c>
      <c r="Q79" s="420">
        <v>26</v>
      </c>
      <c r="R79" s="422">
        <v>25</v>
      </c>
      <c r="S79" s="428"/>
      <c r="T79" s="428"/>
    </row>
    <row r="80" spans="1:20" ht="33" hidden="1" x14ac:dyDescent="0.25">
      <c r="A80" s="428"/>
      <c r="B80" s="1704"/>
      <c r="C80" s="1704"/>
      <c r="D80" s="3621"/>
      <c r="E80" s="2659" t="s">
        <v>367</v>
      </c>
      <c r="F80" s="2660">
        <v>43</v>
      </c>
      <c r="G80" s="2661">
        <v>4.22</v>
      </c>
      <c r="H80" s="1094"/>
      <c r="I80" s="1094"/>
      <c r="J80" s="1094"/>
      <c r="K80" s="1094"/>
      <c r="L80" s="1094"/>
      <c r="M80" s="1094"/>
      <c r="N80" s="1098"/>
      <c r="O80" s="770" t="s">
        <v>336</v>
      </c>
      <c r="P80" s="420">
        <v>38</v>
      </c>
      <c r="Q80" s="420">
        <v>39</v>
      </c>
      <c r="R80" s="422">
        <v>40</v>
      </c>
    </row>
    <row r="81" spans="1:18" ht="43.5" hidden="1" x14ac:dyDescent="0.25">
      <c r="A81" s="428"/>
      <c r="B81" s="1704"/>
      <c r="C81" s="1704"/>
      <c r="D81" s="3621"/>
      <c r="E81" s="2659" t="s">
        <v>368</v>
      </c>
      <c r="F81" s="2660">
        <v>50</v>
      </c>
      <c r="G81" s="2661">
        <v>5.08</v>
      </c>
      <c r="H81" s="1094"/>
      <c r="I81" s="1094"/>
      <c r="J81" s="1094"/>
      <c r="K81" s="1094"/>
      <c r="L81" s="1094"/>
      <c r="M81" s="1094"/>
      <c r="N81" s="1098"/>
      <c r="O81" s="770" t="s">
        <v>337</v>
      </c>
      <c r="P81" s="420">
        <v>41</v>
      </c>
      <c r="Q81" s="420">
        <v>37</v>
      </c>
      <c r="R81" s="422">
        <v>37</v>
      </c>
    </row>
    <row r="82" spans="1:18" ht="43.5" hidden="1" x14ac:dyDescent="0.25">
      <c r="A82" s="428"/>
      <c r="B82" s="1688"/>
      <c r="C82" s="1688"/>
      <c r="D82" s="3621"/>
      <c r="E82" s="2659" t="s">
        <v>369</v>
      </c>
      <c r="F82" s="2660">
        <v>117</v>
      </c>
      <c r="G82" s="2661">
        <v>3.96</v>
      </c>
      <c r="H82" s="428"/>
      <c r="I82" s="428"/>
      <c r="J82" s="428"/>
      <c r="K82" s="428"/>
      <c r="L82" s="428"/>
      <c r="M82" s="428"/>
      <c r="N82" s="1098"/>
      <c r="O82" s="770" t="s">
        <v>0</v>
      </c>
      <c r="P82" s="420">
        <v>44</v>
      </c>
      <c r="Q82" s="420">
        <v>36</v>
      </c>
      <c r="R82" s="422">
        <v>45</v>
      </c>
    </row>
    <row r="83" spans="1:18" hidden="1" x14ac:dyDescent="0.25">
      <c r="A83" s="428"/>
      <c r="B83" s="428"/>
      <c r="C83" s="428"/>
      <c r="D83" s="2662"/>
      <c r="E83" s="2658"/>
      <c r="F83" s="2655"/>
      <c r="G83" s="2656"/>
      <c r="H83" s="428"/>
      <c r="I83" s="428"/>
      <c r="J83" s="428"/>
      <c r="K83" s="428"/>
      <c r="L83" s="428"/>
      <c r="M83" s="428"/>
      <c r="N83" s="1098"/>
      <c r="O83" s="770" t="s">
        <v>338</v>
      </c>
      <c r="P83" s="420">
        <v>45</v>
      </c>
      <c r="Q83" s="420">
        <v>44</v>
      </c>
      <c r="R83" s="422">
        <v>36</v>
      </c>
    </row>
    <row r="84" spans="1:18" ht="33" hidden="1" x14ac:dyDescent="0.25">
      <c r="A84" s="428"/>
      <c r="B84" s="428"/>
      <c r="C84" s="428"/>
      <c r="D84" s="2657" t="s">
        <v>370</v>
      </c>
      <c r="E84" s="2658" t="s">
        <v>371</v>
      </c>
      <c r="F84" s="2655">
        <v>36</v>
      </c>
      <c r="G84" s="2656">
        <v>4.4400000000000004</v>
      </c>
      <c r="H84" s="428"/>
      <c r="I84" s="428"/>
      <c r="J84" s="428"/>
      <c r="K84" s="428"/>
      <c r="L84" s="428"/>
      <c r="M84" s="428"/>
      <c r="N84" s="1098"/>
      <c r="O84" s="770" t="s">
        <v>339</v>
      </c>
      <c r="P84" s="420">
        <v>47</v>
      </c>
      <c r="Q84" s="420">
        <v>38</v>
      </c>
      <c r="R84" s="422">
        <v>41</v>
      </c>
    </row>
    <row r="85" spans="1:18" ht="54" hidden="1" x14ac:dyDescent="0.25">
      <c r="A85" s="428"/>
      <c r="B85" s="428"/>
      <c r="C85" s="428"/>
      <c r="D85" s="3621" t="s">
        <v>365</v>
      </c>
      <c r="E85" s="2659" t="s">
        <v>372</v>
      </c>
      <c r="F85" s="2660">
        <v>56</v>
      </c>
      <c r="G85" s="2661">
        <v>4.12</v>
      </c>
      <c r="H85" s="428"/>
      <c r="I85" s="428"/>
      <c r="J85" s="428"/>
      <c r="K85" s="428"/>
      <c r="L85" s="428"/>
      <c r="M85" s="428"/>
      <c r="N85" s="436"/>
      <c r="O85" s="442" t="s">
        <v>73</v>
      </c>
      <c r="P85" s="420">
        <v>51</v>
      </c>
      <c r="Q85" s="420">
        <v>45</v>
      </c>
      <c r="R85" s="422">
        <v>48</v>
      </c>
    </row>
    <row r="86" spans="1:18" ht="33" hidden="1" x14ac:dyDescent="0.25">
      <c r="A86" s="428"/>
      <c r="B86" s="428"/>
      <c r="C86" s="428"/>
      <c r="D86" s="3621"/>
      <c r="E86" s="2659" t="s">
        <v>373</v>
      </c>
      <c r="F86" s="2660">
        <v>32</v>
      </c>
      <c r="G86" s="2661">
        <v>4.7300000000000004</v>
      </c>
      <c r="H86" s="428"/>
      <c r="I86" s="428"/>
      <c r="J86" s="428"/>
      <c r="K86" s="428"/>
      <c r="L86" s="428"/>
      <c r="M86" s="428"/>
      <c r="N86" s="436"/>
      <c r="O86" s="770" t="s">
        <v>72</v>
      </c>
      <c r="P86" s="420">
        <v>52</v>
      </c>
      <c r="Q86" s="420">
        <v>52</v>
      </c>
      <c r="R86" s="422">
        <v>58</v>
      </c>
    </row>
    <row r="87" spans="1:18" ht="43.5" hidden="1" x14ac:dyDescent="0.25">
      <c r="A87" s="428"/>
      <c r="B87" s="428"/>
      <c r="C87" s="428"/>
      <c r="D87" s="3621"/>
      <c r="E87" s="2659" t="s">
        <v>374</v>
      </c>
      <c r="F87" s="2660">
        <v>78</v>
      </c>
      <c r="G87" s="2661">
        <v>4.16</v>
      </c>
      <c r="H87" s="428"/>
      <c r="I87" s="428"/>
      <c r="J87" s="428"/>
      <c r="K87" s="428"/>
      <c r="L87" s="428"/>
      <c r="M87" s="428"/>
      <c r="N87" s="436"/>
      <c r="O87" s="770" t="s">
        <v>340</v>
      </c>
      <c r="P87" s="420">
        <v>60</v>
      </c>
      <c r="Q87" s="420">
        <v>55</v>
      </c>
      <c r="R87" s="422">
        <v>55</v>
      </c>
    </row>
    <row r="88" spans="1:18" ht="64.5" hidden="1" x14ac:dyDescent="0.25">
      <c r="A88" s="428"/>
      <c r="B88" s="428"/>
      <c r="C88" s="428"/>
      <c r="D88" s="3621"/>
      <c r="E88" s="2659" t="s">
        <v>375</v>
      </c>
      <c r="F88" s="2660">
        <v>25</v>
      </c>
      <c r="G88" s="2661">
        <v>5.19</v>
      </c>
      <c r="H88" s="428"/>
      <c r="I88" s="428"/>
      <c r="J88" s="428"/>
      <c r="K88" s="428"/>
      <c r="L88" s="428"/>
      <c r="M88" s="428"/>
      <c r="N88" s="436"/>
      <c r="O88" s="770" t="s">
        <v>61</v>
      </c>
      <c r="P88" s="420">
        <v>72</v>
      </c>
      <c r="Q88" s="420">
        <v>66</v>
      </c>
      <c r="R88" s="422">
        <v>66</v>
      </c>
    </row>
    <row r="89" spans="1:18" ht="43.5" hidden="1" x14ac:dyDescent="0.25">
      <c r="A89" s="428"/>
      <c r="B89" s="428"/>
      <c r="C89" s="428"/>
      <c r="D89" s="3621"/>
      <c r="E89" s="2659" t="s">
        <v>376</v>
      </c>
      <c r="F89" s="2660">
        <v>46</v>
      </c>
      <c r="G89" s="2661">
        <v>3.57</v>
      </c>
      <c r="H89" s="428"/>
      <c r="I89" s="428"/>
      <c r="J89" s="428"/>
      <c r="K89" s="428"/>
      <c r="L89" s="428"/>
      <c r="M89" s="428"/>
      <c r="N89" s="436"/>
      <c r="O89" s="770" t="s">
        <v>341</v>
      </c>
      <c r="P89" s="420">
        <v>74</v>
      </c>
      <c r="Q89" s="420">
        <v>73</v>
      </c>
      <c r="R89" s="422">
        <v>68</v>
      </c>
    </row>
    <row r="90" spans="1:18" ht="33" hidden="1" x14ac:dyDescent="0.25">
      <c r="A90" s="428"/>
      <c r="B90" s="428"/>
      <c r="C90" s="428"/>
      <c r="D90" s="3621"/>
      <c r="E90" s="2659" t="s">
        <v>377</v>
      </c>
      <c r="F90" s="2660">
        <v>21</v>
      </c>
      <c r="G90" s="2661">
        <v>4.8899999999999997</v>
      </c>
      <c r="H90" s="428"/>
      <c r="I90" s="428"/>
      <c r="J90" s="428"/>
      <c r="K90" s="428"/>
      <c r="L90" s="428"/>
      <c r="M90" s="428"/>
      <c r="N90" s="436"/>
      <c r="O90" s="770" t="s">
        <v>60</v>
      </c>
      <c r="P90" s="420">
        <v>76</v>
      </c>
      <c r="Q90" s="420">
        <v>57</v>
      </c>
      <c r="R90" s="422">
        <v>81</v>
      </c>
    </row>
    <row r="91" spans="1:18" hidden="1" x14ac:dyDescent="0.25">
      <c r="A91" s="428"/>
      <c r="B91" s="428"/>
      <c r="C91" s="428"/>
      <c r="D91" s="2662"/>
      <c r="E91" s="2658"/>
      <c r="F91" s="2655"/>
      <c r="G91" s="2656"/>
      <c r="H91" s="428"/>
      <c r="I91" s="428"/>
      <c r="J91" s="428"/>
      <c r="K91" s="428"/>
      <c r="L91" s="428"/>
      <c r="M91" s="428"/>
      <c r="N91" s="428"/>
      <c r="O91" s="1094"/>
      <c r="P91" s="1094"/>
      <c r="Q91" s="428"/>
      <c r="R91" s="428"/>
    </row>
    <row r="92" spans="1:18" ht="64.5" hidden="1" x14ac:dyDescent="0.25">
      <c r="A92" s="428"/>
      <c r="B92" s="428"/>
      <c r="C92" s="428"/>
      <c r="D92" s="2657" t="s">
        <v>378</v>
      </c>
      <c r="E92" s="2658" t="s">
        <v>379</v>
      </c>
      <c r="F92" s="2655">
        <v>33</v>
      </c>
      <c r="G92" s="2656">
        <v>4.16</v>
      </c>
      <c r="H92" s="428"/>
      <c r="I92" s="428"/>
      <c r="J92" s="428"/>
      <c r="K92" s="428"/>
      <c r="L92" s="428"/>
      <c r="M92" s="428"/>
      <c r="N92" s="428"/>
      <c r="O92" s="1094"/>
      <c r="P92" s="1094"/>
      <c r="Q92" s="428"/>
      <c r="R92" s="428"/>
    </row>
    <row r="93" spans="1:18" ht="43.5" hidden="1" x14ac:dyDescent="0.25">
      <c r="A93" s="428"/>
      <c r="B93" s="428"/>
      <c r="C93" s="428"/>
      <c r="D93" s="3621" t="s">
        <v>365</v>
      </c>
      <c r="E93" s="2659" t="s">
        <v>380</v>
      </c>
      <c r="F93" s="2660">
        <v>36</v>
      </c>
      <c r="G93" s="2661">
        <v>4.6100000000000003</v>
      </c>
      <c r="H93" s="428"/>
      <c r="I93" s="428"/>
      <c r="J93" s="428"/>
      <c r="K93" s="428"/>
      <c r="L93" s="428"/>
      <c r="M93" s="428"/>
      <c r="N93" s="428"/>
      <c r="O93" s="428"/>
      <c r="P93" s="428"/>
      <c r="Q93" s="428"/>
      <c r="R93" s="428"/>
    </row>
    <row r="94" spans="1:18" ht="33.75" hidden="1" thickBot="1" x14ac:dyDescent="0.3">
      <c r="A94" s="428"/>
      <c r="B94" s="428"/>
      <c r="C94" s="428"/>
      <c r="D94" s="3622"/>
      <c r="E94" s="2663" t="s">
        <v>381</v>
      </c>
      <c r="F94" s="2664">
        <v>32</v>
      </c>
      <c r="G94" s="2665">
        <v>3.71</v>
      </c>
      <c r="H94" s="428"/>
      <c r="I94" s="428"/>
      <c r="J94" s="428"/>
      <c r="K94" s="428"/>
      <c r="L94" s="428"/>
      <c r="M94" s="428"/>
      <c r="N94" s="1098" t="s">
        <v>55</v>
      </c>
      <c r="O94" s="420"/>
      <c r="P94" s="426" t="s">
        <v>382</v>
      </c>
      <c r="Q94" s="426" t="s">
        <v>383</v>
      </c>
      <c r="R94" s="426"/>
    </row>
    <row r="95" spans="1:18" hidden="1" x14ac:dyDescent="0.25">
      <c r="A95" s="428"/>
      <c r="B95" s="428"/>
      <c r="C95" s="428"/>
      <c r="D95" s="428"/>
      <c r="E95" s="428"/>
      <c r="F95" s="428"/>
      <c r="G95" s="428"/>
      <c r="H95" s="428"/>
      <c r="I95" s="428"/>
      <c r="J95" s="428"/>
      <c r="K95" s="428"/>
      <c r="L95" s="428"/>
      <c r="M95" s="428"/>
      <c r="N95" s="983" t="s">
        <v>384</v>
      </c>
      <c r="O95" s="770" t="s">
        <v>71</v>
      </c>
      <c r="P95" s="420">
        <v>19</v>
      </c>
      <c r="Q95" s="420">
        <v>23</v>
      </c>
      <c r="R95" s="420"/>
    </row>
    <row r="96" spans="1:18" hidden="1" x14ac:dyDescent="0.25">
      <c r="A96" s="428"/>
      <c r="B96" s="428"/>
      <c r="C96" s="428"/>
      <c r="D96" s="428"/>
      <c r="E96" s="428"/>
      <c r="F96" s="428"/>
      <c r="G96" s="428"/>
      <c r="H96" s="428"/>
      <c r="I96" s="428"/>
      <c r="J96" s="428"/>
      <c r="K96" s="428"/>
      <c r="L96" s="428"/>
      <c r="M96" s="428"/>
      <c r="N96" s="436"/>
      <c r="O96" s="770" t="s">
        <v>63</v>
      </c>
      <c r="P96" s="420">
        <v>26</v>
      </c>
      <c r="Q96" s="420">
        <v>26</v>
      </c>
      <c r="R96" s="420"/>
    </row>
    <row r="97" spans="1:18" hidden="1" x14ac:dyDescent="0.25">
      <c r="A97" s="428"/>
      <c r="B97" s="428"/>
      <c r="C97" s="428"/>
      <c r="D97" s="428"/>
      <c r="E97" s="428"/>
      <c r="F97" s="428"/>
      <c r="G97" s="428"/>
      <c r="H97" s="428"/>
      <c r="I97" s="428"/>
      <c r="J97" s="428"/>
      <c r="K97" s="428"/>
      <c r="L97" s="428"/>
      <c r="M97" s="428"/>
      <c r="N97" s="1098"/>
      <c r="O97" s="770" t="s">
        <v>335</v>
      </c>
      <c r="P97" s="420">
        <v>23</v>
      </c>
      <c r="Q97" s="420">
        <v>22</v>
      </c>
      <c r="R97" s="420"/>
    </row>
    <row r="98" spans="1:18" hidden="1" x14ac:dyDescent="0.25">
      <c r="A98" s="428"/>
      <c r="B98" s="428"/>
      <c r="C98" s="428"/>
      <c r="D98" s="428"/>
      <c r="E98" s="428"/>
      <c r="F98" s="428"/>
      <c r="G98" s="428"/>
      <c r="H98" s="428"/>
      <c r="I98" s="428"/>
      <c r="J98" s="428"/>
      <c r="K98" s="428"/>
      <c r="L98" s="428"/>
      <c r="M98" s="428"/>
      <c r="N98" s="1098"/>
      <c r="O98" s="770" t="s">
        <v>336</v>
      </c>
      <c r="P98" s="420">
        <v>36</v>
      </c>
      <c r="Q98" s="420">
        <v>31</v>
      </c>
      <c r="R98" s="420"/>
    </row>
    <row r="99" spans="1:18" hidden="1" x14ac:dyDescent="0.25">
      <c r="A99" s="428"/>
      <c r="B99" s="428"/>
      <c r="C99" s="428"/>
      <c r="D99" s="428"/>
      <c r="E99" s="428"/>
      <c r="F99" s="428"/>
      <c r="G99" s="428"/>
      <c r="H99" s="428"/>
      <c r="I99" s="428"/>
      <c r="J99" s="428"/>
      <c r="K99" s="428"/>
      <c r="L99" s="428"/>
      <c r="M99" s="428"/>
      <c r="N99" s="1098"/>
      <c r="O99" s="770" t="s">
        <v>337</v>
      </c>
      <c r="P99" s="420">
        <v>30</v>
      </c>
      <c r="Q99" s="420">
        <v>34</v>
      </c>
      <c r="R99" s="420"/>
    </row>
    <row r="100" spans="1:18" hidden="1" x14ac:dyDescent="0.25">
      <c r="A100" s="428"/>
      <c r="B100" s="428"/>
      <c r="C100" s="428"/>
      <c r="D100" s="428"/>
      <c r="E100" s="428"/>
      <c r="F100" s="428"/>
      <c r="G100" s="428"/>
      <c r="H100" s="428"/>
      <c r="I100" s="428"/>
      <c r="J100" s="428"/>
      <c r="K100" s="428"/>
      <c r="L100" s="428"/>
      <c r="M100" s="428"/>
      <c r="N100" s="1098"/>
      <c r="O100" s="770" t="s">
        <v>0</v>
      </c>
      <c r="P100" s="420">
        <v>53</v>
      </c>
      <c r="Q100" s="420">
        <v>50</v>
      </c>
      <c r="R100" s="420"/>
    </row>
    <row r="101" spans="1:18" hidden="1" x14ac:dyDescent="0.25">
      <c r="A101" s="428"/>
      <c r="B101" s="428"/>
      <c r="C101" s="428"/>
      <c r="D101" s="428"/>
      <c r="E101" s="428"/>
      <c r="F101" s="428"/>
      <c r="G101" s="428"/>
      <c r="H101" s="428"/>
      <c r="I101" s="428"/>
      <c r="J101" s="428"/>
      <c r="K101" s="428"/>
      <c r="L101" s="428"/>
      <c r="M101" s="428"/>
      <c r="N101" s="1098"/>
      <c r="O101" s="770" t="s">
        <v>338</v>
      </c>
      <c r="P101" s="420" t="s">
        <v>345</v>
      </c>
      <c r="Q101" s="420" t="s">
        <v>345</v>
      </c>
      <c r="R101" s="420"/>
    </row>
    <row r="102" spans="1:18" hidden="1" x14ac:dyDescent="0.25">
      <c r="A102" s="428"/>
      <c r="B102" s="428"/>
      <c r="C102" s="428"/>
      <c r="D102" s="428"/>
      <c r="E102" s="428"/>
      <c r="F102" s="428"/>
      <c r="G102" s="428"/>
      <c r="H102" s="428"/>
      <c r="I102" s="428"/>
      <c r="J102" s="428"/>
      <c r="K102" s="428"/>
      <c r="L102" s="428"/>
      <c r="M102" s="428"/>
      <c r="N102" s="1098"/>
      <c r="O102" s="770" t="s">
        <v>339</v>
      </c>
      <c r="P102" s="420">
        <v>38</v>
      </c>
      <c r="Q102" s="420">
        <v>35</v>
      </c>
      <c r="R102" s="420"/>
    </row>
    <row r="103" spans="1:18" hidden="1" x14ac:dyDescent="0.25">
      <c r="A103" s="428"/>
      <c r="B103" s="428"/>
      <c r="C103" s="428"/>
      <c r="D103" s="428"/>
      <c r="E103" s="428"/>
      <c r="F103" s="428"/>
      <c r="G103" s="428"/>
      <c r="H103" s="428"/>
      <c r="I103" s="428"/>
      <c r="J103" s="428"/>
      <c r="K103" s="428"/>
      <c r="L103" s="428"/>
      <c r="M103" s="428"/>
      <c r="N103" s="436"/>
      <c r="O103" s="442" t="s">
        <v>73</v>
      </c>
      <c r="P103" s="420">
        <v>44</v>
      </c>
      <c r="Q103" s="420">
        <v>52</v>
      </c>
      <c r="R103" s="420"/>
    </row>
    <row r="104" spans="1:18" hidden="1" x14ac:dyDescent="0.25">
      <c r="A104" s="428"/>
      <c r="B104" s="428"/>
      <c r="C104" s="428"/>
      <c r="D104" s="428"/>
      <c r="E104" s="428"/>
      <c r="F104" s="428"/>
      <c r="G104" s="428"/>
      <c r="H104" s="428"/>
      <c r="I104" s="428"/>
      <c r="J104" s="428"/>
      <c r="K104" s="428"/>
      <c r="L104" s="428"/>
      <c r="M104" s="428"/>
      <c r="N104" s="436"/>
      <c r="O104" s="770" t="s">
        <v>72</v>
      </c>
      <c r="P104" s="420">
        <v>50</v>
      </c>
      <c r="Q104" s="420">
        <v>47</v>
      </c>
      <c r="R104" s="420"/>
    </row>
    <row r="105" spans="1:18" hidden="1" x14ac:dyDescent="0.25">
      <c r="A105" s="428"/>
      <c r="B105" s="428"/>
      <c r="C105" s="428"/>
      <c r="D105" s="428"/>
      <c r="E105" s="428"/>
      <c r="F105" s="428"/>
      <c r="G105" s="428"/>
      <c r="H105" s="428"/>
      <c r="I105" s="428"/>
      <c r="J105" s="428"/>
      <c r="K105" s="428"/>
      <c r="L105" s="428"/>
      <c r="M105" s="428"/>
      <c r="N105" s="436"/>
      <c r="O105" s="770" t="s">
        <v>340</v>
      </c>
      <c r="P105" s="420" t="s">
        <v>345</v>
      </c>
      <c r="Q105" s="420" t="s">
        <v>345</v>
      </c>
      <c r="R105" s="420"/>
    </row>
    <row r="106" spans="1:18" hidden="1" x14ac:dyDescent="0.25">
      <c r="A106" s="428"/>
      <c r="B106" s="428"/>
      <c r="C106" s="428"/>
      <c r="D106" s="428"/>
      <c r="E106" s="428"/>
      <c r="F106" s="428"/>
      <c r="G106" s="428"/>
      <c r="H106" s="428"/>
      <c r="I106" s="428"/>
      <c r="J106" s="428"/>
      <c r="K106" s="428"/>
      <c r="L106" s="428"/>
      <c r="M106" s="428"/>
      <c r="N106" s="436"/>
      <c r="O106" s="770" t="s">
        <v>61</v>
      </c>
      <c r="P106" s="420">
        <v>43</v>
      </c>
      <c r="Q106" s="420">
        <v>49</v>
      </c>
      <c r="R106" s="420"/>
    </row>
    <row r="107" spans="1:18" hidden="1" x14ac:dyDescent="0.25">
      <c r="A107" s="428"/>
      <c r="B107" s="428"/>
      <c r="C107" s="428"/>
      <c r="D107" s="428"/>
      <c r="E107" s="428"/>
      <c r="F107" s="428"/>
      <c r="G107" s="428"/>
      <c r="H107" s="428"/>
      <c r="I107" s="428"/>
      <c r="J107" s="428"/>
      <c r="K107" s="428"/>
      <c r="L107" s="428"/>
      <c r="M107" s="428"/>
      <c r="N107" s="436"/>
      <c r="O107" s="770" t="s">
        <v>341</v>
      </c>
      <c r="P107" s="420">
        <v>45</v>
      </c>
      <c r="Q107" s="420">
        <v>44</v>
      </c>
      <c r="R107" s="420"/>
    </row>
    <row r="108" spans="1:18" hidden="1" x14ac:dyDescent="0.25">
      <c r="A108" s="428"/>
      <c r="B108" s="428"/>
      <c r="C108" s="428"/>
      <c r="D108" s="428"/>
      <c r="E108" s="428"/>
      <c r="F108" s="428"/>
      <c r="G108" s="428"/>
      <c r="H108" s="428"/>
      <c r="I108" s="428"/>
      <c r="J108" s="428"/>
      <c r="K108" s="428"/>
      <c r="L108" s="428"/>
      <c r="M108" s="428"/>
      <c r="N108" s="436"/>
      <c r="O108" s="770" t="s">
        <v>60</v>
      </c>
      <c r="P108" s="420" t="s">
        <v>345</v>
      </c>
      <c r="Q108" s="420" t="s">
        <v>345</v>
      </c>
      <c r="R108" s="420"/>
    </row>
    <row r="109" spans="1:18" hidden="1" x14ac:dyDescent="0.25">
      <c r="A109" s="428"/>
      <c r="B109" s="428"/>
      <c r="C109" s="428"/>
      <c r="D109" s="428"/>
      <c r="E109" s="428"/>
      <c r="F109" s="428"/>
      <c r="G109" s="428"/>
      <c r="H109" s="428"/>
      <c r="I109" s="428"/>
      <c r="J109" s="428"/>
      <c r="K109" s="428"/>
      <c r="L109" s="428"/>
      <c r="M109" s="428"/>
      <c r="N109" s="964"/>
      <c r="O109" s="964"/>
      <c r="P109" s="964"/>
      <c r="Q109" s="964"/>
      <c r="R109" s="964"/>
    </row>
    <row r="110" spans="1:18" hidden="1" x14ac:dyDescent="0.25">
      <c r="A110" s="428"/>
      <c r="B110" s="428"/>
      <c r="C110" s="428"/>
      <c r="D110" s="428"/>
      <c r="E110" s="428"/>
      <c r="F110" s="428"/>
      <c r="G110" s="428"/>
      <c r="H110" s="428"/>
      <c r="I110" s="428"/>
      <c r="J110" s="428"/>
      <c r="K110" s="428"/>
      <c r="L110" s="428"/>
      <c r="M110" s="428"/>
      <c r="N110" s="428"/>
      <c r="O110" s="428"/>
      <c r="P110" s="428"/>
      <c r="Q110" s="428"/>
      <c r="R110" s="428"/>
    </row>
    <row r="111" spans="1:18" hidden="1" x14ac:dyDescent="0.25">
      <c r="A111" s="428"/>
      <c r="B111" s="428"/>
      <c r="C111" s="428"/>
      <c r="D111" s="428"/>
      <c r="E111" s="428"/>
      <c r="F111" s="428"/>
      <c r="G111" s="428"/>
      <c r="H111" s="428"/>
      <c r="I111" s="428"/>
      <c r="J111" s="428"/>
      <c r="K111" s="428"/>
      <c r="L111" s="428"/>
      <c r="M111" s="428"/>
      <c r="N111" s="428"/>
      <c r="O111" s="428"/>
      <c r="P111" s="428"/>
      <c r="Q111" s="428"/>
      <c r="R111" s="428"/>
    </row>
    <row r="112" spans="1:18" hidden="1" x14ac:dyDescent="0.25">
      <c r="A112" s="428"/>
      <c r="B112" s="428"/>
      <c r="C112" s="428"/>
    </row>
    <row r="113" spans="1:3" hidden="1" x14ac:dyDescent="0.25">
      <c r="A113" s="428"/>
      <c r="B113" s="428"/>
      <c r="C113" s="428"/>
    </row>
    <row r="114" spans="1:3" hidden="1" x14ac:dyDescent="0.25">
      <c r="A114" s="428"/>
      <c r="B114" s="428"/>
      <c r="C114" s="428"/>
    </row>
    <row r="115" spans="1:3" hidden="1" x14ac:dyDescent="0.25">
      <c r="A115" s="428"/>
      <c r="B115" s="428"/>
      <c r="C115" s="428"/>
    </row>
    <row r="116" spans="1:3" hidden="1" x14ac:dyDescent="0.25">
      <c r="A116" s="428"/>
      <c r="B116" s="428"/>
      <c r="C116" s="428"/>
    </row>
    <row r="117" spans="1:3" hidden="1" x14ac:dyDescent="0.25">
      <c r="A117" s="428"/>
      <c r="B117" s="428"/>
      <c r="C117" s="428"/>
    </row>
    <row r="118" spans="1:3" hidden="1" x14ac:dyDescent="0.25">
      <c r="A118" s="428"/>
      <c r="B118" s="428"/>
      <c r="C118" s="428"/>
    </row>
    <row r="119" spans="1:3" hidden="1" x14ac:dyDescent="0.25">
      <c r="A119" s="428"/>
      <c r="B119" s="428"/>
      <c r="C119" s="428"/>
    </row>
    <row r="120" spans="1:3" hidden="1" x14ac:dyDescent="0.25">
      <c r="A120" s="428"/>
      <c r="B120" s="428"/>
      <c r="C120" s="428"/>
    </row>
    <row r="121" spans="1:3" hidden="1" x14ac:dyDescent="0.25">
      <c r="A121" s="428"/>
      <c r="B121" s="428"/>
      <c r="C121" s="428"/>
    </row>
    <row r="122" spans="1:3" hidden="1" x14ac:dyDescent="0.25">
      <c r="A122" s="428"/>
      <c r="B122" s="428"/>
      <c r="C122" s="428"/>
    </row>
    <row r="123" spans="1:3" hidden="1" x14ac:dyDescent="0.25">
      <c r="A123" s="428"/>
      <c r="B123" s="428"/>
      <c r="C123" s="428"/>
    </row>
    <row r="124" spans="1:3" hidden="1" x14ac:dyDescent="0.25">
      <c r="A124" s="428"/>
      <c r="B124" s="428"/>
      <c r="C124" s="428"/>
    </row>
    <row r="125" spans="1:3" hidden="1" x14ac:dyDescent="0.25">
      <c r="A125" s="428"/>
      <c r="B125" s="428"/>
      <c r="C125" s="428"/>
    </row>
    <row r="126" spans="1:3" hidden="1" x14ac:dyDescent="0.25">
      <c r="A126" s="428"/>
      <c r="B126" s="428"/>
      <c r="C126" s="428"/>
    </row>
    <row r="127" spans="1:3" hidden="1" x14ac:dyDescent="0.25">
      <c r="A127" s="428"/>
      <c r="B127" s="428"/>
      <c r="C127" s="428"/>
    </row>
    <row r="128" spans="1:3" hidden="1" x14ac:dyDescent="0.25">
      <c r="A128" s="428"/>
      <c r="B128" s="428"/>
      <c r="C128" s="428"/>
    </row>
    <row r="129" spans="1:3" hidden="1" x14ac:dyDescent="0.25">
      <c r="A129" s="428"/>
      <c r="B129" s="428"/>
      <c r="C129" s="428"/>
    </row>
    <row r="130" spans="1:3" hidden="1" x14ac:dyDescent="0.25">
      <c r="A130" s="428"/>
      <c r="B130" s="428"/>
      <c r="C130" s="428"/>
    </row>
    <row r="131" spans="1:3" hidden="1" x14ac:dyDescent="0.25">
      <c r="A131" s="428"/>
      <c r="B131" s="428"/>
      <c r="C131" s="428"/>
    </row>
    <row r="132" spans="1:3" x14ac:dyDescent="0.25">
      <c r="A132" s="1687"/>
      <c r="B132" s="1688"/>
      <c r="C132" s="1688"/>
    </row>
  </sheetData>
  <mergeCells count="10">
    <mergeCell ref="D64:Q64"/>
    <mergeCell ref="D63:Q63"/>
    <mergeCell ref="D2:Q2"/>
    <mergeCell ref="D3:Q3"/>
    <mergeCell ref="D4:Q4"/>
    <mergeCell ref="D65:Q65"/>
    <mergeCell ref="D76:G76"/>
    <mergeCell ref="D79:D82"/>
    <mergeCell ref="D85:D90"/>
    <mergeCell ref="D93:D94"/>
  </mergeCells>
  <pageMargins left="0.74803149606299213" right="0.74803149606299213" top="0.98425196850393704" bottom="0.98425196850393704" header="0.51181102362204722" footer="0.51181102362204722"/>
  <pageSetup paperSize="9" scale="45" orientation="landscape" r:id="rId1"/>
  <headerFooter alignWithMargins="0">
    <oddHeader>&amp;C&amp;"-,Bold"DEVELOPMENT INDICATORS 2014</oddHeader>
    <oddFooter>&amp;LDepartment of Planning, Monitoring and Evaluation (DPME). &amp;CPage &amp;P of &amp;N&amp;R&amp;D</oddFooter>
  </headerFooter>
  <colBreaks count="1" manualBreakCount="1">
    <brk id="1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S27"/>
  <sheetViews>
    <sheetView showGridLines="0" view="pageBreakPreview" zoomScaleNormal="100" zoomScaleSheetLayoutView="100" workbookViewId="0">
      <selection activeCell="D7" sqref="D7:D21"/>
    </sheetView>
  </sheetViews>
  <sheetFormatPr defaultColWidth="9.140625" defaultRowHeight="15" x14ac:dyDescent="0.25"/>
  <cols>
    <col min="1" max="1" width="3.7109375" style="2427" customWidth="1"/>
    <col min="2" max="2" width="14.42578125" style="2427" customWidth="1"/>
    <col min="3" max="3" width="5.42578125" style="2427" customWidth="1"/>
    <col min="4" max="9" width="10.5703125" style="2427" customWidth="1"/>
    <col min="10" max="10" width="11" style="2427" customWidth="1"/>
    <col min="11" max="11" width="10.5703125" style="2427" customWidth="1"/>
    <col min="12" max="12" width="10.5703125" style="2427" bestFit="1" customWidth="1"/>
    <col min="13" max="16384" width="9.140625" style="2427"/>
  </cols>
  <sheetData>
    <row r="1" spans="1:253" s="964" customFormat="1" x14ac:dyDescent="0.2">
      <c r="A1" s="965"/>
      <c r="B1" s="1277"/>
      <c r="C1" s="1277"/>
      <c r="J1" s="428"/>
      <c r="K1" s="428"/>
      <c r="L1" s="428"/>
      <c r="M1" s="428"/>
      <c r="N1" s="428"/>
      <c r="O1" s="428"/>
      <c r="P1" s="428"/>
      <c r="Q1" s="428"/>
      <c r="R1" s="428"/>
    </row>
    <row r="2" spans="1:253" s="964" customFormat="1" ht="14.25" customHeight="1" x14ac:dyDescent="0.2">
      <c r="A2" s="835">
        <v>1</v>
      </c>
      <c r="B2" s="835" t="s">
        <v>24</v>
      </c>
      <c r="C2" s="835">
        <f>1+[7]Competitiveness!C2</f>
        <v>15</v>
      </c>
      <c r="D2" s="3623" t="s">
        <v>385</v>
      </c>
      <c r="E2" s="3624"/>
      <c r="F2" s="3624"/>
      <c r="G2" s="3624"/>
      <c r="H2" s="3624"/>
      <c r="I2" s="3624"/>
      <c r="J2" s="3625"/>
      <c r="K2" s="428"/>
      <c r="L2" s="428"/>
      <c r="M2" s="428"/>
      <c r="N2" s="428"/>
      <c r="O2" s="428"/>
      <c r="P2" s="428"/>
      <c r="Q2" s="428"/>
      <c r="R2" s="428"/>
    </row>
    <row r="3" spans="1:253" s="964" customFormat="1" ht="13.9" customHeight="1" x14ac:dyDescent="0.2">
      <c r="A3" s="835">
        <v>2</v>
      </c>
      <c r="B3" s="835" t="s">
        <v>26</v>
      </c>
      <c r="C3" s="835"/>
      <c r="D3" s="3632" t="s">
        <v>300</v>
      </c>
      <c r="E3" s="3633"/>
      <c r="F3" s="3633"/>
      <c r="G3" s="3633"/>
      <c r="H3" s="3633"/>
      <c r="I3" s="3633"/>
      <c r="J3" s="3634"/>
      <c r="K3" s="428"/>
      <c r="L3" s="428"/>
      <c r="M3" s="428"/>
      <c r="N3" s="428"/>
      <c r="O3" s="428"/>
      <c r="P3" s="428"/>
      <c r="Q3" s="428"/>
      <c r="R3" s="428"/>
    </row>
    <row r="4" spans="1:253" s="964" customFormat="1" ht="28.9" customHeight="1" x14ac:dyDescent="0.2">
      <c r="A4" s="835">
        <v>3</v>
      </c>
      <c r="B4" s="835" t="s">
        <v>28</v>
      </c>
      <c r="C4" s="835"/>
      <c r="D4" s="3632" t="s">
        <v>386</v>
      </c>
      <c r="E4" s="3633"/>
      <c r="F4" s="3633"/>
      <c r="G4" s="3633"/>
      <c r="H4" s="3633"/>
      <c r="I4" s="3633"/>
      <c r="J4" s="3634"/>
      <c r="K4" s="428"/>
      <c r="L4" s="428"/>
      <c r="M4" s="428"/>
      <c r="N4" s="428"/>
      <c r="O4" s="428"/>
      <c r="P4" s="428"/>
      <c r="Q4" s="428"/>
      <c r="R4" s="428"/>
    </row>
    <row r="5" spans="1:253" x14ac:dyDescent="0.25">
      <c r="A5" s="1687"/>
      <c r="B5" s="1688"/>
      <c r="C5" s="418"/>
      <c r="D5" s="428"/>
      <c r="E5" s="428"/>
      <c r="F5" s="428"/>
      <c r="G5" s="428"/>
      <c r="H5" s="428"/>
      <c r="I5" s="428"/>
      <c r="J5" s="428"/>
      <c r="K5" s="428"/>
      <c r="L5" s="428"/>
      <c r="M5" s="428"/>
      <c r="N5" s="428"/>
      <c r="O5" s="428"/>
      <c r="P5" s="428"/>
      <c r="Q5" s="428"/>
      <c r="R5" s="428"/>
      <c r="S5" s="1094"/>
    </row>
    <row r="6" spans="1:253" x14ac:dyDescent="0.25">
      <c r="A6" s="835">
        <v>4</v>
      </c>
      <c r="B6" s="418" t="s">
        <v>1</v>
      </c>
      <c r="C6" s="418"/>
      <c r="D6" s="424" t="s">
        <v>103</v>
      </c>
      <c r="E6" s="655" t="s">
        <v>387</v>
      </c>
      <c r="F6" s="440"/>
      <c r="G6" s="426"/>
      <c r="H6" s="428"/>
      <c r="I6" s="428"/>
      <c r="J6" s="428"/>
      <c r="K6" s="428"/>
      <c r="L6" s="428"/>
      <c r="M6" s="428"/>
      <c r="N6" s="428"/>
      <c r="O6" s="428"/>
      <c r="P6" s="428"/>
      <c r="Q6" s="428"/>
      <c r="R6" s="428"/>
      <c r="S6" s="1094"/>
    </row>
    <row r="7" spans="1:253" x14ac:dyDescent="0.25">
      <c r="A7" s="835"/>
      <c r="B7" s="418"/>
      <c r="C7" s="418"/>
      <c r="D7" s="3032"/>
      <c r="E7" s="444">
        <v>1995</v>
      </c>
      <c r="F7" s="445">
        <v>2007</v>
      </c>
      <c r="G7" s="445">
        <v>2008</v>
      </c>
      <c r="H7" s="445">
        <v>2009</v>
      </c>
      <c r="I7" s="3242">
        <v>2012</v>
      </c>
      <c r="J7" s="428"/>
      <c r="K7" s="428"/>
      <c r="L7" s="428"/>
      <c r="M7" s="428"/>
      <c r="N7" s="428"/>
      <c r="O7" s="428"/>
      <c r="P7" s="428"/>
      <c r="Q7" s="428"/>
      <c r="R7" s="428"/>
      <c r="S7" s="1094"/>
    </row>
    <row r="8" spans="1:253" x14ac:dyDescent="0.25">
      <c r="A8" s="835"/>
      <c r="B8" s="418"/>
      <c r="C8" s="418"/>
      <c r="D8" s="3033" t="s">
        <v>335</v>
      </c>
      <c r="E8" s="420">
        <v>29</v>
      </c>
      <c r="F8" s="446">
        <v>25</v>
      </c>
      <c r="G8" s="446">
        <v>21</v>
      </c>
      <c r="H8" s="446">
        <v>21</v>
      </c>
      <c r="I8" s="3243">
        <v>19</v>
      </c>
      <c r="J8" s="428"/>
      <c r="K8" s="428"/>
      <c r="L8" s="428"/>
      <c r="M8" s="428"/>
      <c r="N8" s="428"/>
      <c r="O8" s="428"/>
      <c r="P8" s="428"/>
      <c r="Q8" s="428"/>
      <c r="R8" s="428"/>
      <c r="S8" s="1094"/>
    </row>
    <row r="9" spans="1:253" x14ac:dyDescent="0.25">
      <c r="A9" s="835"/>
      <c r="B9" s="418"/>
      <c r="C9" s="418"/>
      <c r="D9" s="3033" t="s">
        <v>339</v>
      </c>
      <c r="E9" s="420">
        <v>31</v>
      </c>
      <c r="F9" s="446">
        <v>28</v>
      </c>
      <c r="G9" s="446">
        <v>28</v>
      </c>
      <c r="H9" s="446">
        <v>27</v>
      </c>
      <c r="I9" s="3243">
        <v>27</v>
      </c>
      <c r="J9" s="428"/>
      <c r="K9" s="428"/>
      <c r="L9" s="428"/>
      <c r="M9" s="428"/>
      <c r="N9" s="428"/>
      <c r="O9" s="428"/>
      <c r="P9" s="428"/>
      <c r="Q9" s="428"/>
      <c r="R9" s="428"/>
      <c r="S9" s="1094"/>
    </row>
    <row r="10" spans="1:253" x14ac:dyDescent="0.25">
      <c r="A10" s="835"/>
      <c r="B10" s="418"/>
      <c r="C10" s="418"/>
      <c r="D10" s="3033" t="s">
        <v>336</v>
      </c>
      <c r="E10" s="420">
        <v>44</v>
      </c>
      <c r="F10" s="446">
        <v>31</v>
      </c>
      <c r="G10" s="446">
        <v>30</v>
      </c>
      <c r="H10" s="446">
        <v>31</v>
      </c>
      <c r="I10" s="3243">
        <v>32</v>
      </c>
      <c r="J10" s="428"/>
      <c r="K10" s="428"/>
      <c r="L10" s="428"/>
      <c r="M10" s="428"/>
      <c r="N10" s="428"/>
      <c r="O10" s="428"/>
      <c r="P10" s="428"/>
      <c r="Q10" s="428"/>
      <c r="R10" s="428"/>
      <c r="S10" s="1094"/>
    </row>
    <row r="11" spans="1:253" x14ac:dyDescent="0.25">
      <c r="A11" s="835"/>
      <c r="B11" s="418"/>
      <c r="C11" s="418"/>
      <c r="D11" s="3033" t="s">
        <v>338</v>
      </c>
      <c r="E11" s="420">
        <v>43</v>
      </c>
      <c r="F11" s="446">
        <v>33</v>
      </c>
      <c r="G11" s="446">
        <v>32</v>
      </c>
      <c r="H11" s="446">
        <v>32</v>
      </c>
      <c r="I11" s="3243">
        <v>37</v>
      </c>
      <c r="J11" s="428"/>
      <c r="K11" s="428"/>
      <c r="L11" s="428"/>
      <c r="M11" s="428"/>
      <c r="N11" s="428"/>
      <c r="O11" s="428"/>
      <c r="P11" s="428"/>
      <c r="Q11" s="428"/>
      <c r="R11" s="428"/>
      <c r="S11" s="1094"/>
    </row>
    <row r="12" spans="1:253" x14ac:dyDescent="0.25">
      <c r="A12" s="835"/>
      <c r="B12" s="418"/>
      <c r="C12" s="418"/>
      <c r="D12" s="3232" t="s">
        <v>73</v>
      </c>
      <c r="E12" s="420">
        <v>37</v>
      </c>
      <c r="F12" s="447">
        <v>35</v>
      </c>
      <c r="G12" s="447">
        <v>36</v>
      </c>
      <c r="H12" s="447">
        <v>37</v>
      </c>
      <c r="I12" s="3244">
        <v>38</v>
      </c>
      <c r="J12" s="428"/>
      <c r="K12" s="428"/>
      <c r="L12" s="428"/>
      <c r="M12" s="428"/>
      <c r="N12" s="428"/>
      <c r="O12" s="428"/>
      <c r="P12" s="428"/>
      <c r="Q12" s="428"/>
      <c r="R12" s="428"/>
      <c r="S12" s="1094"/>
    </row>
    <row r="13" spans="1:253" x14ac:dyDescent="0.25">
      <c r="A13" s="835"/>
      <c r="B13" s="418"/>
      <c r="C13" s="418"/>
      <c r="D13" s="3033" t="s">
        <v>337</v>
      </c>
      <c r="E13" s="420">
        <v>34</v>
      </c>
      <c r="F13" s="446">
        <v>36</v>
      </c>
      <c r="G13" s="446">
        <v>37</v>
      </c>
      <c r="H13" s="446">
        <v>36</v>
      </c>
      <c r="I13" s="3243">
        <v>33</v>
      </c>
      <c r="J13" s="428"/>
      <c r="K13" s="428"/>
      <c r="L13" s="428"/>
      <c r="M13" s="428"/>
      <c r="N13" s="428"/>
      <c r="O13" s="428"/>
      <c r="P13" s="428"/>
      <c r="Q13" s="428"/>
      <c r="R13" s="428"/>
      <c r="S13" s="1094"/>
    </row>
    <row r="14" spans="1:253" x14ac:dyDescent="0.25">
      <c r="A14" s="835"/>
      <c r="B14" s="418"/>
      <c r="C14" s="418"/>
      <c r="D14" s="3033" t="s">
        <v>63</v>
      </c>
      <c r="E14" s="420">
        <v>36</v>
      </c>
      <c r="F14" s="446">
        <v>39</v>
      </c>
      <c r="G14" s="446">
        <v>40</v>
      </c>
      <c r="H14" s="446">
        <v>42</v>
      </c>
      <c r="I14" s="3243">
        <v>40</v>
      </c>
      <c r="J14" s="428"/>
      <c r="K14" s="428"/>
      <c r="L14" s="428"/>
      <c r="M14" s="428"/>
      <c r="N14" s="428"/>
      <c r="O14" s="428"/>
      <c r="P14" s="428"/>
      <c r="Q14" s="428"/>
      <c r="R14" s="428"/>
      <c r="S14" s="1094"/>
    </row>
    <row r="15" spans="1:253" x14ac:dyDescent="0.25">
      <c r="A15" s="835"/>
      <c r="B15" s="418"/>
      <c r="C15" s="418"/>
      <c r="D15" s="3033" t="s">
        <v>71</v>
      </c>
      <c r="E15" s="420">
        <v>48</v>
      </c>
      <c r="F15" s="448">
        <v>40</v>
      </c>
      <c r="G15" s="446">
        <v>48</v>
      </c>
      <c r="H15" s="446">
        <v>48</v>
      </c>
      <c r="I15" s="3243">
        <v>48</v>
      </c>
      <c r="J15" s="428"/>
      <c r="K15" s="428"/>
      <c r="L15" s="428"/>
      <c r="M15" s="428"/>
      <c r="N15" s="428"/>
      <c r="O15" s="428"/>
      <c r="P15" s="428"/>
      <c r="Q15" s="428"/>
      <c r="R15" s="428"/>
      <c r="S15" s="1094"/>
    </row>
    <row r="16" spans="1:253" x14ac:dyDescent="0.25">
      <c r="A16" s="835"/>
      <c r="B16" s="418"/>
      <c r="C16" s="418"/>
      <c r="D16" s="3033" t="s">
        <v>341</v>
      </c>
      <c r="E16" s="420">
        <v>57</v>
      </c>
      <c r="F16" s="446">
        <v>48</v>
      </c>
      <c r="G16" s="446">
        <v>43</v>
      </c>
      <c r="H16" s="446">
        <v>47</v>
      </c>
      <c r="I16" s="3243">
        <v>44</v>
      </c>
      <c r="J16" s="428"/>
      <c r="K16" s="428"/>
      <c r="L16" s="428"/>
      <c r="M16" s="428"/>
      <c r="N16" s="428"/>
      <c r="O16" s="428"/>
      <c r="P16" s="428"/>
      <c r="Q16" s="428"/>
      <c r="R16" s="428"/>
      <c r="S16" s="1094"/>
      <c r="T16" s="428"/>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8"/>
      <c r="AY16" s="428"/>
      <c r="AZ16" s="428"/>
      <c r="BA16" s="428"/>
      <c r="BB16" s="428"/>
      <c r="BC16" s="428"/>
      <c r="BD16" s="428"/>
      <c r="BE16" s="428"/>
      <c r="BF16" s="428"/>
      <c r="BG16" s="428"/>
      <c r="BH16" s="428"/>
      <c r="BI16" s="428"/>
      <c r="BJ16" s="428"/>
      <c r="BK16" s="428"/>
      <c r="BL16" s="428"/>
      <c r="BM16" s="428"/>
      <c r="BN16" s="428"/>
      <c r="BO16" s="428"/>
      <c r="BP16" s="428"/>
      <c r="BQ16" s="428"/>
      <c r="BR16" s="428"/>
      <c r="BS16" s="428"/>
      <c r="BT16" s="428"/>
      <c r="BU16" s="428"/>
      <c r="BV16" s="428"/>
      <c r="BW16" s="428"/>
      <c r="BX16" s="428"/>
      <c r="BY16" s="428"/>
      <c r="BZ16" s="428"/>
      <c r="CA16" s="428"/>
      <c r="CB16" s="428"/>
      <c r="CC16" s="428"/>
      <c r="CD16" s="428"/>
      <c r="CE16" s="428"/>
      <c r="CF16" s="428"/>
      <c r="CG16" s="428"/>
      <c r="CH16" s="428"/>
      <c r="CI16" s="428"/>
      <c r="CJ16" s="428"/>
      <c r="CK16" s="428"/>
      <c r="CL16" s="428"/>
      <c r="CM16" s="428"/>
      <c r="CN16" s="428"/>
      <c r="CO16" s="428"/>
      <c r="CP16" s="428"/>
      <c r="CQ16" s="428"/>
      <c r="CR16" s="428"/>
      <c r="CS16" s="428"/>
      <c r="CT16" s="428"/>
      <c r="CU16" s="428"/>
      <c r="CV16" s="428"/>
      <c r="CW16" s="428"/>
      <c r="CX16" s="428"/>
      <c r="CY16" s="428"/>
      <c r="CZ16" s="428"/>
      <c r="DA16" s="428"/>
      <c r="DB16" s="428"/>
      <c r="DC16" s="428"/>
      <c r="DD16" s="428"/>
      <c r="DE16" s="428"/>
      <c r="DF16" s="428"/>
      <c r="DG16" s="428"/>
      <c r="DH16" s="428"/>
      <c r="DI16" s="428"/>
      <c r="DJ16" s="428"/>
      <c r="DK16" s="428"/>
      <c r="DL16" s="428"/>
      <c r="DM16" s="428"/>
      <c r="DN16" s="428"/>
      <c r="DO16" s="428"/>
      <c r="DP16" s="428"/>
      <c r="DQ16" s="428"/>
      <c r="DR16" s="428"/>
      <c r="DS16" s="428"/>
      <c r="DT16" s="428"/>
      <c r="DU16" s="428"/>
      <c r="DV16" s="428"/>
      <c r="DW16" s="428"/>
      <c r="DX16" s="428"/>
      <c r="DY16" s="428"/>
      <c r="DZ16" s="428"/>
      <c r="EA16" s="428"/>
      <c r="EB16" s="428"/>
      <c r="EC16" s="428"/>
      <c r="ED16" s="428"/>
      <c r="EE16" s="428"/>
      <c r="EF16" s="428"/>
      <c r="EG16" s="428"/>
      <c r="EH16" s="428"/>
      <c r="EI16" s="428"/>
      <c r="EJ16" s="428"/>
      <c r="EK16" s="428"/>
      <c r="EL16" s="428"/>
      <c r="EM16" s="428"/>
      <c r="EN16" s="428"/>
      <c r="EO16" s="428"/>
      <c r="EP16" s="428"/>
      <c r="EQ16" s="428"/>
      <c r="ER16" s="428"/>
      <c r="ES16" s="428"/>
      <c r="ET16" s="428"/>
      <c r="EU16" s="428"/>
      <c r="EV16" s="428"/>
      <c r="EW16" s="428"/>
      <c r="EX16" s="428"/>
      <c r="EY16" s="428"/>
      <c r="EZ16" s="428"/>
      <c r="FA16" s="428"/>
      <c r="FB16" s="428"/>
      <c r="FC16" s="428"/>
      <c r="FD16" s="428"/>
      <c r="FE16" s="428"/>
      <c r="FF16" s="428"/>
      <c r="FG16" s="428"/>
      <c r="FH16" s="428"/>
      <c r="FI16" s="428"/>
      <c r="FJ16" s="428"/>
      <c r="FK16" s="428"/>
      <c r="FL16" s="428"/>
      <c r="FM16" s="428"/>
      <c r="FN16" s="428"/>
      <c r="FO16" s="428"/>
      <c r="FP16" s="428"/>
      <c r="FQ16" s="428"/>
      <c r="FR16" s="428"/>
      <c r="FS16" s="428"/>
      <c r="FT16" s="428"/>
      <c r="FU16" s="428"/>
      <c r="FV16" s="428"/>
      <c r="FW16" s="428"/>
      <c r="FX16" s="428"/>
      <c r="FY16" s="428"/>
      <c r="FZ16" s="428"/>
      <c r="GA16" s="428"/>
      <c r="GB16" s="428"/>
      <c r="GC16" s="428"/>
      <c r="GD16" s="428"/>
      <c r="GE16" s="428"/>
      <c r="GF16" s="428"/>
      <c r="GG16" s="428"/>
      <c r="GH16" s="428"/>
      <c r="GI16" s="428"/>
      <c r="GJ16" s="428"/>
      <c r="GK16" s="428"/>
      <c r="GL16" s="428"/>
      <c r="GM16" s="428"/>
      <c r="GN16" s="428"/>
      <c r="GO16" s="428"/>
      <c r="GP16" s="428"/>
      <c r="GQ16" s="428"/>
      <c r="GR16" s="428"/>
      <c r="GS16" s="428"/>
      <c r="GT16" s="428"/>
      <c r="GU16" s="428"/>
      <c r="GV16" s="428"/>
      <c r="GW16" s="428"/>
      <c r="GX16" s="428"/>
      <c r="GY16" s="428"/>
      <c r="GZ16" s="428"/>
      <c r="HA16" s="428"/>
      <c r="HB16" s="428"/>
      <c r="HC16" s="428"/>
      <c r="HD16" s="428"/>
      <c r="HE16" s="428"/>
      <c r="HF16" s="428"/>
      <c r="HG16" s="428"/>
      <c r="HH16" s="428"/>
      <c r="HI16" s="428"/>
      <c r="HJ16" s="428"/>
      <c r="HK16" s="428"/>
      <c r="HL16" s="428"/>
      <c r="HM16" s="428"/>
      <c r="HN16" s="428"/>
      <c r="HO16" s="428"/>
      <c r="HP16" s="428"/>
      <c r="HQ16" s="428"/>
      <c r="HR16" s="428"/>
      <c r="HS16" s="428"/>
      <c r="HT16" s="428"/>
      <c r="HU16" s="428"/>
      <c r="HV16" s="428"/>
      <c r="HW16" s="428"/>
      <c r="HX16" s="428"/>
      <c r="HY16" s="428"/>
      <c r="HZ16" s="428"/>
      <c r="IA16" s="428"/>
      <c r="IB16" s="428"/>
      <c r="IC16" s="428"/>
      <c r="ID16" s="428"/>
      <c r="IE16" s="428"/>
      <c r="IF16" s="428"/>
      <c r="IG16" s="428"/>
      <c r="IH16" s="428"/>
      <c r="II16" s="428"/>
      <c r="IJ16" s="428"/>
      <c r="IK16" s="428"/>
      <c r="IL16" s="428"/>
      <c r="IM16" s="428"/>
      <c r="IN16" s="428"/>
      <c r="IO16" s="428"/>
      <c r="IP16" s="428"/>
      <c r="IQ16" s="428"/>
      <c r="IR16" s="428"/>
      <c r="IS16" s="428"/>
    </row>
    <row r="17" spans="1:253" x14ac:dyDescent="0.25">
      <c r="A17" s="835"/>
      <c r="B17" s="418"/>
      <c r="C17" s="418"/>
      <c r="D17" s="3231" t="s">
        <v>0</v>
      </c>
      <c r="E17" s="433">
        <v>49</v>
      </c>
      <c r="F17" s="433">
        <v>50</v>
      </c>
      <c r="G17" s="433">
        <v>55</v>
      </c>
      <c r="H17" s="433">
        <v>65</v>
      </c>
      <c r="I17" s="3241">
        <v>67</v>
      </c>
      <c r="J17" s="428"/>
      <c r="K17" s="428"/>
      <c r="L17" s="428"/>
      <c r="M17" s="428"/>
      <c r="N17" s="428"/>
      <c r="O17" s="428"/>
      <c r="P17" s="428"/>
      <c r="Q17" s="428"/>
      <c r="R17" s="428"/>
      <c r="S17" s="1094"/>
      <c r="T17" s="428"/>
      <c r="U17" s="428"/>
      <c r="V17" s="428"/>
      <c r="W17" s="428"/>
      <c r="X17" s="428"/>
      <c r="Y17" s="428"/>
      <c r="Z17" s="428"/>
      <c r="AA17" s="428"/>
      <c r="AB17" s="428"/>
      <c r="AC17" s="428"/>
      <c r="AD17" s="428"/>
      <c r="AE17" s="428"/>
      <c r="AF17" s="428"/>
      <c r="AG17" s="428"/>
      <c r="AH17" s="428"/>
      <c r="AI17" s="428"/>
      <c r="AJ17" s="428"/>
      <c r="AK17" s="428"/>
      <c r="AL17" s="428"/>
      <c r="AM17" s="428"/>
      <c r="AN17" s="428"/>
      <c r="AO17" s="428"/>
      <c r="AP17" s="428"/>
      <c r="AQ17" s="428"/>
      <c r="AR17" s="428"/>
      <c r="AS17" s="428"/>
      <c r="AT17" s="428"/>
      <c r="AU17" s="428"/>
      <c r="AV17" s="428"/>
      <c r="AW17" s="428"/>
      <c r="AX17" s="428"/>
      <c r="AY17" s="428"/>
      <c r="AZ17" s="428"/>
      <c r="BA17" s="428"/>
      <c r="BB17" s="428"/>
      <c r="BC17" s="428"/>
      <c r="BD17" s="428"/>
      <c r="BE17" s="428"/>
      <c r="BF17" s="428"/>
      <c r="BG17" s="428"/>
      <c r="BH17" s="428"/>
      <c r="BI17" s="428"/>
      <c r="BJ17" s="428"/>
      <c r="BK17" s="428"/>
      <c r="BL17" s="428"/>
      <c r="BM17" s="428"/>
      <c r="BN17" s="428"/>
      <c r="BO17" s="428"/>
      <c r="BP17" s="428"/>
      <c r="BQ17" s="428"/>
      <c r="BR17" s="428"/>
      <c r="BS17" s="428"/>
      <c r="BT17" s="428"/>
      <c r="BU17" s="428"/>
      <c r="BV17" s="428"/>
      <c r="BW17" s="428"/>
      <c r="BX17" s="428"/>
      <c r="BY17" s="428"/>
      <c r="BZ17" s="428"/>
      <c r="CA17" s="428"/>
      <c r="CB17" s="428"/>
      <c r="CC17" s="428"/>
      <c r="CD17" s="428"/>
      <c r="CE17" s="428"/>
      <c r="CF17" s="428"/>
      <c r="CG17" s="428"/>
      <c r="CH17" s="428"/>
      <c r="CI17" s="428"/>
      <c r="CJ17" s="428"/>
      <c r="CK17" s="428"/>
      <c r="CL17" s="428"/>
      <c r="CM17" s="428"/>
      <c r="CN17" s="428"/>
      <c r="CO17" s="428"/>
      <c r="CP17" s="428"/>
      <c r="CQ17" s="428"/>
      <c r="CR17" s="428"/>
      <c r="CS17" s="428"/>
      <c r="CT17" s="428"/>
      <c r="CU17" s="428"/>
      <c r="CV17" s="428"/>
      <c r="CW17" s="428"/>
      <c r="CX17" s="428"/>
      <c r="CY17" s="428"/>
      <c r="CZ17" s="428"/>
      <c r="DA17" s="428"/>
      <c r="DB17" s="428"/>
      <c r="DC17" s="428"/>
      <c r="DD17" s="428"/>
      <c r="DE17" s="428"/>
      <c r="DF17" s="428"/>
      <c r="DG17" s="428"/>
      <c r="DH17" s="428"/>
      <c r="DI17" s="428"/>
      <c r="DJ17" s="428"/>
      <c r="DK17" s="428"/>
      <c r="DL17" s="428"/>
      <c r="DM17" s="428"/>
      <c r="DN17" s="428"/>
      <c r="DO17" s="428"/>
      <c r="DP17" s="428"/>
      <c r="DQ17" s="428"/>
      <c r="DR17" s="428"/>
      <c r="DS17" s="428"/>
      <c r="DT17" s="428"/>
      <c r="DU17" s="428"/>
      <c r="DV17" s="428"/>
      <c r="DW17" s="428"/>
      <c r="DX17" s="428"/>
      <c r="DY17" s="428"/>
      <c r="DZ17" s="428"/>
      <c r="EA17" s="428"/>
      <c r="EB17" s="428"/>
      <c r="EC17" s="428"/>
      <c r="ED17" s="428"/>
      <c r="EE17" s="428"/>
      <c r="EF17" s="428"/>
      <c r="EG17" s="428"/>
      <c r="EH17" s="428"/>
      <c r="EI17" s="428"/>
      <c r="EJ17" s="428"/>
      <c r="EK17" s="428"/>
      <c r="EL17" s="428"/>
      <c r="EM17" s="428"/>
      <c r="EN17" s="428"/>
      <c r="EO17" s="428"/>
      <c r="EP17" s="428"/>
      <c r="EQ17" s="428"/>
      <c r="ER17" s="428"/>
      <c r="ES17" s="428"/>
      <c r="ET17" s="428"/>
      <c r="EU17" s="428"/>
      <c r="EV17" s="428"/>
      <c r="EW17" s="428"/>
      <c r="EX17" s="428"/>
      <c r="EY17" s="428"/>
      <c r="EZ17" s="428"/>
      <c r="FA17" s="428"/>
      <c r="FB17" s="428"/>
      <c r="FC17" s="428"/>
      <c r="FD17" s="428"/>
      <c r="FE17" s="428"/>
      <c r="FF17" s="428"/>
      <c r="FG17" s="428"/>
      <c r="FH17" s="428"/>
      <c r="FI17" s="428"/>
      <c r="FJ17" s="428"/>
      <c r="FK17" s="428"/>
      <c r="FL17" s="428"/>
      <c r="FM17" s="428"/>
      <c r="FN17" s="428"/>
      <c r="FO17" s="428"/>
      <c r="FP17" s="428"/>
      <c r="FQ17" s="428"/>
      <c r="FR17" s="428"/>
      <c r="FS17" s="428"/>
      <c r="FT17" s="428"/>
      <c r="FU17" s="428"/>
      <c r="FV17" s="428"/>
      <c r="FW17" s="428"/>
      <c r="FX17" s="428"/>
      <c r="FY17" s="428"/>
      <c r="FZ17" s="428"/>
      <c r="GA17" s="428"/>
      <c r="GB17" s="428"/>
      <c r="GC17" s="428"/>
      <c r="GD17" s="428"/>
      <c r="GE17" s="428"/>
      <c r="GF17" s="428"/>
      <c r="GG17" s="428"/>
      <c r="GH17" s="428"/>
      <c r="GI17" s="428"/>
      <c r="GJ17" s="428"/>
      <c r="GK17" s="428"/>
      <c r="GL17" s="428"/>
      <c r="GM17" s="428"/>
      <c r="GN17" s="428"/>
      <c r="GO17" s="428"/>
      <c r="GP17" s="428"/>
      <c r="GQ17" s="428"/>
      <c r="GR17" s="428"/>
      <c r="GS17" s="428"/>
      <c r="GT17" s="428"/>
      <c r="GU17" s="428"/>
      <c r="GV17" s="428"/>
      <c r="GW17" s="428"/>
      <c r="GX17" s="428"/>
      <c r="GY17" s="428"/>
      <c r="GZ17" s="428"/>
      <c r="HA17" s="428"/>
      <c r="HB17" s="428"/>
      <c r="HC17" s="428"/>
      <c r="HD17" s="428"/>
      <c r="HE17" s="428"/>
      <c r="HF17" s="428"/>
      <c r="HG17" s="428"/>
      <c r="HH17" s="428"/>
      <c r="HI17" s="428"/>
      <c r="HJ17" s="428"/>
      <c r="HK17" s="428"/>
      <c r="HL17" s="428"/>
      <c r="HM17" s="428"/>
      <c r="HN17" s="428"/>
      <c r="HO17" s="428"/>
      <c r="HP17" s="428"/>
      <c r="HQ17" s="428"/>
      <c r="HR17" s="428"/>
      <c r="HS17" s="428"/>
      <c r="HT17" s="428"/>
      <c r="HU17" s="428"/>
      <c r="HV17" s="428"/>
      <c r="HW17" s="428"/>
      <c r="HX17" s="428"/>
      <c r="HY17" s="428"/>
      <c r="HZ17" s="428"/>
      <c r="IA17" s="428"/>
      <c r="IB17" s="428"/>
      <c r="IC17" s="428"/>
      <c r="ID17" s="428"/>
      <c r="IE17" s="428"/>
      <c r="IF17" s="428"/>
      <c r="IG17" s="428"/>
      <c r="IH17" s="428"/>
      <c r="II17" s="428"/>
      <c r="IJ17" s="428"/>
      <c r="IK17" s="428"/>
      <c r="IL17" s="428"/>
      <c r="IM17" s="428"/>
      <c r="IN17" s="428"/>
      <c r="IO17" s="428"/>
      <c r="IP17" s="428"/>
      <c r="IQ17" s="428"/>
      <c r="IR17" s="428"/>
      <c r="IS17" s="428"/>
    </row>
    <row r="18" spans="1:253" x14ac:dyDescent="0.25">
      <c r="A18" s="835"/>
      <c r="B18" s="418"/>
      <c r="C18" s="418"/>
      <c r="D18" s="3033" t="s">
        <v>72</v>
      </c>
      <c r="E18" s="420">
        <v>55</v>
      </c>
      <c r="F18" s="446">
        <v>59</v>
      </c>
      <c r="G18" s="446">
        <v>59</v>
      </c>
      <c r="H18" s="446">
        <v>67</v>
      </c>
      <c r="I18" s="3243">
        <v>72</v>
      </c>
      <c r="J18" s="428"/>
      <c r="K18" s="428"/>
      <c r="L18" s="428"/>
      <c r="M18" s="428"/>
      <c r="N18" s="428"/>
      <c r="O18" s="428"/>
      <c r="P18" s="428"/>
      <c r="Q18" s="428"/>
      <c r="R18" s="428"/>
      <c r="S18" s="1094"/>
      <c r="T18" s="428"/>
      <c r="U18" s="428"/>
      <c r="V18" s="428"/>
      <c r="W18" s="428"/>
      <c r="X18" s="428"/>
      <c r="Y18" s="428"/>
      <c r="Z18" s="428"/>
      <c r="AA18" s="428"/>
      <c r="AB18" s="428"/>
      <c r="AC18" s="428"/>
      <c r="AD18" s="428"/>
      <c r="AE18" s="428"/>
      <c r="AF18" s="428"/>
      <c r="AG18" s="428"/>
      <c r="AH18" s="428"/>
      <c r="AI18" s="428"/>
      <c r="AJ18" s="428"/>
      <c r="AK18" s="428"/>
      <c r="AL18" s="428"/>
      <c r="AM18" s="428"/>
      <c r="AN18" s="428"/>
      <c r="AO18" s="428"/>
      <c r="AP18" s="428"/>
      <c r="AQ18" s="428"/>
      <c r="AR18" s="428"/>
      <c r="AS18" s="428"/>
      <c r="AT18" s="428"/>
      <c r="AU18" s="428"/>
      <c r="AV18" s="428"/>
      <c r="AW18" s="428"/>
      <c r="AX18" s="428"/>
      <c r="AY18" s="428"/>
      <c r="AZ18" s="428"/>
      <c r="BA18" s="428"/>
      <c r="BB18" s="428"/>
      <c r="BC18" s="428"/>
      <c r="BD18" s="428"/>
      <c r="BE18" s="428"/>
      <c r="BF18" s="428"/>
      <c r="BG18" s="428"/>
      <c r="BH18" s="428"/>
      <c r="BI18" s="428"/>
      <c r="BJ18" s="428"/>
      <c r="BK18" s="428"/>
      <c r="BL18" s="428"/>
      <c r="BM18" s="428"/>
      <c r="BN18" s="428"/>
      <c r="BO18" s="428"/>
      <c r="BP18" s="428"/>
      <c r="BQ18" s="428"/>
      <c r="BR18" s="428"/>
      <c r="BS18" s="428"/>
      <c r="BT18" s="428"/>
      <c r="BU18" s="428"/>
      <c r="BV18" s="428"/>
      <c r="BW18" s="428"/>
      <c r="BX18" s="428"/>
      <c r="BY18" s="428"/>
      <c r="BZ18" s="428"/>
      <c r="CA18" s="428"/>
      <c r="CB18" s="428"/>
      <c r="CC18" s="428"/>
      <c r="CD18" s="428"/>
      <c r="CE18" s="428"/>
      <c r="CF18" s="428"/>
      <c r="CG18" s="428"/>
      <c r="CH18" s="428"/>
      <c r="CI18" s="428"/>
      <c r="CJ18" s="428"/>
      <c r="CK18" s="428"/>
      <c r="CL18" s="428"/>
      <c r="CM18" s="428"/>
      <c r="CN18" s="428"/>
      <c r="CO18" s="428"/>
      <c r="CP18" s="428"/>
      <c r="CQ18" s="428"/>
      <c r="CR18" s="428"/>
      <c r="CS18" s="428"/>
      <c r="CT18" s="428"/>
      <c r="CU18" s="428"/>
      <c r="CV18" s="428"/>
      <c r="CW18" s="428"/>
      <c r="CX18" s="428"/>
      <c r="CY18" s="428"/>
      <c r="CZ18" s="428"/>
      <c r="DA18" s="428"/>
      <c r="DB18" s="428"/>
      <c r="DC18" s="428"/>
      <c r="DD18" s="428"/>
      <c r="DE18" s="428"/>
      <c r="DF18" s="428"/>
      <c r="DG18" s="428"/>
      <c r="DH18" s="428"/>
      <c r="DI18" s="428"/>
      <c r="DJ18" s="428"/>
      <c r="DK18" s="428"/>
      <c r="DL18" s="428"/>
      <c r="DM18" s="428"/>
      <c r="DN18" s="428"/>
      <c r="DO18" s="428"/>
      <c r="DP18" s="428"/>
      <c r="DQ18" s="428"/>
      <c r="DR18" s="428"/>
      <c r="DS18" s="428"/>
      <c r="DT18" s="428"/>
      <c r="DU18" s="428"/>
      <c r="DV18" s="428"/>
      <c r="DW18" s="428"/>
      <c r="DX18" s="428"/>
      <c r="DY18" s="428"/>
      <c r="DZ18" s="428"/>
      <c r="EA18" s="428"/>
      <c r="EB18" s="428"/>
      <c r="EC18" s="428"/>
      <c r="ED18" s="428"/>
      <c r="EE18" s="428"/>
      <c r="EF18" s="428"/>
      <c r="EG18" s="428"/>
      <c r="EH18" s="428"/>
      <c r="EI18" s="428"/>
      <c r="EJ18" s="428"/>
      <c r="EK18" s="428"/>
      <c r="EL18" s="428"/>
      <c r="EM18" s="428"/>
      <c r="EN18" s="428"/>
      <c r="EO18" s="428"/>
      <c r="EP18" s="428"/>
      <c r="EQ18" s="428"/>
      <c r="ER18" s="428"/>
      <c r="ES18" s="428"/>
      <c r="ET18" s="428"/>
      <c r="EU18" s="428"/>
      <c r="EV18" s="428"/>
      <c r="EW18" s="428"/>
      <c r="EX18" s="428"/>
      <c r="EY18" s="428"/>
      <c r="EZ18" s="428"/>
      <c r="FA18" s="428"/>
      <c r="FB18" s="428"/>
      <c r="FC18" s="428"/>
      <c r="FD18" s="428"/>
      <c r="FE18" s="428"/>
      <c r="FF18" s="428"/>
      <c r="FG18" s="428"/>
      <c r="FH18" s="428"/>
      <c r="FI18" s="428"/>
      <c r="FJ18" s="428"/>
      <c r="FK18" s="428"/>
      <c r="FL18" s="428"/>
      <c r="FM18" s="428"/>
      <c r="FN18" s="428"/>
      <c r="FO18" s="428"/>
      <c r="FP18" s="428"/>
      <c r="FQ18" s="428"/>
      <c r="FR18" s="428"/>
      <c r="FS18" s="428"/>
      <c r="FT18" s="428"/>
      <c r="FU18" s="428"/>
      <c r="FV18" s="428"/>
      <c r="FW18" s="428"/>
      <c r="FX18" s="428"/>
      <c r="FY18" s="428"/>
      <c r="FZ18" s="428"/>
      <c r="GA18" s="428"/>
      <c r="GB18" s="428"/>
      <c r="GC18" s="428"/>
      <c r="GD18" s="428"/>
      <c r="GE18" s="428"/>
      <c r="GF18" s="428"/>
      <c r="GG18" s="428"/>
      <c r="GH18" s="428"/>
      <c r="GI18" s="428"/>
      <c r="GJ18" s="428"/>
      <c r="GK18" s="428"/>
      <c r="GL18" s="428"/>
      <c r="GM18" s="428"/>
      <c r="GN18" s="428"/>
      <c r="GO18" s="428"/>
      <c r="GP18" s="428"/>
      <c r="GQ18" s="428"/>
      <c r="GR18" s="428"/>
      <c r="GS18" s="428"/>
      <c r="GT18" s="428"/>
      <c r="GU18" s="428"/>
      <c r="GV18" s="428"/>
      <c r="GW18" s="428"/>
      <c r="GX18" s="428"/>
      <c r="GY18" s="428"/>
      <c r="GZ18" s="428"/>
      <c r="HA18" s="428"/>
      <c r="HB18" s="428"/>
      <c r="HC18" s="428"/>
      <c r="HD18" s="428"/>
      <c r="HE18" s="428"/>
      <c r="HF18" s="428"/>
      <c r="HG18" s="428"/>
      <c r="HH18" s="428"/>
      <c r="HI18" s="428"/>
      <c r="HJ18" s="428"/>
      <c r="HK18" s="428"/>
      <c r="HL18" s="428"/>
      <c r="HM18" s="428"/>
      <c r="HN18" s="428"/>
      <c r="HO18" s="428"/>
      <c r="HP18" s="428"/>
      <c r="HQ18" s="428"/>
      <c r="HR18" s="428"/>
      <c r="HS18" s="428"/>
      <c r="HT18" s="428"/>
      <c r="HU18" s="428"/>
      <c r="HV18" s="428"/>
      <c r="HW18" s="428"/>
      <c r="HX18" s="428"/>
      <c r="HY18" s="428"/>
      <c r="HZ18" s="428"/>
      <c r="IA18" s="428"/>
      <c r="IB18" s="428"/>
      <c r="IC18" s="428"/>
      <c r="ID18" s="428"/>
      <c r="IE18" s="428"/>
      <c r="IF18" s="428"/>
      <c r="IG18" s="428"/>
      <c r="IH18" s="428"/>
      <c r="II18" s="428"/>
      <c r="IJ18" s="428"/>
      <c r="IK18" s="428"/>
      <c r="IL18" s="428"/>
      <c r="IM18" s="428"/>
      <c r="IN18" s="428"/>
      <c r="IO18" s="428"/>
      <c r="IP18" s="428"/>
      <c r="IQ18" s="428"/>
      <c r="IR18" s="428"/>
      <c r="IS18" s="428"/>
    </row>
    <row r="19" spans="1:253" s="432" customFormat="1" ht="12" x14ac:dyDescent="0.2">
      <c r="A19" s="1224"/>
      <c r="B19" s="1222"/>
      <c r="C19" s="1222"/>
      <c r="D19" s="3033" t="s">
        <v>61</v>
      </c>
      <c r="E19" s="420">
        <v>64</v>
      </c>
      <c r="F19" s="446">
        <v>54</v>
      </c>
      <c r="G19" s="446">
        <v>54</v>
      </c>
      <c r="H19" s="446">
        <v>54</v>
      </c>
      <c r="I19" s="3243">
        <v>60</v>
      </c>
      <c r="J19" s="428"/>
      <c r="K19" s="428"/>
      <c r="L19" s="428"/>
      <c r="M19" s="428"/>
      <c r="N19" s="428"/>
      <c r="O19" s="428"/>
      <c r="P19" s="428"/>
      <c r="Q19" s="428"/>
      <c r="R19" s="428"/>
    </row>
    <row r="20" spans="1:253" s="420" customFormat="1" ht="12" x14ac:dyDescent="0.2">
      <c r="A20" s="1708"/>
      <c r="B20" s="1709"/>
      <c r="C20" s="1709"/>
      <c r="D20" s="3033" t="s">
        <v>340</v>
      </c>
      <c r="E20" s="420">
        <v>62</v>
      </c>
      <c r="F20" s="446">
        <v>64</v>
      </c>
      <c r="G20" s="446">
        <v>64</v>
      </c>
      <c r="H20" s="446">
        <v>64</v>
      </c>
      <c r="I20" s="3243">
        <v>62</v>
      </c>
      <c r="J20" s="428"/>
      <c r="K20" s="428"/>
      <c r="L20" s="428"/>
      <c r="M20" s="428"/>
      <c r="N20" s="428"/>
      <c r="O20" s="428"/>
      <c r="P20" s="428"/>
      <c r="Q20" s="428"/>
      <c r="R20" s="428"/>
    </row>
    <row r="21" spans="1:253" s="446" customFormat="1" ht="12" x14ac:dyDescent="0.2">
      <c r="A21" s="1713"/>
      <c r="B21" s="1714"/>
      <c r="C21" s="1714"/>
      <c r="D21" s="3040" t="s">
        <v>60</v>
      </c>
      <c r="E21" s="422">
        <v>78</v>
      </c>
      <c r="F21" s="450">
        <v>84</v>
      </c>
      <c r="G21" s="450">
        <v>85</v>
      </c>
      <c r="H21" s="450">
        <v>95</v>
      </c>
      <c r="I21" s="3245">
        <v>85</v>
      </c>
      <c r="J21" s="428"/>
      <c r="K21" s="428"/>
      <c r="L21" s="428"/>
      <c r="M21" s="428"/>
      <c r="N21" s="428"/>
      <c r="O21" s="428"/>
      <c r="P21" s="428"/>
      <c r="Q21" s="428"/>
      <c r="R21" s="428"/>
      <c r="T21" s="420"/>
      <c r="U21" s="420"/>
      <c r="V21" s="420"/>
      <c r="W21" s="420"/>
      <c r="X21" s="420"/>
      <c r="Y21" s="420"/>
      <c r="Z21" s="420"/>
      <c r="AA21" s="420"/>
      <c r="AB21" s="420"/>
      <c r="AC21" s="420"/>
      <c r="AD21" s="420"/>
      <c r="AE21" s="420"/>
      <c r="AF21" s="420"/>
      <c r="AG21" s="420"/>
      <c r="AH21" s="420"/>
      <c r="AI21" s="420"/>
      <c r="AJ21" s="420"/>
      <c r="AK21" s="420"/>
      <c r="AL21" s="420"/>
      <c r="AM21" s="420"/>
      <c r="AN21" s="420"/>
      <c r="AO21" s="420"/>
      <c r="AP21" s="420"/>
      <c r="AQ21" s="420"/>
      <c r="AR21" s="420"/>
      <c r="AS21" s="420"/>
      <c r="AT21" s="420"/>
      <c r="AU21" s="420"/>
      <c r="AV21" s="420"/>
      <c r="AW21" s="420"/>
      <c r="AX21" s="420"/>
      <c r="AY21" s="420"/>
      <c r="AZ21" s="420"/>
      <c r="BA21" s="420"/>
      <c r="BB21" s="420"/>
      <c r="BC21" s="420"/>
      <c r="BD21" s="420"/>
      <c r="BE21" s="420"/>
      <c r="BF21" s="420"/>
      <c r="BG21" s="420"/>
      <c r="BH21" s="420"/>
      <c r="BI21" s="420"/>
      <c r="BJ21" s="420"/>
      <c r="BK21" s="420"/>
      <c r="BL21" s="420"/>
      <c r="BM21" s="420"/>
      <c r="BN21" s="420"/>
      <c r="BO21" s="420"/>
      <c r="BP21" s="420"/>
      <c r="BQ21" s="420"/>
      <c r="BR21" s="420"/>
      <c r="BS21" s="420"/>
      <c r="BT21" s="420"/>
      <c r="BU21" s="420"/>
      <c r="BV21" s="420"/>
      <c r="BW21" s="420"/>
      <c r="BX21" s="420"/>
      <c r="BY21" s="420"/>
      <c r="BZ21" s="420"/>
      <c r="CA21" s="420"/>
      <c r="CB21" s="420"/>
      <c r="CC21" s="420"/>
      <c r="CD21" s="420"/>
      <c r="CE21" s="420"/>
      <c r="CF21" s="420"/>
      <c r="CG21" s="420"/>
      <c r="CH21" s="420"/>
      <c r="CI21" s="420"/>
      <c r="CJ21" s="420"/>
      <c r="CK21" s="420"/>
      <c r="CL21" s="420"/>
      <c r="CM21" s="420"/>
      <c r="CN21" s="420"/>
      <c r="CO21" s="420"/>
      <c r="CP21" s="420"/>
      <c r="CQ21" s="420"/>
      <c r="CR21" s="420"/>
      <c r="CS21" s="420"/>
      <c r="CT21" s="420"/>
      <c r="CU21" s="420"/>
      <c r="CV21" s="420"/>
      <c r="CW21" s="420"/>
      <c r="CX21" s="420"/>
      <c r="CY21" s="420"/>
      <c r="CZ21" s="420"/>
      <c r="DA21" s="420"/>
      <c r="DB21" s="420"/>
      <c r="DC21" s="420"/>
      <c r="DD21" s="420"/>
      <c r="DE21" s="420"/>
      <c r="DF21" s="420"/>
      <c r="DG21" s="420"/>
      <c r="DH21" s="420"/>
      <c r="DI21" s="420"/>
      <c r="DJ21" s="420"/>
      <c r="DK21" s="420"/>
      <c r="DL21" s="420"/>
      <c r="DM21" s="420"/>
      <c r="DN21" s="420"/>
      <c r="DO21" s="420"/>
      <c r="DP21" s="420"/>
      <c r="DQ21" s="420"/>
      <c r="DR21" s="420"/>
      <c r="DS21" s="420"/>
      <c r="DT21" s="420"/>
      <c r="DU21" s="420"/>
      <c r="DV21" s="420"/>
      <c r="DW21" s="420"/>
      <c r="DX21" s="420"/>
      <c r="DY21" s="420"/>
      <c r="DZ21" s="420"/>
      <c r="EA21" s="420"/>
      <c r="EB21" s="420"/>
      <c r="EC21" s="420"/>
      <c r="ED21" s="420"/>
      <c r="EE21" s="420"/>
      <c r="EF21" s="420"/>
      <c r="EG21" s="420"/>
      <c r="EH21" s="420"/>
      <c r="EI21" s="420"/>
      <c r="EJ21" s="420"/>
      <c r="EK21" s="420"/>
      <c r="EL21" s="420"/>
      <c r="EM21" s="420"/>
      <c r="EN21" s="420"/>
      <c r="EO21" s="420"/>
      <c r="EP21" s="420"/>
      <c r="EQ21" s="420"/>
      <c r="ER21" s="420"/>
      <c r="ES21" s="420"/>
      <c r="ET21" s="420"/>
      <c r="EU21" s="420"/>
      <c r="EV21" s="420"/>
      <c r="EW21" s="420"/>
      <c r="EX21" s="420"/>
      <c r="EY21" s="420"/>
      <c r="EZ21" s="420"/>
      <c r="FA21" s="420"/>
      <c r="FB21" s="420"/>
      <c r="FC21" s="420"/>
      <c r="FD21" s="420"/>
      <c r="FE21" s="420"/>
      <c r="FF21" s="420"/>
      <c r="FG21" s="420"/>
      <c r="FH21" s="420"/>
      <c r="FI21" s="420"/>
      <c r="FJ21" s="420"/>
      <c r="FK21" s="420"/>
      <c r="FL21" s="420"/>
      <c r="FM21" s="420"/>
      <c r="FN21" s="420"/>
      <c r="FO21" s="420"/>
      <c r="FP21" s="420"/>
      <c r="FQ21" s="420"/>
      <c r="FR21" s="420"/>
      <c r="FS21" s="420"/>
      <c r="FT21" s="420"/>
      <c r="FU21" s="420"/>
      <c r="FV21" s="420"/>
      <c r="FW21" s="420"/>
      <c r="FX21" s="420"/>
      <c r="FY21" s="420"/>
      <c r="FZ21" s="420"/>
      <c r="GA21" s="420"/>
      <c r="GB21" s="420"/>
      <c r="GC21" s="420"/>
      <c r="GD21" s="420"/>
      <c r="GE21" s="420"/>
      <c r="GF21" s="420"/>
      <c r="GG21" s="420"/>
      <c r="GH21" s="420"/>
      <c r="GI21" s="420"/>
      <c r="GJ21" s="420"/>
      <c r="GK21" s="420"/>
      <c r="GL21" s="420"/>
      <c r="GM21" s="420"/>
      <c r="GN21" s="420"/>
      <c r="GO21" s="420"/>
      <c r="GP21" s="420"/>
      <c r="GQ21" s="420"/>
      <c r="GR21" s="420"/>
      <c r="GS21" s="420"/>
      <c r="GT21" s="420"/>
      <c r="GU21" s="420"/>
      <c r="GV21" s="420"/>
      <c r="GW21" s="420"/>
      <c r="GX21" s="420"/>
      <c r="GY21" s="420"/>
      <c r="GZ21" s="420"/>
      <c r="HA21" s="420"/>
      <c r="HB21" s="420"/>
      <c r="HC21" s="420"/>
      <c r="HD21" s="420"/>
      <c r="HE21" s="420"/>
      <c r="HF21" s="420"/>
      <c r="HG21" s="420"/>
      <c r="HH21" s="420"/>
      <c r="HI21" s="420"/>
      <c r="HJ21" s="420"/>
      <c r="HK21" s="420"/>
      <c r="HL21" s="420"/>
      <c r="HM21" s="420"/>
      <c r="HN21" s="420"/>
      <c r="HO21" s="420"/>
      <c r="HP21" s="420"/>
      <c r="HQ21" s="420"/>
      <c r="HR21" s="420"/>
      <c r="HS21" s="420"/>
      <c r="HT21" s="420"/>
      <c r="HU21" s="420"/>
      <c r="HV21" s="420"/>
      <c r="HW21" s="420"/>
      <c r="HX21" s="420"/>
      <c r="HY21" s="420"/>
      <c r="HZ21" s="420"/>
      <c r="IA21" s="420"/>
      <c r="IB21" s="420"/>
      <c r="IC21" s="420"/>
      <c r="ID21" s="420"/>
      <c r="IE21" s="420"/>
      <c r="IF21" s="420"/>
      <c r="IG21" s="420"/>
      <c r="IH21" s="420"/>
      <c r="II21" s="420"/>
      <c r="IJ21" s="420"/>
      <c r="IK21" s="420"/>
      <c r="IL21" s="420"/>
      <c r="IM21" s="420"/>
      <c r="IN21" s="420"/>
      <c r="IO21" s="420"/>
      <c r="IP21" s="420"/>
      <c r="IQ21" s="420"/>
      <c r="IR21" s="420"/>
      <c r="IS21" s="420"/>
    </row>
    <row r="22" spans="1:253" s="452" customFormat="1" ht="12" x14ac:dyDescent="0.2">
      <c r="A22" s="2652"/>
      <c r="B22" s="2653"/>
      <c r="C22" s="2653"/>
      <c r="D22" s="451"/>
      <c r="G22" s="420"/>
      <c r="I22" s="420"/>
      <c r="J22" s="428"/>
      <c r="K22" s="428"/>
      <c r="L22" s="428"/>
      <c r="M22" s="428"/>
      <c r="N22" s="428"/>
      <c r="O22" s="428"/>
      <c r="P22" s="428"/>
      <c r="Q22" s="428"/>
      <c r="R22" s="428"/>
    </row>
    <row r="24" spans="1:253" s="964" customFormat="1" ht="14.25" customHeight="1" x14ac:dyDescent="0.2">
      <c r="A24" s="963">
        <v>5</v>
      </c>
      <c r="B24" s="963" t="s">
        <v>78</v>
      </c>
      <c r="C24" s="835"/>
      <c r="D24" s="3615" t="s">
        <v>352</v>
      </c>
      <c r="E24" s="3616"/>
      <c r="F24" s="3616"/>
      <c r="G24" s="3616"/>
      <c r="H24" s="3616"/>
      <c r="I24" s="3616"/>
      <c r="J24" s="3617"/>
      <c r="K24" s="428"/>
      <c r="L24" s="428"/>
      <c r="M24" s="428"/>
      <c r="N24" s="428"/>
      <c r="O24" s="428"/>
      <c r="P24" s="428"/>
      <c r="Q24" s="428"/>
      <c r="R24" s="428"/>
    </row>
    <row r="25" spans="1:253" s="964" customFormat="1" ht="62.45" customHeight="1" x14ac:dyDescent="0.2">
      <c r="A25" s="963">
        <v>6</v>
      </c>
      <c r="B25" s="963" t="s">
        <v>80</v>
      </c>
      <c r="C25" s="963"/>
      <c r="D25" s="3615" t="s">
        <v>388</v>
      </c>
      <c r="E25" s="3616"/>
      <c r="F25" s="3616"/>
      <c r="G25" s="3616"/>
      <c r="H25" s="3616"/>
      <c r="I25" s="3616"/>
      <c r="J25" s="3617"/>
      <c r="K25" s="428"/>
      <c r="L25" s="428"/>
      <c r="M25" s="428"/>
      <c r="N25" s="428"/>
      <c r="O25" s="428"/>
      <c r="P25" s="428"/>
      <c r="Q25" s="428"/>
      <c r="R25" s="428"/>
    </row>
    <row r="26" spans="1:253" s="964" customFormat="1" ht="108.6" customHeight="1" x14ac:dyDescent="0.2">
      <c r="A26" s="963">
        <v>7</v>
      </c>
      <c r="B26" s="963" t="s">
        <v>22</v>
      </c>
      <c r="C26" s="963"/>
      <c r="D26" s="3615" t="s">
        <v>389</v>
      </c>
      <c r="E26" s="3616"/>
      <c r="F26" s="3616"/>
      <c r="G26" s="3616"/>
      <c r="H26" s="3616"/>
      <c r="I26" s="3616"/>
      <c r="J26" s="3617"/>
      <c r="K26" s="428"/>
      <c r="L26" s="428"/>
      <c r="M26" s="428"/>
      <c r="N26" s="428"/>
      <c r="O26" s="428"/>
      <c r="P26" s="428"/>
      <c r="Q26" s="428"/>
      <c r="R26" s="428"/>
    </row>
    <row r="27" spans="1:253" s="964" customFormat="1" ht="14.25" customHeight="1" x14ac:dyDescent="0.2">
      <c r="A27" s="835">
        <v>8</v>
      </c>
      <c r="B27" s="835" t="s">
        <v>20</v>
      </c>
      <c r="C27" s="835"/>
      <c r="D27" s="3629" t="s">
        <v>326</v>
      </c>
      <c r="E27" s="3630"/>
      <c r="F27" s="3630"/>
      <c r="G27" s="3630"/>
      <c r="H27" s="3630"/>
      <c r="I27" s="3630"/>
      <c r="J27" s="3631"/>
      <c r="K27" s="428"/>
      <c r="L27" s="428"/>
      <c r="M27" s="428"/>
      <c r="N27" s="428"/>
      <c r="O27" s="428"/>
      <c r="P27" s="428"/>
      <c r="Q27" s="428"/>
      <c r="R27" s="428"/>
    </row>
  </sheetData>
  <mergeCells count="7">
    <mergeCell ref="D26:J26"/>
    <mergeCell ref="D27:J27"/>
    <mergeCell ref="D2:J2"/>
    <mergeCell ref="D3:J3"/>
    <mergeCell ref="D4:J4"/>
    <mergeCell ref="D24:J24"/>
    <mergeCell ref="D25:J25"/>
  </mergeCells>
  <pageMargins left="0.74803149606299213" right="0.74803149606299213" top="0.98425196850393704" bottom="0.98425196850393704" header="0.51181102362204722" footer="0.51181102362204722"/>
  <pageSetup paperSize="9" scale="81" orientation="landscape" r:id="rId1"/>
  <headerFooter alignWithMargins="0">
    <oddHeader>&amp;C&amp;"-,Bold"DEVELOPMENT INDICATORS 2014</oddHeader>
    <oddFooter>&amp;LDepartment of Planning, Monitoring and Evaluation (DPME). &amp;CPage &amp;P of &amp;N&amp;R&amp;D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54"/>
  <sheetViews>
    <sheetView showGridLines="0" view="pageBreakPreview" topLeftCell="C1" zoomScaleNormal="100" zoomScaleSheetLayoutView="100" workbookViewId="0">
      <selection activeCell="T13" sqref="T13:T15"/>
    </sheetView>
  </sheetViews>
  <sheetFormatPr defaultColWidth="9.140625" defaultRowHeight="15" x14ac:dyDescent="0.25"/>
  <cols>
    <col min="1" max="1" width="3.7109375" style="113" customWidth="1"/>
    <col min="2" max="2" width="18.7109375" style="110" customWidth="1"/>
    <col min="3" max="3" width="3.7109375" style="111" customWidth="1"/>
    <col min="4" max="4" width="24.42578125" style="51" customWidth="1"/>
    <col min="5" max="7" width="8.28515625" style="51" customWidth="1"/>
    <col min="8" max="8" width="8.28515625" style="456" customWidth="1"/>
    <col min="9" max="9" width="8.28515625" style="51" customWidth="1"/>
    <col min="10" max="10" width="8.28515625" style="456" customWidth="1"/>
    <col min="11" max="11" width="8.28515625" style="51" customWidth="1"/>
    <col min="12" max="12" width="9.140625" style="456"/>
    <col min="13" max="13" width="9.140625" style="51"/>
    <col min="14" max="14" width="9.140625" style="456"/>
    <col min="15" max="15" width="9.140625" style="51"/>
    <col min="16" max="16" width="9.140625" style="456"/>
    <col min="17" max="17" width="9.140625" style="51"/>
    <col min="18" max="18" width="9.140625" style="456"/>
    <col min="19" max="16384" width="9.140625" style="51"/>
  </cols>
  <sheetData>
    <row r="1" spans="1:20" x14ac:dyDescent="0.25">
      <c r="A1" s="453"/>
      <c r="B1" s="454"/>
      <c r="C1" s="454"/>
      <c r="D1" s="112"/>
      <c r="E1" s="112"/>
      <c r="F1" s="112"/>
      <c r="G1" s="112"/>
      <c r="H1" s="455"/>
      <c r="I1" s="112"/>
      <c r="J1" s="455"/>
      <c r="K1" s="112"/>
    </row>
    <row r="2" spans="1:20" ht="13.15" customHeight="1" x14ac:dyDescent="0.25">
      <c r="A2" s="453">
        <v>1</v>
      </c>
      <c r="B2" s="453" t="s">
        <v>24</v>
      </c>
      <c r="C2" s="453">
        <f>1+'[7]Knowledge Based Economy'!C2</f>
        <v>16</v>
      </c>
      <c r="D2" s="3559" t="s">
        <v>390</v>
      </c>
      <c r="E2" s="3560"/>
      <c r="F2" s="3560"/>
      <c r="G2" s="3560"/>
      <c r="H2" s="3560"/>
      <c r="I2" s="3560"/>
      <c r="J2" s="3560"/>
      <c r="K2" s="3560"/>
      <c r="L2" s="3560"/>
      <c r="M2" s="3560"/>
      <c r="N2" s="3560"/>
      <c r="O2" s="3560"/>
      <c r="P2" s="3560"/>
      <c r="Q2" s="3560"/>
      <c r="R2" s="3560"/>
      <c r="S2" s="3560"/>
      <c r="T2" s="3561"/>
    </row>
    <row r="3" spans="1:20" ht="13.15" customHeight="1" x14ac:dyDescent="0.25">
      <c r="A3" s="453">
        <v>2</v>
      </c>
      <c r="B3" s="453" t="s">
        <v>26</v>
      </c>
      <c r="C3" s="453"/>
      <c r="D3" s="3562" t="s">
        <v>391</v>
      </c>
      <c r="E3" s="3563"/>
      <c r="F3" s="3563"/>
      <c r="G3" s="3563"/>
      <c r="H3" s="3563"/>
      <c r="I3" s="3563"/>
      <c r="J3" s="3563"/>
      <c r="K3" s="3563"/>
      <c r="L3" s="3563"/>
      <c r="M3" s="3563"/>
      <c r="N3" s="3563"/>
      <c r="O3" s="3563"/>
      <c r="P3" s="3563"/>
      <c r="Q3" s="3563"/>
      <c r="R3" s="3563"/>
      <c r="S3" s="3563"/>
      <c r="T3" s="3564"/>
    </row>
    <row r="4" spans="1:20" ht="13.15" customHeight="1" x14ac:dyDescent="0.25">
      <c r="A4" s="453">
        <v>3</v>
      </c>
      <c r="B4" s="453" t="s">
        <v>28</v>
      </c>
      <c r="C4" s="453"/>
      <c r="D4" s="3562" t="s">
        <v>392</v>
      </c>
      <c r="E4" s="3563"/>
      <c r="F4" s="3563"/>
      <c r="G4" s="3563"/>
      <c r="H4" s="3563"/>
      <c r="I4" s="3563"/>
      <c r="J4" s="3563"/>
      <c r="K4" s="3563"/>
      <c r="L4" s="3563"/>
      <c r="M4" s="3563"/>
      <c r="N4" s="3563"/>
      <c r="O4" s="3563"/>
      <c r="P4" s="3563"/>
      <c r="Q4" s="3563"/>
      <c r="R4" s="3563"/>
      <c r="S4" s="3563"/>
      <c r="T4" s="3564"/>
    </row>
    <row r="5" spans="1:20" ht="12.75" customHeight="1" x14ac:dyDescent="0.25">
      <c r="A5" s="453"/>
      <c r="B5" s="453"/>
      <c r="C5" s="453"/>
      <c r="D5" s="138"/>
      <c r="E5" s="195"/>
      <c r="F5" s="195"/>
      <c r="G5" s="195"/>
      <c r="H5" s="457"/>
      <c r="I5" s="195"/>
      <c r="J5" s="457"/>
      <c r="K5" s="117"/>
      <c r="L5" s="458"/>
      <c r="M5" s="59"/>
      <c r="N5" s="458"/>
      <c r="O5" s="59"/>
      <c r="P5" s="458"/>
    </row>
    <row r="6" spans="1:20" x14ac:dyDescent="0.25">
      <c r="A6" s="453">
        <v>4</v>
      </c>
      <c r="B6" s="453" t="s">
        <v>1</v>
      </c>
      <c r="C6" s="453"/>
      <c r="D6" s="112"/>
      <c r="E6" s="112"/>
      <c r="F6" s="112"/>
      <c r="G6" s="112"/>
      <c r="H6" s="455"/>
      <c r="I6" s="112"/>
      <c r="J6" s="455"/>
      <c r="K6" s="117"/>
      <c r="L6" s="458"/>
      <c r="M6" s="59"/>
      <c r="N6" s="458"/>
      <c r="O6" s="59"/>
      <c r="P6" s="458"/>
    </row>
    <row r="7" spans="1:20" x14ac:dyDescent="0.25">
      <c r="A7" s="453"/>
      <c r="B7" s="454"/>
      <c r="C7" s="454"/>
      <c r="D7" s="135" t="s">
        <v>103</v>
      </c>
      <c r="E7" s="135" t="s">
        <v>393</v>
      </c>
      <c r="F7" s="135"/>
      <c r="G7" s="135"/>
      <c r="H7" s="459"/>
      <c r="I7" s="117"/>
      <c r="J7" s="459"/>
      <c r="K7" s="117"/>
      <c r="L7" s="460"/>
      <c r="M7" s="112"/>
      <c r="N7" s="455"/>
      <c r="O7" s="112"/>
      <c r="P7" s="455"/>
      <c r="Q7" s="112"/>
      <c r="R7" s="51"/>
    </row>
    <row r="8" spans="1:20" x14ac:dyDescent="0.25">
      <c r="A8" s="453"/>
      <c r="B8" s="454"/>
      <c r="C8" s="165"/>
      <c r="D8" s="2975" t="s">
        <v>54</v>
      </c>
      <c r="E8" s="461" t="s">
        <v>39</v>
      </c>
      <c r="F8" s="461" t="s">
        <v>40</v>
      </c>
      <c r="G8" s="461" t="s">
        <v>41</v>
      </c>
      <c r="H8" s="461" t="s">
        <v>42</v>
      </c>
      <c r="I8" s="461" t="s">
        <v>43</v>
      </c>
      <c r="J8" s="461" t="s">
        <v>44</v>
      </c>
      <c r="K8" s="461" t="s">
        <v>45</v>
      </c>
      <c r="L8" s="461" t="s">
        <v>46</v>
      </c>
      <c r="M8" s="461" t="s">
        <v>47</v>
      </c>
      <c r="N8" s="461" t="s">
        <v>48</v>
      </c>
      <c r="O8" s="461" t="s">
        <v>49</v>
      </c>
      <c r="P8" s="461" t="s">
        <v>50</v>
      </c>
      <c r="Q8" s="461" t="s">
        <v>51</v>
      </c>
      <c r="R8" s="461" t="s">
        <v>52</v>
      </c>
      <c r="S8" s="461" t="s">
        <v>105</v>
      </c>
      <c r="T8" s="3246" t="s">
        <v>106</v>
      </c>
    </row>
    <row r="9" spans="1:20" x14ac:dyDescent="0.25">
      <c r="A9" s="453"/>
      <c r="B9" s="454"/>
      <c r="C9" s="165"/>
      <c r="D9" s="3074" t="s">
        <v>394</v>
      </c>
      <c r="E9" s="462">
        <v>0.127</v>
      </c>
      <c r="F9" s="462">
        <v>0.251</v>
      </c>
      <c r="G9" s="462">
        <f>+(10+3.4+5)%</f>
        <v>0.184</v>
      </c>
      <c r="H9" s="462">
        <f>+(14.9+4+4.9)%</f>
        <v>0.23799999999999996</v>
      </c>
      <c r="I9" s="462">
        <f>+(11.8+3.7+5.6)%</f>
        <v>0.21100000000000002</v>
      </c>
      <c r="J9" s="462">
        <f>+(17.9+3.7+5.6)%</f>
        <v>0.27199999999999996</v>
      </c>
      <c r="K9" s="462">
        <f>(11.3+4.7+6.2)%</f>
        <v>0.222</v>
      </c>
      <c r="L9" s="462">
        <f>+(18.8+3.9+6.1)%</f>
        <v>0.28799999999999998</v>
      </c>
      <c r="M9" s="462">
        <f>+(13.6+4.7+5.9)%</f>
        <v>0.24200000000000002</v>
      </c>
      <c r="N9" s="462">
        <f>+(20.3+5+6.9)%</f>
        <v>0.32200000000000001</v>
      </c>
      <c r="O9" s="462">
        <f>(12.7+4.6+6.8)%</f>
        <v>0.24099999999999999</v>
      </c>
      <c r="P9" s="462">
        <f>+(18.5+4.8+7.5)%</f>
        <v>0.308</v>
      </c>
      <c r="Q9" s="462">
        <f>(12.3+4.6+7.3)%</f>
        <v>0.24199999999999999</v>
      </c>
      <c r="R9" s="462">
        <f>+(19.8+5.1+8.4)%</f>
        <v>0.33299999999999996</v>
      </c>
      <c r="S9" s="462">
        <v>0.26700000000000002</v>
      </c>
      <c r="T9" s="3247">
        <v>0.27600000000000002</v>
      </c>
    </row>
    <row r="10" spans="1:20" x14ac:dyDescent="0.25">
      <c r="A10" s="453"/>
      <c r="B10" s="454"/>
      <c r="C10" s="165"/>
      <c r="D10" s="2983" t="s">
        <v>395</v>
      </c>
      <c r="E10" s="463">
        <v>0.185</v>
      </c>
      <c r="F10" s="463">
        <v>0.191</v>
      </c>
      <c r="G10" s="463">
        <f>(10.8+5.7+6.3)%</f>
        <v>0.22800000000000001</v>
      </c>
      <c r="H10" s="463">
        <f>+(14.2+6.3+6.8)%</f>
        <v>0.27300000000000002</v>
      </c>
      <c r="I10" s="463">
        <f>+(13.1+5.4+7.2)%</f>
        <v>0.25700000000000001</v>
      </c>
      <c r="J10" s="463">
        <f>+(14.5+6+7)%</f>
        <v>0.27500000000000002</v>
      </c>
      <c r="K10" s="463">
        <f>+(13.4+5.8+7.7)%</f>
        <v>0.26899999999999996</v>
      </c>
      <c r="L10" s="463">
        <f>+(18.1+6.1+8.2)%</f>
        <v>0.32400000000000007</v>
      </c>
      <c r="M10" s="463">
        <f>+(17.3+6.9+8.3)%</f>
        <v>0.32500000000000001</v>
      </c>
      <c r="N10" s="463">
        <f>+(20+6.4+9.1)%</f>
        <v>0.35499999999999998</v>
      </c>
      <c r="O10" s="463">
        <f>+(12.7+4.6+6.8)%</f>
        <v>0.24099999999999999</v>
      </c>
      <c r="P10" s="463">
        <f>+(12.8+7+9.6)%</f>
        <v>0.29399999999999998</v>
      </c>
      <c r="Q10" s="464">
        <f>+(18.4+7.1+9.5)%</f>
        <v>0.35</v>
      </c>
      <c r="R10" s="464">
        <f>(23+7+10.1)%</f>
        <v>0.40100000000000002</v>
      </c>
      <c r="S10" s="464">
        <v>0.376</v>
      </c>
      <c r="T10" s="3248">
        <v>0.38800000000000001</v>
      </c>
    </row>
    <row r="11" spans="1:20" ht="12.75" customHeight="1" x14ac:dyDescent="0.25">
      <c r="A11" s="453"/>
      <c r="B11" s="454"/>
      <c r="C11" s="165"/>
      <c r="D11" s="132"/>
      <c r="E11" s="462"/>
      <c r="F11" s="462"/>
      <c r="G11" s="462"/>
      <c r="H11" s="462"/>
      <c r="I11" s="462"/>
      <c r="J11" s="462"/>
      <c r="K11" s="462"/>
      <c r="L11" s="462"/>
      <c r="M11" s="462"/>
      <c r="N11" s="462"/>
      <c r="O11" s="462"/>
      <c r="P11" s="462"/>
      <c r="Q11" s="462"/>
      <c r="R11" s="462"/>
    </row>
    <row r="12" spans="1:20" ht="12.75" customHeight="1" x14ac:dyDescent="0.25">
      <c r="A12" s="453"/>
      <c r="B12" s="454"/>
      <c r="C12" s="165"/>
      <c r="D12" s="465" t="s">
        <v>93</v>
      </c>
      <c r="E12" s="466" t="s">
        <v>396</v>
      </c>
      <c r="F12" s="462"/>
      <c r="G12" s="462"/>
      <c r="H12" s="462"/>
      <c r="I12" s="462"/>
      <c r="J12" s="462"/>
      <c r="K12" s="462"/>
      <c r="L12" s="462"/>
      <c r="M12" s="462"/>
      <c r="N12" s="462"/>
      <c r="O12" s="462"/>
      <c r="P12" s="462"/>
      <c r="Q12" s="462"/>
      <c r="R12" s="462"/>
    </row>
    <row r="13" spans="1:20" ht="12.75" customHeight="1" x14ac:dyDescent="0.25">
      <c r="A13" s="453"/>
      <c r="B13" s="454"/>
      <c r="C13" s="165"/>
      <c r="D13" s="3249" t="s">
        <v>54</v>
      </c>
      <c r="E13" s="461" t="s">
        <v>39</v>
      </c>
      <c r="F13" s="461" t="s">
        <v>40</v>
      </c>
      <c r="G13" s="461" t="s">
        <v>41</v>
      </c>
      <c r="H13" s="461" t="s">
        <v>42</v>
      </c>
      <c r="I13" s="461" t="s">
        <v>43</v>
      </c>
      <c r="J13" s="461" t="s">
        <v>44</v>
      </c>
      <c r="K13" s="461" t="s">
        <v>45</v>
      </c>
      <c r="L13" s="461" t="s">
        <v>46</v>
      </c>
      <c r="M13" s="461" t="s">
        <v>47</v>
      </c>
      <c r="N13" s="461" t="s">
        <v>48</v>
      </c>
      <c r="O13" s="461" t="s">
        <v>49</v>
      </c>
      <c r="P13" s="461" t="s">
        <v>50</v>
      </c>
      <c r="Q13" s="461" t="s">
        <v>51</v>
      </c>
      <c r="R13" s="461" t="s">
        <v>52</v>
      </c>
      <c r="S13" s="461" t="s">
        <v>105</v>
      </c>
      <c r="T13" s="3246" t="s">
        <v>106</v>
      </c>
    </row>
    <row r="14" spans="1:20" x14ac:dyDescent="0.25">
      <c r="A14" s="453"/>
      <c r="B14" s="454"/>
      <c r="C14" s="165"/>
      <c r="D14" s="3250" t="s">
        <v>397</v>
      </c>
      <c r="E14" s="462">
        <v>0.124</v>
      </c>
      <c r="F14" s="462">
        <v>0.11899999999999999</v>
      </c>
      <c r="G14" s="462">
        <v>0.13700000000000001</v>
      </c>
      <c r="H14" s="462">
        <v>0.14000000000000001</v>
      </c>
      <c r="I14" s="462">
        <v>0.151</v>
      </c>
      <c r="J14" s="462">
        <v>0.17</v>
      </c>
      <c r="K14" s="462">
        <v>0.216</v>
      </c>
      <c r="L14" s="462">
        <v>0.20599999999999999</v>
      </c>
      <c r="M14" s="462">
        <v>0.182</v>
      </c>
      <c r="N14" s="462">
        <v>0.184</v>
      </c>
      <c r="O14" s="462">
        <v>0.19</v>
      </c>
      <c r="P14" s="462">
        <v>0.19</v>
      </c>
      <c r="Q14" s="462">
        <v>0.19800000000000001</v>
      </c>
      <c r="R14" s="462">
        <v>0.20599999999999999</v>
      </c>
      <c r="S14" s="462">
        <v>0.20899999999999999</v>
      </c>
      <c r="T14" s="3247">
        <v>0.214</v>
      </c>
    </row>
    <row r="15" spans="1:20" x14ac:dyDescent="0.25">
      <c r="A15" s="453"/>
      <c r="B15" s="454"/>
      <c r="C15" s="165"/>
      <c r="D15" s="3251" t="s">
        <v>395</v>
      </c>
      <c r="E15" s="463">
        <v>0.21</v>
      </c>
      <c r="F15" s="463">
        <v>0.17699999999999999</v>
      </c>
      <c r="G15" s="463">
        <v>0.216</v>
      </c>
      <c r="H15" s="463">
        <v>0.223</v>
      </c>
      <c r="I15" s="463">
        <v>0.23699999999999999</v>
      </c>
      <c r="J15" s="463">
        <v>0.23699999999999999</v>
      </c>
      <c r="K15" s="463">
        <v>0.27400000000000002</v>
      </c>
      <c r="L15" s="463">
        <v>0.253</v>
      </c>
      <c r="M15" s="463">
        <v>0.28299999999999997</v>
      </c>
      <c r="N15" s="463">
        <v>0.27200000000000002</v>
      </c>
      <c r="O15" s="463">
        <v>0.19</v>
      </c>
      <c r="P15" s="463">
        <v>0.28199999999999997</v>
      </c>
      <c r="Q15" s="463">
        <v>0.307</v>
      </c>
      <c r="R15" s="463">
        <v>0.29899999999999999</v>
      </c>
      <c r="S15" s="463">
        <v>0.32100000000000001</v>
      </c>
      <c r="T15" s="3252">
        <v>0.32400000000000001</v>
      </c>
    </row>
    <row r="16" spans="1:20" x14ac:dyDescent="0.25">
      <c r="A16" s="453"/>
      <c r="B16" s="454"/>
      <c r="C16" s="165"/>
      <c r="D16" s="467"/>
      <c r="E16" s="462"/>
      <c r="F16" s="462"/>
      <c r="G16" s="462"/>
      <c r="H16" s="468"/>
      <c r="I16" s="462"/>
      <c r="J16" s="468"/>
      <c r="K16" s="462"/>
      <c r="L16" s="468"/>
      <c r="M16" s="462"/>
      <c r="N16" s="468"/>
      <c r="O16" s="462"/>
      <c r="P16" s="468"/>
      <c r="Q16" s="462"/>
      <c r="R16" s="468"/>
    </row>
    <row r="17" spans="1:17" x14ac:dyDescent="0.25">
      <c r="A17" s="453"/>
      <c r="B17" s="454"/>
      <c r="C17" s="165"/>
      <c r="D17" s="132"/>
      <c r="E17" s="469"/>
      <c r="F17" s="469"/>
      <c r="G17" s="469"/>
      <c r="H17" s="468"/>
      <c r="I17" s="469"/>
      <c r="J17" s="468"/>
      <c r="K17" s="469"/>
      <c r="L17" s="468"/>
      <c r="M17" s="469"/>
      <c r="N17" s="468"/>
      <c r="O17" s="469"/>
      <c r="P17" s="468"/>
      <c r="Q17" s="469"/>
    </row>
    <row r="18" spans="1:17" x14ac:dyDescent="0.25">
      <c r="A18" s="453">
        <v>5</v>
      </c>
      <c r="B18" s="453" t="s">
        <v>77</v>
      </c>
      <c r="C18" s="453"/>
      <c r="D18" s="132"/>
      <c r="E18" s="469"/>
      <c r="F18" s="469"/>
      <c r="G18" s="469"/>
      <c r="H18" s="468"/>
      <c r="I18" s="469"/>
      <c r="J18" s="468"/>
      <c r="K18" s="469"/>
      <c r="L18" s="468"/>
      <c r="M18" s="469"/>
      <c r="N18" s="468"/>
      <c r="O18" s="469"/>
      <c r="P18" s="468"/>
      <c r="Q18" s="469"/>
    </row>
    <row r="19" spans="1:17" x14ac:dyDescent="0.25">
      <c r="A19" s="453"/>
      <c r="B19" s="454"/>
      <c r="C19" s="165"/>
      <c r="D19" s="132"/>
      <c r="E19" s="469"/>
      <c r="F19" s="469"/>
      <c r="G19" s="469"/>
      <c r="H19" s="468"/>
      <c r="I19" s="469"/>
      <c r="J19" s="468"/>
      <c r="K19" s="469"/>
      <c r="L19" s="468"/>
      <c r="M19" s="469"/>
      <c r="N19" s="468"/>
      <c r="O19" s="469"/>
      <c r="P19" s="468"/>
      <c r="Q19" s="469"/>
    </row>
    <row r="20" spans="1:17" x14ac:dyDescent="0.25">
      <c r="A20" s="453"/>
      <c r="B20" s="454"/>
      <c r="C20" s="165"/>
      <c r="D20" s="132"/>
      <c r="E20" s="469"/>
      <c r="F20" s="469"/>
      <c r="G20" s="469"/>
      <c r="H20" s="468"/>
      <c r="I20" s="469"/>
      <c r="J20" s="468"/>
      <c r="K20" s="469"/>
      <c r="L20" s="468"/>
      <c r="M20" s="469"/>
      <c r="N20" s="468"/>
      <c r="O20" s="469"/>
      <c r="P20" s="468"/>
      <c r="Q20" s="469"/>
    </row>
    <row r="21" spans="1:17" x14ac:dyDescent="0.25">
      <c r="A21" s="453"/>
      <c r="B21" s="454"/>
      <c r="C21" s="165"/>
      <c r="D21" s="132"/>
      <c r="E21" s="469"/>
      <c r="F21" s="469"/>
      <c r="G21" s="469"/>
      <c r="H21" s="468"/>
      <c r="I21" s="469"/>
      <c r="J21" s="468"/>
      <c r="K21" s="469"/>
      <c r="L21" s="468"/>
      <c r="M21" s="469"/>
      <c r="N21" s="468"/>
      <c r="O21" s="469"/>
      <c r="P21" s="468"/>
      <c r="Q21" s="469"/>
    </row>
    <row r="22" spans="1:17" x14ac:dyDescent="0.25">
      <c r="A22" s="453"/>
      <c r="B22" s="454"/>
      <c r="C22" s="165"/>
      <c r="D22" s="132"/>
      <c r="E22" s="469"/>
      <c r="F22" s="469"/>
      <c r="G22" s="469"/>
      <c r="H22" s="468"/>
      <c r="I22" s="469"/>
      <c r="J22" s="468"/>
      <c r="K22" s="469"/>
      <c r="L22" s="468"/>
      <c r="M22" s="469"/>
      <c r="N22" s="468"/>
      <c r="O22" s="469"/>
      <c r="P22" s="468"/>
      <c r="Q22" s="469"/>
    </row>
    <row r="23" spans="1:17" x14ac:dyDescent="0.25">
      <c r="A23" s="453"/>
      <c r="B23" s="454"/>
      <c r="C23" s="165"/>
      <c r="D23" s="132"/>
      <c r="E23" s="469"/>
      <c r="F23" s="469"/>
      <c r="G23" s="469"/>
      <c r="H23" s="468"/>
      <c r="I23" s="469"/>
      <c r="J23" s="468"/>
      <c r="K23" s="469"/>
      <c r="L23" s="468"/>
      <c r="M23" s="469"/>
      <c r="N23" s="468"/>
      <c r="O23" s="469"/>
      <c r="P23" s="468"/>
      <c r="Q23" s="469"/>
    </row>
    <row r="24" spans="1:17" x14ac:dyDescent="0.25">
      <c r="A24" s="453"/>
      <c r="B24" s="454"/>
      <c r="C24" s="165"/>
      <c r="D24" s="132"/>
      <c r="E24" s="469"/>
      <c r="F24" s="469"/>
      <c r="G24" s="469"/>
      <c r="H24" s="468"/>
      <c r="I24" s="469"/>
      <c r="J24" s="468"/>
      <c r="K24" s="469"/>
      <c r="L24" s="468"/>
      <c r="M24" s="469"/>
      <c r="N24" s="468"/>
      <c r="O24" s="469"/>
      <c r="P24" s="468"/>
      <c r="Q24" s="469"/>
    </row>
    <row r="25" spans="1:17" x14ac:dyDescent="0.25">
      <c r="A25" s="453"/>
      <c r="B25" s="454"/>
      <c r="C25" s="165"/>
      <c r="D25" s="132"/>
      <c r="E25" s="469"/>
      <c r="F25" s="469"/>
      <c r="G25" s="469"/>
      <c r="H25" s="468"/>
      <c r="I25" s="469"/>
      <c r="J25" s="468"/>
      <c r="K25" s="469"/>
      <c r="L25" s="468"/>
      <c r="M25" s="469"/>
      <c r="N25" s="468"/>
      <c r="O25" s="469"/>
      <c r="P25" s="468"/>
      <c r="Q25" s="469"/>
    </row>
    <row r="26" spans="1:17" x14ac:dyDescent="0.25">
      <c r="A26" s="453"/>
      <c r="B26" s="454"/>
      <c r="C26" s="165"/>
      <c r="D26" s="132"/>
      <c r="E26" s="469"/>
      <c r="F26" s="469"/>
      <c r="G26" s="469"/>
      <c r="H26" s="468"/>
      <c r="I26" s="469"/>
      <c r="J26" s="468"/>
      <c r="K26" s="469"/>
      <c r="L26" s="468"/>
      <c r="M26" s="469"/>
      <c r="N26" s="468"/>
      <c r="O26" s="469"/>
      <c r="P26" s="468"/>
      <c r="Q26" s="469"/>
    </row>
    <row r="27" spans="1:17" x14ac:dyDescent="0.25">
      <c r="A27" s="453"/>
      <c r="B27" s="454"/>
      <c r="C27" s="165"/>
      <c r="D27" s="132"/>
      <c r="E27" s="469"/>
      <c r="F27" s="469"/>
      <c r="G27" s="469"/>
      <c r="H27" s="468"/>
      <c r="I27" s="469"/>
      <c r="J27" s="468"/>
      <c r="K27" s="469"/>
      <c r="L27" s="468"/>
      <c r="M27" s="469"/>
      <c r="N27" s="468"/>
      <c r="O27" s="469"/>
      <c r="P27" s="468"/>
      <c r="Q27" s="469"/>
    </row>
    <row r="28" spans="1:17" x14ac:dyDescent="0.25">
      <c r="A28" s="453"/>
      <c r="B28" s="454"/>
      <c r="C28" s="165"/>
      <c r="D28" s="132"/>
      <c r="E28" s="469"/>
      <c r="F28" s="469"/>
      <c r="G28" s="469"/>
      <c r="H28" s="468"/>
      <c r="I28" s="469"/>
      <c r="J28" s="468"/>
      <c r="K28" s="469"/>
      <c r="L28" s="468"/>
      <c r="M28" s="469"/>
      <c r="N28" s="468"/>
      <c r="O28" s="469"/>
      <c r="P28" s="468"/>
      <c r="Q28" s="469"/>
    </row>
    <row r="29" spans="1:17" x14ac:dyDescent="0.25">
      <c r="A29" s="453"/>
      <c r="B29" s="454"/>
      <c r="C29" s="165"/>
      <c r="D29" s="132"/>
      <c r="E29" s="469"/>
      <c r="F29" s="469"/>
      <c r="G29" s="469"/>
      <c r="H29" s="468"/>
      <c r="I29" s="469"/>
      <c r="J29" s="468"/>
      <c r="K29" s="469"/>
      <c r="L29" s="468"/>
      <c r="M29" s="469"/>
      <c r="N29" s="468"/>
      <c r="O29" s="469"/>
      <c r="P29" s="468"/>
      <c r="Q29" s="469"/>
    </row>
    <row r="30" spans="1:17" x14ac:dyDescent="0.25">
      <c r="A30" s="453"/>
      <c r="B30" s="454"/>
      <c r="C30" s="165"/>
      <c r="D30" s="132"/>
      <c r="E30" s="469"/>
      <c r="F30" s="469"/>
      <c r="G30" s="469"/>
      <c r="H30" s="468"/>
      <c r="I30" s="469"/>
      <c r="J30" s="468"/>
      <c r="K30" s="469"/>
      <c r="L30" s="468"/>
      <c r="M30" s="469"/>
      <c r="N30" s="468"/>
      <c r="O30" s="469"/>
      <c r="P30" s="468"/>
      <c r="Q30" s="469"/>
    </row>
    <row r="31" spans="1:17" x14ac:dyDescent="0.25">
      <c r="A31" s="453"/>
      <c r="B31" s="454"/>
      <c r="C31" s="165"/>
      <c r="D31" s="132"/>
      <c r="E31" s="469"/>
      <c r="F31" s="469"/>
      <c r="G31" s="469"/>
      <c r="H31" s="468"/>
      <c r="I31" s="469"/>
      <c r="J31" s="468"/>
      <c r="K31" s="469"/>
      <c r="L31" s="468"/>
      <c r="M31" s="469"/>
      <c r="N31" s="468"/>
      <c r="O31" s="469"/>
      <c r="P31" s="468"/>
      <c r="Q31" s="469"/>
    </row>
    <row r="32" spans="1:17" ht="12.75" customHeight="1" x14ac:dyDescent="0.25">
      <c r="A32" s="453"/>
      <c r="B32" s="454"/>
      <c r="C32" s="165"/>
      <c r="D32" s="132"/>
      <c r="E32" s="469"/>
      <c r="F32" s="469"/>
      <c r="G32" s="469"/>
      <c r="H32" s="470"/>
      <c r="I32" s="132"/>
      <c r="J32" s="471"/>
      <c r="K32" s="132"/>
      <c r="L32" s="470"/>
      <c r="M32" s="133"/>
      <c r="N32" s="470"/>
      <c r="O32" s="59"/>
      <c r="P32" s="458"/>
    </row>
    <row r="33" spans="1:20" x14ac:dyDescent="0.25">
      <c r="A33" s="453">
        <v>6</v>
      </c>
      <c r="B33" s="453" t="s">
        <v>78</v>
      </c>
      <c r="C33" s="453"/>
      <c r="D33" s="3553" t="s">
        <v>398</v>
      </c>
      <c r="E33" s="3554"/>
      <c r="F33" s="3554"/>
      <c r="G33" s="3554"/>
      <c r="H33" s="3554"/>
      <c r="I33" s="3554"/>
      <c r="J33" s="3554"/>
      <c r="K33" s="3554"/>
      <c r="L33" s="3554"/>
      <c r="M33" s="3554"/>
      <c r="N33" s="3554"/>
      <c r="O33" s="3554"/>
      <c r="P33" s="3554"/>
      <c r="Q33" s="3554"/>
      <c r="R33" s="3554"/>
      <c r="S33" s="3554"/>
      <c r="T33" s="3555"/>
    </row>
    <row r="34" spans="1:20" ht="13.15" customHeight="1" x14ac:dyDescent="0.25">
      <c r="A34" s="472">
        <v>7</v>
      </c>
      <c r="B34" s="472" t="s">
        <v>80</v>
      </c>
      <c r="C34" s="472"/>
      <c r="D34" s="3578" t="s">
        <v>399</v>
      </c>
      <c r="E34" s="3579"/>
      <c r="F34" s="3579"/>
      <c r="G34" s="3579"/>
      <c r="H34" s="3579"/>
      <c r="I34" s="3579"/>
      <c r="J34" s="3579"/>
      <c r="K34" s="3579"/>
      <c r="L34" s="3579"/>
      <c r="M34" s="3579"/>
      <c r="N34" s="3579"/>
      <c r="O34" s="3579"/>
      <c r="P34" s="3579"/>
      <c r="Q34" s="3579"/>
      <c r="R34" s="3579"/>
      <c r="S34" s="3579"/>
      <c r="T34" s="3580"/>
    </row>
    <row r="35" spans="1:20" ht="67.5" customHeight="1" x14ac:dyDescent="0.25">
      <c r="A35" s="472">
        <v>8</v>
      </c>
      <c r="B35" s="472" t="s">
        <v>22</v>
      </c>
      <c r="C35" s="472"/>
      <c r="D35" s="3578" t="s">
        <v>400</v>
      </c>
      <c r="E35" s="3579"/>
      <c r="F35" s="3579"/>
      <c r="G35" s="3579"/>
      <c r="H35" s="3579"/>
      <c r="I35" s="3579"/>
      <c r="J35" s="3579"/>
      <c r="K35" s="3579"/>
      <c r="L35" s="3579"/>
      <c r="M35" s="3579"/>
      <c r="N35" s="3579"/>
      <c r="O35" s="3579"/>
      <c r="P35" s="3579"/>
      <c r="Q35" s="3579"/>
      <c r="R35" s="3579"/>
      <c r="S35" s="3579"/>
      <c r="T35" s="3580"/>
    </row>
    <row r="36" spans="1:20" ht="13.15" customHeight="1" x14ac:dyDescent="0.25">
      <c r="A36" s="453">
        <v>9</v>
      </c>
      <c r="B36" s="453" t="s">
        <v>20</v>
      </c>
      <c r="C36" s="453"/>
      <c r="D36" s="3553" t="s">
        <v>401</v>
      </c>
      <c r="E36" s="3554"/>
      <c r="F36" s="3554"/>
      <c r="G36" s="3554"/>
      <c r="H36" s="3554"/>
      <c r="I36" s="3554"/>
      <c r="J36" s="3554"/>
      <c r="K36" s="3554"/>
      <c r="L36" s="3554"/>
      <c r="M36" s="3554"/>
      <c r="N36" s="3554"/>
      <c r="O36" s="3554"/>
      <c r="P36" s="3554"/>
      <c r="Q36" s="3554"/>
      <c r="R36" s="3554"/>
      <c r="S36" s="3554"/>
      <c r="T36" s="3555"/>
    </row>
    <row r="37" spans="1:20" x14ac:dyDescent="0.25">
      <c r="D37" s="473"/>
      <c r="L37" s="470"/>
      <c r="M37" s="133"/>
      <c r="N37" s="470"/>
      <c r="O37" s="59"/>
      <c r="P37" s="458"/>
    </row>
    <row r="38" spans="1:20" x14ac:dyDescent="0.25">
      <c r="L38" s="470"/>
      <c r="M38" s="133"/>
      <c r="N38" s="470"/>
      <c r="O38" s="59"/>
      <c r="P38" s="458"/>
    </row>
    <row r="39" spans="1:20" x14ac:dyDescent="0.25">
      <c r="D39" s="112"/>
      <c r="E39" s="117"/>
      <c r="F39" s="117"/>
      <c r="G39" s="117"/>
      <c r="H39" s="460"/>
      <c r="I39" s="117"/>
      <c r="J39" s="460"/>
      <c r="K39" s="112"/>
      <c r="L39" s="470"/>
      <c r="M39" s="133"/>
      <c r="N39" s="470"/>
      <c r="O39" s="59"/>
      <c r="P39" s="458"/>
    </row>
    <row r="40" spans="1:20" x14ac:dyDescent="0.25">
      <c r="L40" s="458"/>
      <c r="M40" s="59"/>
      <c r="N40" s="458"/>
      <c r="O40" s="59"/>
      <c r="P40" s="458"/>
    </row>
    <row r="41" spans="1:20" x14ac:dyDescent="0.25">
      <c r="L41" s="470"/>
      <c r="M41" s="59"/>
      <c r="N41" s="470"/>
    </row>
    <row r="46" spans="1:20" x14ac:dyDescent="0.25">
      <c r="D46" s="135" t="s">
        <v>103</v>
      </c>
      <c r="E46" s="135" t="s">
        <v>402</v>
      </c>
      <c r="F46" s="135"/>
      <c r="G46" s="135"/>
      <c r="H46" s="459"/>
      <c r="I46" s="117"/>
      <c r="J46" s="459"/>
      <c r="K46" s="117"/>
      <c r="L46" s="460"/>
      <c r="M46" s="112"/>
      <c r="N46" s="455"/>
      <c r="O46" s="112"/>
      <c r="P46" s="455"/>
      <c r="Q46" s="112"/>
    </row>
    <row r="47" spans="1:20" x14ac:dyDescent="0.25">
      <c r="D47" s="170"/>
      <c r="E47" s="474" t="s">
        <v>39</v>
      </c>
      <c r="F47" s="474" t="s">
        <v>40</v>
      </c>
      <c r="G47" s="474" t="s">
        <v>41</v>
      </c>
      <c r="H47" s="475" t="s">
        <v>42</v>
      </c>
      <c r="I47" s="474" t="s">
        <v>43</v>
      </c>
      <c r="J47" s="475" t="s">
        <v>44</v>
      </c>
      <c r="K47" s="474" t="s">
        <v>45</v>
      </c>
      <c r="L47" s="475" t="s">
        <v>46</v>
      </c>
      <c r="M47" s="474" t="s">
        <v>47</v>
      </c>
      <c r="N47" s="475" t="s">
        <v>48</v>
      </c>
      <c r="O47" s="474" t="s">
        <v>49</v>
      </c>
      <c r="P47" s="475" t="s">
        <v>50</v>
      </c>
      <c r="Q47" s="474" t="s">
        <v>51</v>
      </c>
      <c r="R47" s="475">
        <v>2013</v>
      </c>
      <c r="S47" s="461" t="s">
        <v>105</v>
      </c>
      <c r="T47" s="461" t="s">
        <v>106</v>
      </c>
    </row>
    <row r="48" spans="1:20" x14ac:dyDescent="0.25">
      <c r="D48" s="132" t="s">
        <v>403</v>
      </c>
      <c r="E48" s="462">
        <v>0.127</v>
      </c>
      <c r="F48" s="462">
        <v>0.251</v>
      </c>
      <c r="G48" s="462">
        <f>+(10+3.4+5)%</f>
        <v>0.184</v>
      </c>
      <c r="H48" s="462">
        <f>+(14.9+4+4.9)%</f>
        <v>0.23799999999999996</v>
      </c>
      <c r="I48" s="462">
        <f>+(11.8+3.7+5.6)%</f>
        <v>0.21100000000000002</v>
      </c>
      <c r="J48" s="462">
        <f>+(17.9+3.7+5.6)%</f>
        <v>0.27199999999999996</v>
      </c>
      <c r="K48" s="462">
        <f>(11.3+4.7+6.2)%</f>
        <v>0.222</v>
      </c>
      <c r="L48" s="462">
        <f>+(18.8+3.9+6.1)%</f>
        <v>0.28799999999999998</v>
      </c>
      <c r="M48" s="462">
        <f>+(13.6+4.7+5.9)%</f>
        <v>0.24200000000000002</v>
      </c>
      <c r="N48" s="462">
        <f>+(20.3+5+6.9)%</f>
        <v>0.32200000000000001</v>
      </c>
      <c r="O48" s="462">
        <f>(12.7+4.6+6.8)%</f>
        <v>0.24099999999999999</v>
      </c>
      <c r="P48" s="462">
        <f>+(18.5+4.8+7.5)%</f>
        <v>0.308</v>
      </c>
      <c r="Q48" s="462">
        <f>(12.3+4.6+7.3)%</f>
        <v>0.24199999999999999</v>
      </c>
      <c r="R48" s="462">
        <f>+(19.8+5.1+8.4)%</f>
        <v>0.33299999999999996</v>
      </c>
      <c r="S48" s="462">
        <v>0.26700000000000002</v>
      </c>
      <c r="T48" s="462">
        <v>0.27600000000000002</v>
      </c>
    </row>
    <row r="49" spans="4:20" x14ac:dyDescent="0.25">
      <c r="D49" s="129" t="s">
        <v>404</v>
      </c>
      <c r="E49" s="463">
        <v>0.185</v>
      </c>
      <c r="F49" s="463">
        <v>0.191</v>
      </c>
      <c r="G49" s="463">
        <f>(10.8+5.7+6.3)%</f>
        <v>0.22800000000000001</v>
      </c>
      <c r="H49" s="463">
        <f>+(14.2+6.3+6.8)%</f>
        <v>0.27300000000000002</v>
      </c>
      <c r="I49" s="463">
        <f>+(13.1+5.4+7.2)%</f>
        <v>0.25700000000000001</v>
      </c>
      <c r="J49" s="463">
        <f>+(14.5+6+7)%</f>
        <v>0.27500000000000002</v>
      </c>
      <c r="K49" s="463">
        <f>+(13.4+5.8+7.7)%</f>
        <v>0.26899999999999996</v>
      </c>
      <c r="L49" s="463">
        <f>+(18.1+6.1+8.2)%</f>
        <v>0.32400000000000007</v>
      </c>
      <c r="M49" s="463">
        <f>+(17.3+6.9+8.3)%</f>
        <v>0.32500000000000001</v>
      </c>
      <c r="N49" s="463">
        <f>+(20+6.4+9.1)%</f>
        <v>0.35499999999999998</v>
      </c>
      <c r="O49" s="463">
        <f>+(12.7+4.6+6.8)%</f>
        <v>0.24099999999999999</v>
      </c>
      <c r="P49" s="463">
        <f>+(12.8+7+9.6)%</f>
        <v>0.29399999999999998</v>
      </c>
      <c r="Q49" s="464">
        <f>+(18.4+7.1+9.5)%</f>
        <v>0.35</v>
      </c>
      <c r="R49" s="464">
        <f>(23+7+10.1)%</f>
        <v>0.40100000000000002</v>
      </c>
      <c r="S49" s="464">
        <v>0.376</v>
      </c>
      <c r="T49" s="464">
        <v>0.38800000000000001</v>
      </c>
    </row>
    <row r="50" spans="4:20" x14ac:dyDescent="0.25">
      <c r="D50" s="132"/>
      <c r="E50" s="469"/>
      <c r="F50" s="469"/>
      <c r="G50" s="469"/>
      <c r="H50" s="468"/>
      <c r="I50" s="469"/>
      <c r="J50" s="468"/>
      <c r="K50" s="469"/>
      <c r="L50" s="468"/>
      <c r="M50" s="469"/>
      <c r="N50" s="468"/>
      <c r="O50" s="469"/>
      <c r="P50" s="468"/>
      <c r="Q50" s="469"/>
    </row>
    <row r="51" spans="4:20" x14ac:dyDescent="0.25">
      <c r="D51" s="173" t="s">
        <v>93</v>
      </c>
      <c r="E51" s="476" t="s">
        <v>396</v>
      </c>
      <c r="F51" s="469"/>
      <c r="G51" s="469"/>
      <c r="H51" s="468"/>
      <c r="I51" s="469"/>
      <c r="J51" s="468"/>
      <c r="K51" s="469"/>
      <c r="L51" s="468"/>
      <c r="M51" s="469"/>
      <c r="N51" s="468"/>
      <c r="O51" s="469"/>
      <c r="P51" s="468"/>
      <c r="Q51" s="469"/>
    </row>
    <row r="52" spans="4:20" x14ac:dyDescent="0.25">
      <c r="D52" s="477"/>
      <c r="E52" s="474" t="s">
        <v>39</v>
      </c>
      <c r="F52" s="474" t="s">
        <v>40</v>
      </c>
      <c r="G52" s="474" t="s">
        <v>41</v>
      </c>
      <c r="H52" s="475" t="s">
        <v>42</v>
      </c>
      <c r="I52" s="474" t="s">
        <v>43</v>
      </c>
      <c r="J52" s="475" t="s">
        <v>44</v>
      </c>
      <c r="K52" s="474" t="s">
        <v>45</v>
      </c>
      <c r="L52" s="475" t="s">
        <v>46</v>
      </c>
      <c r="M52" s="474" t="s">
        <v>47</v>
      </c>
      <c r="N52" s="475" t="s">
        <v>48</v>
      </c>
      <c r="O52" s="474" t="s">
        <v>49</v>
      </c>
      <c r="P52" s="475" t="s">
        <v>50</v>
      </c>
      <c r="Q52" s="474" t="s">
        <v>51</v>
      </c>
      <c r="R52" s="475">
        <v>2013</v>
      </c>
      <c r="S52" s="461" t="s">
        <v>105</v>
      </c>
      <c r="T52" s="461"/>
    </row>
    <row r="53" spans="4:20" x14ac:dyDescent="0.25">
      <c r="D53" s="132" t="s">
        <v>405</v>
      </c>
      <c r="E53" s="462">
        <v>0.124</v>
      </c>
      <c r="F53" s="462">
        <v>0.11899999999999999</v>
      </c>
      <c r="G53" s="462">
        <v>0.13700000000000001</v>
      </c>
      <c r="H53" s="462">
        <v>0.14000000000000001</v>
      </c>
      <c r="I53" s="462">
        <v>0.151</v>
      </c>
      <c r="J53" s="462">
        <v>0.17</v>
      </c>
      <c r="K53" s="462">
        <v>0.216</v>
      </c>
      <c r="L53" s="462">
        <v>0.20599999999999999</v>
      </c>
      <c r="M53" s="462">
        <v>0.182</v>
      </c>
      <c r="N53" s="462">
        <v>0.184</v>
      </c>
      <c r="O53" s="462">
        <v>0.19</v>
      </c>
      <c r="P53" s="462">
        <v>0.19</v>
      </c>
      <c r="Q53" s="462">
        <v>0.19800000000000001</v>
      </c>
      <c r="R53" s="462">
        <v>0.20599999999999999</v>
      </c>
      <c r="S53" s="462">
        <v>0.20899999999999999</v>
      </c>
      <c r="T53" s="462">
        <v>0.214</v>
      </c>
    </row>
    <row r="54" spans="4:20" x14ac:dyDescent="0.25">
      <c r="D54" s="129" t="s">
        <v>406</v>
      </c>
      <c r="E54" s="463">
        <v>0.21</v>
      </c>
      <c r="F54" s="463">
        <v>0.17699999999999999</v>
      </c>
      <c r="G54" s="463">
        <v>0.216</v>
      </c>
      <c r="H54" s="463">
        <v>0.223</v>
      </c>
      <c r="I54" s="463">
        <v>0.23699999999999999</v>
      </c>
      <c r="J54" s="463">
        <v>0.23699999999999999</v>
      </c>
      <c r="K54" s="463">
        <v>0.27400000000000002</v>
      </c>
      <c r="L54" s="463">
        <v>0.253</v>
      </c>
      <c r="M54" s="463">
        <v>0.28299999999999997</v>
      </c>
      <c r="N54" s="463">
        <v>0.27200000000000002</v>
      </c>
      <c r="O54" s="463">
        <v>0.19</v>
      </c>
      <c r="P54" s="463">
        <v>0.28199999999999997</v>
      </c>
      <c r="Q54" s="463">
        <v>0.307</v>
      </c>
      <c r="R54" s="463">
        <v>0.29899999999999999</v>
      </c>
      <c r="S54" s="463">
        <v>0.32100000000000001</v>
      </c>
      <c r="T54" s="463">
        <v>0.32400000000000001</v>
      </c>
    </row>
  </sheetData>
  <mergeCells count="7">
    <mergeCell ref="D35:T35"/>
    <mergeCell ref="D36:T36"/>
    <mergeCell ref="D2:T2"/>
    <mergeCell ref="D3:T3"/>
    <mergeCell ref="D4:T4"/>
    <mergeCell ref="D33:T33"/>
    <mergeCell ref="D34:T34"/>
  </mergeCells>
  <pageMargins left="0.74803149606299213" right="0.74803149606299213" top="0.98425196850393704" bottom="0.98425196850393704" header="0.51181102362204722" footer="0.51181102362204722"/>
  <pageSetup paperSize="9" scale="6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116"/>
  <sheetViews>
    <sheetView showGridLines="0" view="pageBreakPreview" topLeftCell="A7" zoomScaleNormal="100" zoomScaleSheetLayoutView="100" workbookViewId="0">
      <selection activeCell="D19" sqref="D19:D29"/>
    </sheetView>
  </sheetViews>
  <sheetFormatPr defaultColWidth="9.140625" defaultRowHeight="12.75" x14ac:dyDescent="0.2"/>
  <cols>
    <col min="1" max="1" width="3.7109375" style="478" customWidth="1"/>
    <col min="2" max="2" width="14.42578125" style="479" customWidth="1"/>
    <col min="3" max="3" width="3.7109375" style="479" customWidth="1"/>
    <col min="4" max="4" width="29.5703125" style="517" customWidth="1"/>
    <col min="5" max="19" width="9.140625" style="517" customWidth="1"/>
    <col min="20" max="16384" width="9.140625" style="517"/>
  </cols>
  <sheetData>
    <row r="1" spans="1:20" x14ac:dyDescent="0.2">
      <c r="D1" s="481"/>
      <c r="E1" s="481"/>
      <c r="F1" s="481"/>
      <c r="G1" s="481"/>
      <c r="H1" s="481"/>
      <c r="I1" s="481"/>
      <c r="J1" s="481"/>
      <c r="K1" s="481"/>
    </row>
    <row r="2" spans="1:20" ht="15" customHeight="1" x14ac:dyDescent="0.2">
      <c r="A2" s="478">
        <v>1</v>
      </c>
      <c r="B2" s="478" t="s">
        <v>24</v>
      </c>
      <c r="C2" s="478">
        <f>1+'[8]BM '!C2</f>
        <v>17</v>
      </c>
      <c r="D2" s="3635" t="s">
        <v>408</v>
      </c>
      <c r="E2" s="3636"/>
      <c r="F2" s="3636"/>
      <c r="G2" s="3636"/>
      <c r="H2" s="3636"/>
      <c r="I2" s="3636"/>
      <c r="J2" s="3636"/>
      <c r="K2" s="3636"/>
      <c r="L2" s="3636"/>
      <c r="M2" s="3636"/>
      <c r="N2" s="3636"/>
      <c r="O2" s="3636"/>
      <c r="P2" s="3636"/>
      <c r="Q2" s="3636"/>
      <c r="R2" s="3636"/>
      <c r="S2" s="3637"/>
    </row>
    <row r="3" spans="1:20" ht="15" customHeight="1" x14ac:dyDescent="0.2">
      <c r="A3" s="478">
        <v>2</v>
      </c>
      <c r="B3" s="478" t="s">
        <v>26</v>
      </c>
      <c r="C3" s="478"/>
      <c r="D3" s="3635" t="s">
        <v>408</v>
      </c>
      <c r="E3" s="3636"/>
      <c r="F3" s="3636"/>
      <c r="G3" s="3636"/>
      <c r="H3" s="3636"/>
      <c r="I3" s="3636"/>
      <c r="J3" s="3636"/>
      <c r="K3" s="3636"/>
      <c r="L3" s="3636"/>
      <c r="M3" s="3636"/>
      <c r="N3" s="3636"/>
      <c r="O3" s="3636"/>
      <c r="P3" s="3636"/>
      <c r="Q3" s="3636"/>
      <c r="R3" s="3636"/>
      <c r="S3" s="3637"/>
    </row>
    <row r="4" spans="1:20" ht="12.75" customHeight="1" x14ac:dyDescent="0.2">
      <c r="A4" s="478">
        <v>3</v>
      </c>
      <c r="B4" s="478" t="s">
        <v>28</v>
      </c>
      <c r="C4" s="478"/>
      <c r="D4" s="3635" t="s">
        <v>446</v>
      </c>
      <c r="E4" s="3636"/>
      <c r="F4" s="3636"/>
      <c r="G4" s="3636"/>
      <c r="H4" s="3636"/>
      <c r="I4" s="3636"/>
      <c r="J4" s="3636"/>
      <c r="K4" s="3636"/>
      <c r="L4" s="3636"/>
      <c r="M4" s="3636"/>
      <c r="N4" s="3636"/>
      <c r="O4" s="3636"/>
      <c r="P4" s="3636"/>
      <c r="Q4" s="3636"/>
      <c r="R4" s="3636"/>
      <c r="S4" s="3637"/>
    </row>
    <row r="5" spans="1:20" x14ac:dyDescent="0.2">
      <c r="C5" s="478"/>
      <c r="K5" s="538"/>
      <c r="L5" s="539"/>
      <c r="M5" s="539"/>
      <c r="N5" s="539"/>
      <c r="O5" s="539"/>
      <c r="P5" s="539"/>
      <c r="Q5" s="539"/>
      <c r="R5" s="539"/>
      <c r="S5" s="539"/>
      <c r="T5" s="540"/>
    </row>
    <row r="6" spans="1:20" x14ac:dyDescent="0.2">
      <c r="A6" s="478">
        <v>4</v>
      </c>
      <c r="B6" s="478" t="s">
        <v>1</v>
      </c>
      <c r="D6" s="490" t="s">
        <v>103</v>
      </c>
      <c r="E6" s="490" t="s">
        <v>408</v>
      </c>
      <c r="F6" s="490"/>
      <c r="G6" s="490"/>
      <c r="H6" s="490"/>
      <c r="I6" s="541"/>
      <c r="J6" s="541"/>
      <c r="K6" s="485"/>
      <c r="L6" s="539"/>
      <c r="M6" s="539"/>
      <c r="N6" s="539"/>
      <c r="O6" s="539"/>
      <c r="P6" s="539"/>
      <c r="Q6" s="539"/>
      <c r="R6" s="539"/>
      <c r="S6" s="539"/>
      <c r="T6" s="540"/>
    </row>
    <row r="7" spans="1:20" ht="14.45" customHeight="1" x14ac:dyDescent="0.2">
      <c r="D7" s="3253"/>
      <c r="E7" s="1558">
        <v>2001</v>
      </c>
      <c r="F7" s="1558">
        <v>2002</v>
      </c>
      <c r="G7" s="1558">
        <v>2003</v>
      </c>
      <c r="H7" s="1558">
        <v>2004</v>
      </c>
      <c r="I7" s="1558">
        <v>2005</v>
      </c>
      <c r="J7" s="1558">
        <v>2006</v>
      </c>
      <c r="K7" s="1558">
        <v>2007</v>
      </c>
      <c r="L7" s="1558">
        <v>2008</v>
      </c>
      <c r="M7" s="1558">
        <v>2009</v>
      </c>
      <c r="N7" s="1558">
        <v>2010</v>
      </c>
      <c r="O7" s="1558">
        <v>2011</v>
      </c>
      <c r="P7" s="1558">
        <v>2012</v>
      </c>
      <c r="Q7" s="1558">
        <v>2013</v>
      </c>
      <c r="R7" s="1558">
        <v>2014</v>
      </c>
      <c r="S7" s="3261">
        <v>2015</v>
      </c>
      <c r="T7" s="2641"/>
    </row>
    <row r="8" spans="1:20" x14ac:dyDescent="0.2">
      <c r="D8" s="3254" t="s">
        <v>430</v>
      </c>
      <c r="E8" s="1557"/>
      <c r="F8" s="1557"/>
      <c r="G8" s="1557"/>
      <c r="H8" s="1557"/>
      <c r="I8" s="1557"/>
      <c r="J8" s="1557"/>
      <c r="K8" s="1557"/>
      <c r="L8" s="1557"/>
      <c r="M8" s="1557"/>
      <c r="N8" s="1557"/>
      <c r="O8" s="1557"/>
      <c r="P8" s="1557"/>
      <c r="Q8" s="1557"/>
      <c r="R8" s="1557"/>
      <c r="S8" s="3262"/>
      <c r="T8" s="1557"/>
    </row>
    <row r="9" spans="1:20" x14ac:dyDescent="0.2">
      <c r="D9" s="3255" t="s">
        <v>447</v>
      </c>
      <c r="E9" s="2642">
        <v>2129</v>
      </c>
      <c r="F9" s="2642">
        <v>2177.5</v>
      </c>
      <c r="G9" s="2642">
        <v>2006</v>
      </c>
      <c r="H9" s="2642">
        <v>1998</v>
      </c>
      <c r="I9" s="2642">
        <v>2440.5</v>
      </c>
      <c r="J9" s="2642">
        <v>2573</v>
      </c>
      <c r="K9" s="2642">
        <v>2325</v>
      </c>
      <c r="L9" s="2642">
        <v>2379.9844079402401</v>
      </c>
      <c r="M9" s="2642">
        <v>2220.9082455121093</v>
      </c>
      <c r="N9" s="2642">
        <v>2258.5948090345109</v>
      </c>
      <c r="O9" s="2642">
        <v>2269.9426425158872</v>
      </c>
      <c r="P9" s="2642">
        <v>2274.6988455800774</v>
      </c>
      <c r="Q9" s="2642">
        <v>2365.6091728737533</v>
      </c>
      <c r="R9" s="2642">
        <v>2392.6113034777945</v>
      </c>
      <c r="S9" s="3263">
        <v>2637</v>
      </c>
      <c r="T9" s="539"/>
    </row>
    <row r="10" spans="1:20" ht="15.75" customHeight="1" x14ac:dyDescent="0.2">
      <c r="D10" s="3255" t="s">
        <v>448</v>
      </c>
      <c r="E10" s="2642">
        <v>7404</v>
      </c>
      <c r="F10" s="2642">
        <v>7410</v>
      </c>
      <c r="G10" s="2642">
        <v>7725</v>
      </c>
      <c r="H10" s="2642">
        <v>8039</v>
      </c>
      <c r="I10" s="2642">
        <v>8336.5</v>
      </c>
      <c r="J10" s="2642">
        <v>8675.5</v>
      </c>
      <c r="K10" s="2642">
        <v>9146.5</v>
      </c>
      <c r="L10" s="2642">
        <v>10083.17665144513</v>
      </c>
      <c r="M10" s="2642">
        <v>9966.943254108277</v>
      </c>
      <c r="N10" s="2642">
        <v>9626.6474084566908</v>
      </c>
      <c r="O10" s="2642">
        <v>9942.385411183106</v>
      </c>
      <c r="P10" s="2642">
        <v>10222.218489834988</v>
      </c>
      <c r="Q10" s="2642">
        <v>10524.415223359194</v>
      </c>
      <c r="R10" s="2642">
        <v>10822.210861710188</v>
      </c>
      <c r="S10" s="3263">
        <v>10935</v>
      </c>
      <c r="T10" s="539"/>
    </row>
    <row r="11" spans="1:20" x14ac:dyDescent="0.2">
      <c r="D11" s="3256" t="s">
        <v>449</v>
      </c>
      <c r="E11" s="2642">
        <v>861</v>
      </c>
      <c r="F11" s="2642">
        <v>1116.5</v>
      </c>
      <c r="G11" s="2642">
        <v>851</v>
      </c>
      <c r="H11" s="2642">
        <v>800.5</v>
      </c>
      <c r="I11" s="2642">
        <v>740</v>
      </c>
      <c r="J11" s="2642">
        <v>859.5</v>
      </c>
      <c r="K11" s="2642">
        <v>736.5</v>
      </c>
      <c r="L11" s="2642">
        <v>818.61495003769858</v>
      </c>
      <c r="M11" s="2642">
        <v>714.6480947219294</v>
      </c>
      <c r="N11" s="2642">
        <v>665.29209048298367</v>
      </c>
      <c r="O11" s="2642">
        <v>644.1343415675841</v>
      </c>
      <c r="P11" s="2642">
        <v>696.24244234158959</v>
      </c>
      <c r="Q11" s="2642">
        <v>739.95601888918736</v>
      </c>
      <c r="R11" s="2642">
        <v>701.50574996723083</v>
      </c>
      <c r="S11" s="3263">
        <v>880</v>
      </c>
      <c r="T11" s="539"/>
    </row>
    <row r="12" spans="1:20" x14ac:dyDescent="0.2">
      <c r="C12" s="478"/>
      <c r="D12" s="3256" t="s">
        <v>450</v>
      </c>
      <c r="E12" s="2642">
        <v>1267</v>
      </c>
      <c r="F12" s="2642">
        <v>1260.5</v>
      </c>
      <c r="G12" s="2642">
        <v>1230.5</v>
      </c>
      <c r="H12" s="2642">
        <v>1206.5</v>
      </c>
      <c r="I12" s="2642">
        <v>1251.5</v>
      </c>
      <c r="J12" s="2642">
        <v>1311</v>
      </c>
      <c r="K12" s="2642">
        <v>1258.5</v>
      </c>
      <c r="L12" s="2642">
        <v>1303.0850276473977</v>
      </c>
      <c r="M12" s="2642">
        <v>1291.3246197177054</v>
      </c>
      <c r="N12" s="2642">
        <v>1237.4418465182118</v>
      </c>
      <c r="O12" s="2642">
        <v>1213.5877452405825</v>
      </c>
      <c r="P12" s="2642">
        <v>1231.7294365782625</v>
      </c>
      <c r="Q12" s="2642">
        <v>1235.6474196773265</v>
      </c>
      <c r="R12" s="2642">
        <v>1229.9756276517362</v>
      </c>
      <c r="S12" s="3263">
        <v>1288</v>
      </c>
      <c r="T12" s="539"/>
    </row>
    <row r="13" spans="1:20" x14ac:dyDescent="0.2">
      <c r="D13" s="3257" t="s">
        <v>451</v>
      </c>
      <c r="E13" s="546">
        <v>11659.564736131906</v>
      </c>
      <c r="F13" s="546">
        <v>11965.041438403612</v>
      </c>
      <c r="G13" s="546">
        <v>11812.429745588339</v>
      </c>
      <c r="H13" s="546">
        <v>12043.837496420887</v>
      </c>
      <c r="I13" s="546">
        <v>12768.858708318956</v>
      </c>
      <c r="J13" s="546">
        <v>13418.80723334651</v>
      </c>
      <c r="K13" s="546">
        <v>13467.260828648677</v>
      </c>
      <c r="L13" s="546">
        <v>14584.861037070465</v>
      </c>
      <c r="M13" s="546">
        <v>14193.824214060021</v>
      </c>
      <c r="N13" s="546">
        <v>13787.976154492397</v>
      </c>
      <c r="O13" s="546">
        <v>14070.050140507159</v>
      </c>
      <c r="P13" s="546">
        <v>14424.889214334915</v>
      </c>
      <c r="Q13" s="546">
        <v>14865.627834799463</v>
      </c>
      <c r="R13" s="546">
        <v>15146.303542806947</v>
      </c>
      <c r="S13" s="3264">
        <v>15741</v>
      </c>
      <c r="T13" s="547"/>
    </row>
    <row r="14" spans="1:20" ht="15" customHeight="1" x14ac:dyDescent="0.2">
      <c r="D14" s="3258" t="s">
        <v>452</v>
      </c>
      <c r="E14" s="548"/>
      <c r="F14" s="549"/>
      <c r="G14" s="549"/>
      <c r="H14" s="549"/>
      <c r="I14" s="549"/>
      <c r="J14" s="549"/>
      <c r="K14" s="548"/>
      <c r="L14" s="548"/>
      <c r="M14" s="549"/>
      <c r="N14" s="549"/>
      <c r="O14" s="550"/>
      <c r="P14" s="550"/>
      <c r="Q14" s="551"/>
      <c r="R14" s="551"/>
      <c r="S14" s="3265"/>
      <c r="T14" s="540"/>
    </row>
    <row r="15" spans="1:20" ht="13.5" customHeight="1" x14ac:dyDescent="0.2">
      <c r="D15" s="3259" t="s">
        <v>453</v>
      </c>
      <c r="E15" s="553">
        <v>42.354965011895125</v>
      </c>
      <c r="F15" s="553">
        <v>42.835676155122592</v>
      </c>
      <c r="G15" s="553">
        <v>41.509571594326594</v>
      </c>
      <c r="H15" s="553">
        <v>41.590244863339606</v>
      </c>
      <c r="I15" s="553">
        <v>43.373047458502704</v>
      </c>
      <c r="J15" s="553">
        <v>44.893965416879368</v>
      </c>
      <c r="K15" s="553">
        <v>44.42933006491787</v>
      </c>
      <c r="L15" s="553">
        <v>45.914560268885658</v>
      </c>
      <c r="M15" s="553">
        <v>43.868181939782929</v>
      </c>
      <c r="N15" s="553">
        <v>41.836006429942699</v>
      </c>
      <c r="O15" s="553">
        <v>41.919411185819413</v>
      </c>
      <c r="P15" s="553">
        <v>42.208199263417832</v>
      </c>
      <c r="Q15" s="553">
        <v>42.727179824361301</v>
      </c>
      <c r="R15" s="553">
        <v>42.773691749481891</v>
      </c>
      <c r="S15" s="3266">
        <v>43.7</v>
      </c>
      <c r="T15" s="1545"/>
    </row>
    <row r="16" spans="1:20" ht="13.5" customHeight="1" x14ac:dyDescent="0.2">
      <c r="D16" s="3260" t="s">
        <v>454</v>
      </c>
      <c r="E16" s="3268">
        <v>57.356284207845142</v>
      </c>
      <c r="F16" s="3268">
        <v>58.826644319926004</v>
      </c>
      <c r="G16" s="3268">
        <v>56.960750812611352</v>
      </c>
      <c r="H16" s="3268">
        <v>55.218047341957003</v>
      </c>
      <c r="I16" s="3268">
        <v>56.950978913340322</v>
      </c>
      <c r="J16" s="3268">
        <v>58.015775618251709</v>
      </c>
      <c r="K16" s="3268">
        <v>57.203361484734927</v>
      </c>
      <c r="L16" s="3268">
        <v>59.284120220350218</v>
      </c>
      <c r="M16" s="3268">
        <v>57.474348716026704</v>
      </c>
      <c r="N16" s="3268">
        <v>55.686260729101676</v>
      </c>
      <c r="O16" s="3268">
        <v>55.734168268463293</v>
      </c>
      <c r="P16" s="3268">
        <v>56.180874434130402</v>
      </c>
      <c r="Q16" s="3268">
        <v>56.772236332336774</v>
      </c>
      <c r="R16" s="3268">
        <v>57.093090209531788</v>
      </c>
      <c r="S16" s="3269">
        <v>58.5</v>
      </c>
      <c r="T16" s="1545"/>
    </row>
    <row r="17" spans="1:19" ht="13.5" customHeight="1" x14ac:dyDescent="0.2">
      <c r="D17" s="484"/>
      <c r="E17" s="553"/>
      <c r="F17" s="553"/>
      <c r="G17" s="553"/>
      <c r="H17" s="553"/>
      <c r="I17" s="553"/>
      <c r="J17" s="553"/>
      <c r="K17" s="553"/>
      <c r="L17" s="553"/>
      <c r="M17" s="553"/>
      <c r="N17" s="553"/>
      <c r="O17" s="554"/>
      <c r="P17" s="555"/>
    </row>
    <row r="18" spans="1:19" ht="13.5" customHeight="1" x14ac:dyDescent="0.2">
      <c r="D18" s="491" t="s">
        <v>93</v>
      </c>
      <c r="E18" s="509" t="s">
        <v>455</v>
      </c>
      <c r="F18" s="553"/>
      <c r="G18" s="553"/>
      <c r="H18" s="553"/>
      <c r="I18" s="553"/>
      <c r="J18" s="553"/>
      <c r="K18" s="553"/>
      <c r="L18" s="553"/>
      <c r="M18" s="553"/>
      <c r="N18" s="553"/>
      <c r="O18" s="554"/>
      <c r="P18" s="554"/>
      <c r="Q18" s="540"/>
      <c r="R18" s="540"/>
      <c r="S18" s="540"/>
    </row>
    <row r="19" spans="1:19" ht="13.5" customHeight="1" x14ac:dyDescent="0.2">
      <c r="D19" s="3253"/>
      <c r="E19" s="1558">
        <v>2001</v>
      </c>
      <c r="F19" s="1558">
        <v>2002</v>
      </c>
      <c r="G19" s="1558">
        <v>2003</v>
      </c>
      <c r="H19" s="1558">
        <v>2004</v>
      </c>
      <c r="I19" s="1558">
        <v>2005</v>
      </c>
      <c r="J19" s="1558">
        <v>2006</v>
      </c>
      <c r="K19" s="1558">
        <v>2007</v>
      </c>
      <c r="L19" s="1558">
        <v>2008</v>
      </c>
      <c r="M19" s="1558">
        <v>2009</v>
      </c>
      <c r="N19" s="1558">
        <v>2010</v>
      </c>
      <c r="O19" s="1558">
        <v>2011</v>
      </c>
      <c r="P19" s="1558">
        <v>2012</v>
      </c>
      <c r="Q19" s="1558">
        <v>2013</v>
      </c>
      <c r="R19" s="1558">
        <v>2014</v>
      </c>
      <c r="S19" s="3261">
        <v>2015</v>
      </c>
    </row>
    <row r="20" spans="1:19" ht="13.5" customHeight="1" x14ac:dyDescent="0.2">
      <c r="D20" s="3270" t="s">
        <v>414</v>
      </c>
      <c r="E20" s="553">
        <v>31.756281049710992</v>
      </c>
      <c r="F20" s="553">
        <v>35.43249249356613</v>
      </c>
      <c r="G20" s="553">
        <v>30.136307155246108</v>
      </c>
      <c r="H20" s="553">
        <v>28.770622196134873</v>
      </c>
      <c r="I20" s="553">
        <v>33.969438150414064</v>
      </c>
      <c r="J20" s="553">
        <v>37.002732376839717</v>
      </c>
      <c r="K20" s="553">
        <v>33.089802916964068</v>
      </c>
      <c r="L20" s="553">
        <v>55.357592625292291</v>
      </c>
      <c r="M20" s="553">
        <v>54.734771226159026</v>
      </c>
      <c r="N20" s="553">
        <v>52.827080856504722</v>
      </c>
      <c r="O20" s="553">
        <v>52.597569564881354</v>
      </c>
      <c r="P20" s="553">
        <v>52.187546959623788</v>
      </c>
      <c r="Q20" s="553">
        <v>52.253103496242204</v>
      </c>
      <c r="R20" s="553">
        <v>52.420076534080252</v>
      </c>
      <c r="S20" s="3266">
        <v>53.8</v>
      </c>
    </row>
    <row r="21" spans="1:19" ht="13.5" customHeight="1" x14ac:dyDescent="0.2">
      <c r="D21" s="3270" t="s">
        <v>415</v>
      </c>
      <c r="E21" s="553">
        <v>48.118986816943426</v>
      </c>
      <c r="F21" s="553">
        <v>46.957257464035337</v>
      </c>
      <c r="G21" s="553">
        <v>46.827743982924439</v>
      </c>
      <c r="H21" s="553">
        <v>45.574803488252464</v>
      </c>
      <c r="I21" s="553">
        <v>44.506987053543853</v>
      </c>
      <c r="J21" s="553">
        <v>43.966376783882851</v>
      </c>
      <c r="K21" s="553">
        <v>45.187549606072579</v>
      </c>
      <c r="L21" s="553">
        <v>36.076712667771332</v>
      </c>
      <c r="M21" s="553">
        <v>34.312294153866802</v>
      </c>
      <c r="N21" s="553">
        <v>32.921125528464493</v>
      </c>
      <c r="O21" s="553">
        <v>32.608633294489302</v>
      </c>
      <c r="P21" s="553">
        <v>31.313589373415507</v>
      </c>
      <c r="Q21" s="553">
        <v>31.607840159426701</v>
      </c>
      <c r="R21" s="553">
        <v>32.730902683178229</v>
      </c>
      <c r="S21" s="3266">
        <v>33.5</v>
      </c>
    </row>
    <row r="22" spans="1:19" ht="13.5" customHeight="1" x14ac:dyDescent="0.2">
      <c r="D22" s="3270" t="s">
        <v>416</v>
      </c>
      <c r="E22" s="553">
        <v>52.146434149121035</v>
      </c>
      <c r="F22" s="553">
        <v>51.363396371286235</v>
      </c>
      <c r="G22" s="553">
        <v>50.688894562453441</v>
      </c>
      <c r="H22" s="553">
        <v>51.945681228477355</v>
      </c>
      <c r="I22" s="553">
        <v>55.653331725658894</v>
      </c>
      <c r="J22" s="553">
        <v>56.63234431213921</v>
      </c>
      <c r="K22" s="553">
        <v>56.750446157612728</v>
      </c>
      <c r="L22" s="553">
        <v>44.835318802074795</v>
      </c>
      <c r="M22" s="553">
        <v>40.237470817564521</v>
      </c>
      <c r="N22" s="553">
        <v>39.053352141657605</v>
      </c>
      <c r="O22" s="553">
        <v>38.612926530474425</v>
      </c>
      <c r="P22" s="553">
        <v>40.159138048603552</v>
      </c>
      <c r="Q22" s="553">
        <v>41.51464292508112</v>
      </c>
      <c r="R22" s="553">
        <v>40.519908465462024</v>
      </c>
      <c r="S22" s="3266">
        <v>39.700000000000003</v>
      </c>
    </row>
    <row r="23" spans="1:19" ht="13.5" customHeight="1" x14ac:dyDescent="0.2">
      <c r="D23" s="3270" t="s">
        <v>417</v>
      </c>
      <c r="E23" s="553">
        <v>37.84026634307228</v>
      </c>
      <c r="F23" s="553">
        <v>39.650391495348266</v>
      </c>
      <c r="G23" s="553">
        <v>38.55608012857013</v>
      </c>
      <c r="H23" s="553">
        <v>37.953896252788667</v>
      </c>
      <c r="I23" s="553">
        <v>39.145001543319552</v>
      </c>
      <c r="J23" s="553">
        <v>41.884000698801046</v>
      </c>
      <c r="K23" s="553">
        <v>40.648125503875114</v>
      </c>
      <c r="L23" s="553">
        <v>46.259960967314186</v>
      </c>
      <c r="M23" s="553">
        <v>43.370560560041454</v>
      </c>
      <c r="N23" s="553">
        <v>42.493113913762208</v>
      </c>
      <c r="O23" s="553">
        <v>42.627430205625508</v>
      </c>
      <c r="P23" s="553">
        <v>39.797085637587955</v>
      </c>
      <c r="Q23" s="553">
        <v>40.59486098934692</v>
      </c>
      <c r="R23" s="553">
        <v>40.33378683985886</v>
      </c>
      <c r="S23" s="3266">
        <v>43.1</v>
      </c>
    </row>
    <row r="24" spans="1:19" ht="13.5" customHeight="1" x14ac:dyDescent="0.2">
      <c r="D24" s="3270" t="s">
        <v>418</v>
      </c>
      <c r="E24" s="553">
        <v>29.66547048021247</v>
      </c>
      <c r="F24" s="553">
        <v>29.008284216250146</v>
      </c>
      <c r="G24" s="553">
        <v>27.39046632847014</v>
      </c>
      <c r="H24" s="553">
        <v>29.2355170313513</v>
      </c>
      <c r="I24" s="553">
        <v>28.547980818177294</v>
      </c>
      <c r="J24" s="553">
        <v>28.041642076381422</v>
      </c>
      <c r="K24" s="553">
        <v>29.912676109281428</v>
      </c>
      <c r="L24" s="553">
        <v>42.340741467452318</v>
      </c>
      <c r="M24" s="553">
        <v>39.740398793954242</v>
      </c>
      <c r="N24" s="553">
        <v>37.594927570092402</v>
      </c>
      <c r="O24" s="553">
        <v>38.053899242808754</v>
      </c>
      <c r="P24" s="553">
        <v>37.744007954394768</v>
      </c>
      <c r="Q24" s="553">
        <v>38.22127571640268</v>
      </c>
      <c r="R24" s="553">
        <v>37.633076187065654</v>
      </c>
      <c r="S24" s="3266">
        <v>38.1</v>
      </c>
    </row>
    <row r="25" spans="1:19" ht="13.5" customHeight="1" x14ac:dyDescent="0.2">
      <c r="D25" s="3270" t="s">
        <v>419</v>
      </c>
      <c r="E25" s="553">
        <v>40.929994905922378</v>
      </c>
      <c r="F25" s="553">
        <v>41.342464175175635</v>
      </c>
      <c r="G25" s="553">
        <v>41.047497216286835</v>
      </c>
      <c r="H25" s="553">
        <v>41.009779526760113</v>
      </c>
      <c r="I25" s="553">
        <v>41.117690100945417</v>
      </c>
      <c r="J25" s="553">
        <v>42.524456603313482</v>
      </c>
      <c r="K25" s="553">
        <v>42.979141009662492</v>
      </c>
      <c r="L25" s="553">
        <v>42.198658810393695</v>
      </c>
      <c r="M25" s="553">
        <v>38.861365321401635</v>
      </c>
      <c r="N25" s="553">
        <v>36.532931475532138</v>
      </c>
      <c r="O25" s="553">
        <v>34.773477252342254</v>
      </c>
      <c r="P25" s="553">
        <v>35.571194971079393</v>
      </c>
      <c r="Q25" s="553">
        <v>36.24843246608328</v>
      </c>
      <c r="R25" s="553">
        <v>37.938704259310029</v>
      </c>
      <c r="S25" s="3266">
        <v>38.5</v>
      </c>
    </row>
    <row r="26" spans="1:19" ht="13.5" customHeight="1" x14ac:dyDescent="0.2">
      <c r="D26" s="3270" t="s">
        <v>420</v>
      </c>
      <c r="E26" s="553">
        <v>36.579526202896787</v>
      </c>
      <c r="F26" s="553">
        <v>37.698776845275788</v>
      </c>
      <c r="G26" s="553">
        <v>35.878175548593717</v>
      </c>
      <c r="H26" s="553">
        <v>37.143136712459516</v>
      </c>
      <c r="I26" s="553">
        <v>40.090768969994727</v>
      </c>
      <c r="J26" s="553">
        <v>39.405559710359753</v>
      </c>
      <c r="K26" s="553">
        <v>39.934393024234069</v>
      </c>
      <c r="L26" s="553">
        <v>57.600698240728605</v>
      </c>
      <c r="M26" s="553">
        <v>54.465065341165477</v>
      </c>
      <c r="N26" s="553">
        <v>51.442640658544228</v>
      </c>
      <c r="O26" s="553">
        <v>51.632854370450275</v>
      </c>
      <c r="P26" s="553">
        <v>52.645299237483364</v>
      </c>
      <c r="Q26" s="553">
        <v>52.469354894865276</v>
      </c>
      <c r="R26" s="553">
        <v>51.699735538642386</v>
      </c>
      <c r="S26" s="3266">
        <v>52.3</v>
      </c>
    </row>
    <row r="27" spans="1:19" ht="13.5" customHeight="1" x14ac:dyDescent="0.2">
      <c r="D27" s="3270" t="s">
        <v>421</v>
      </c>
      <c r="E27" s="553">
        <v>46.439078334423655</v>
      </c>
      <c r="F27" s="553">
        <v>48.151308918118247</v>
      </c>
      <c r="G27" s="553">
        <v>46.500448351222161</v>
      </c>
      <c r="H27" s="553">
        <v>44.9244010462305</v>
      </c>
      <c r="I27" s="553">
        <v>41.569521739447126</v>
      </c>
      <c r="J27" s="553">
        <v>44.957282631949141</v>
      </c>
      <c r="K27" s="553">
        <v>44.288761888488338</v>
      </c>
      <c r="L27" s="553">
        <v>42.703224644637942</v>
      </c>
      <c r="M27" s="553">
        <v>41.543210943839583</v>
      </c>
      <c r="N27" s="553">
        <v>39.029207354418162</v>
      </c>
      <c r="O27" s="553">
        <v>39.00176365509482</v>
      </c>
      <c r="P27" s="553">
        <v>40.144686143569061</v>
      </c>
      <c r="Q27" s="553">
        <v>42.405584759613625</v>
      </c>
      <c r="R27" s="553">
        <v>41.875781452544615</v>
      </c>
      <c r="S27" s="3266">
        <v>42.7</v>
      </c>
    </row>
    <row r="28" spans="1:19" ht="13.5" customHeight="1" x14ac:dyDescent="0.2">
      <c r="D28" s="3270" t="s">
        <v>422</v>
      </c>
      <c r="E28" s="553">
        <v>54.627211637990555</v>
      </c>
      <c r="F28" s="553">
        <v>52.717945664570912</v>
      </c>
      <c r="G28" s="553">
        <v>53.547606020872365</v>
      </c>
      <c r="H28" s="553">
        <v>52.900933297850607</v>
      </c>
      <c r="I28" s="553">
        <v>52.857809310955346</v>
      </c>
      <c r="J28" s="553">
        <v>55.451761485237647</v>
      </c>
      <c r="K28" s="553">
        <v>55.09392751546099</v>
      </c>
      <c r="L28" s="553">
        <v>29.849987055280184</v>
      </c>
      <c r="M28" s="553">
        <v>30.422230394348638</v>
      </c>
      <c r="N28" s="553">
        <v>29.428922963203796</v>
      </c>
      <c r="O28" s="553">
        <v>30.16726620524032</v>
      </c>
      <c r="P28" s="553">
        <v>32.128848030470451</v>
      </c>
      <c r="Q28" s="553">
        <v>32.760004435444145</v>
      </c>
      <c r="R28" s="553">
        <v>34.17533411739273</v>
      </c>
      <c r="S28" s="3266">
        <v>36.200000000000003</v>
      </c>
    </row>
    <row r="29" spans="1:19" s="557" customFormat="1" ht="13.5" customHeight="1" x14ac:dyDescent="0.2">
      <c r="A29" s="478"/>
      <c r="B29" s="533"/>
      <c r="C29" s="533"/>
      <c r="D29" s="3271" t="s">
        <v>0</v>
      </c>
      <c r="E29" s="1559">
        <v>42.354965011895132</v>
      </c>
      <c r="F29" s="1559">
        <v>42.835676155122613</v>
      </c>
      <c r="G29" s="1559">
        <v>41.509571594326673</v>
      </c>
      <c r="H29" s="1559">
        <v>41.590244863339571</v>
      </c>
      <c r="I29" s="1559">
        <v>43.373047458502697</v>
      </c>
      <c r="J29" s="1559">
        <v>44.893965416879325</v>
      </c>
      <c r="K29" s="1559">
        <v>44.429330064917863</v>
      </c>
      <c r="L29" s="1559">
        <v>45.914560268885651</v>
      </c>
      <c r="M29" s="1559">
        <v>43.868181939782929</v>
      </c>
      <c r="N29" s="1559">
        <v>41.836006429942699</v>
      </c>
      <c r="O29" s="1559">
        <v>41.919411185819413</v>
      </c>
      <c r="P29" s="1559">
        <v>42.208199263417832</v>
      </c>
      <c r="Q29" s="1559">
        <v>42.727179824361301</v>
      </c>
      <c r="R29" s="1559">
        <v>42.773691749481927</v>
      </c>
      <c r="S29" s="3267">
        <v>43.7</v>
      </c>
    </row>
    <row r="30" spans="1:19" x14ac:dyDescent="0.2">
      <c r="N30" s="540"/>
    </row>
    <row r="31" spans="1:19" x14ac:dyDescent="0.2">
      <c r="D31" s="481"/>
      <c r="E31" s="558"/>
      <c r="F31" s="485"/>
      <c r="G31" s="558"/>
      <c r="H31" s="558"/>
      <c r="I31" s="559"/>
      <c r="J31" s="558"/>
      <c r="K31" s="558"/>
    </row>
    <row r="32" spans="1:19" x14ac:dyDescent="0.2">
      <c r="A32" s="478">
        <v>5</v>
      </c>
      <c r="B32" s="478" t="s">
        <v>77</v>
      </c>
      <c r="D32" s="481"/>
      <c r="E32" s="558"/>
      <c r="F32" s="485"/>
      <c r="G32" s="558"/>
      <c r="H32" s="558"/>
      <c r="I32" s="559"/>
      <c r="J32" s="558"/>
      <c r="K32" s="558"/>
    </row>
    <row r="33" spans="4:11" x14ac:dyDescent="0.2">
      <c r="D33" s="481"/>
      <c r="E33" s="558"/>
      <c r="F33" s="558"/>
      <c r="G33" s="558"/>
      <c r="H33" s="558"/>
      <c r="I33" s="558"/>
      <c r="J33" s="558"/>
      <c r="K33" s="558"/>
    </row>
    <row r="34" spans="4:11" x14ac:dyDescent="0.2">
      <c r="D34" s="481"/>
      <c r="E34" s="558"/>
      <c r="F34" s="558"/>
      <c r="G34" s="558"/>
      <c r="H34" s="558"/>
      <c r="I34" s="558"/>
      <c r="J34" s="558"/>
      <c r="K34" s="558"/>
    </row>
    <row r="35" spans="4:11" x14ac:dyDescent="0.2">
      <c r="D35" s="481"/>
      <c r="E35" s="558"/>
      <c r="F35" s="558"/>
      <c r="G35" s="558"/>
      <c r="H35" s="558"/>
      <c r="I35" s="558"/>
      <c r="J35" s="558"/>
      <c r="K35" s="558"/>
    </row>
    <row r="36" spans="4:11" x14ac:dyDescent="0.2">
      <c r="D36" s="481"/>
      <c r="E36" s="558"/>
      <c r="F36" s="558"/>
      <c r="G36" s="558"/>
      <c r="H36" s="558"/>
      <c r="I36" s="558"/>
      <c r="J36" s="558"/>
      <c r="K36" s="558"/>
    </row>
    <row r="37" spans="4:11" x14ac:dyDescent="0.2">
      <c r="D37" s="481"/>
      <c r="E37" s="558"/>
      <c r="F37" s="558"/>
      <c r="G37" s="558"/>
      <c r="H37" s="558"/>
      <c r="I37" s="558"/>
      <c r="J37" s="558"/>
      <c r="K37" s="558"/>
    </row>
    <row r="38" spans="4:11" x14ac:dyDescent="0.2">
      <c r="D38" s="481"/>
      <c r="E38" s="558"/>
      <c r="F38" s="558"/>
      <c r="G38" s="558"/>
      <c r="H38" s="558"/>
      <c r="I38" s="558"/>
      <c r="J38" s="558"/>
      <c r="K38" s="558"/>
    </row>
    <row r="39" spans="4:11" x14ac:dyDescent="0.2">
      <c r="D39" s="481"/>
      <c r="E39" s="558"/>
      <c r="F39" s="558"/>
      <c r="G39" s="558"/>
      <c r="H39" s="558"/>
      <c r="I39" s="558"/>
      <c r="J39" s="558"/>
      <c r="K39" s="558"/>
    </row>
    <row r="40" spans="4:11" x14ac:dyDescent="0.2">
      <c r="D40" s="481"/>
      <c r="E40" s="558"/>
      <c r="F40" s="558"/>
      <c r="G40" s="558"/>
      <c r="H40" s="558"/>
      <c r="I40" s="558"/>
      <c r="J40" s="558"/>
      <c r="K40" s="558"/>
    </row>
    <row r="41" spans="4:11" x14ac:dyDescent="0.2">
      <c r="D41" s="481"/>
      <c r="E41" s="558"/>
      <c r="F41" s="558"/>
      <c r="G41" s="558"/>
      <c r="H41" s="558"/>
      <c r="I41" s="558"/>
      <c r="J41" s="558"/>
      <c r="K41" s="558"/>
    </row>
    <row r="42" spans="4:11" x14ac:dyDescent="0.2">
      <c r="D42" s="481"/>
      <c r="E42" s="558"/>
      <c r="F42" s="558"/>
      <c r="G42" s="558"/>
      <c r="H42" s="558"/>
      <c r="I42" s="558"/>
      <c r="J42" s="558"/>
      <c r="K42" s="558"/>
    </row>
    <row r="43" spans="4:11" x14ac:dyDescent="0.2">
      <c r="D43" s="481"/>
      <c r="E43" s="481"/>
      <c r="F43" s="481"/>
      <c r="G43" s="481"/>
      <c r="H43" s="481"/>
      <c r="I43" s="481"/>
      <c r="J43" s="481"/>
      <c r="K43" s="481"/>
    </row>
    <row r="44" spans="4:11" x14ac:dyDescent="0.2">
      <c r="D44" s="481"/>
      <c r="E44" s="481"/>
      <c r="F44" s="481"/>
      <c r="G44" s="481"/>
      <c r="H44" s="481"/>
      <c r="I44" s="481"/>
      <c r="J44" s="481"/>
      <c r="K44" s="481"/>
    </row>
    <row r="45" spans="4:11" x14ac:dyDescent="0.2">
      <c r="D45" s="481"/>
      <c r="E45" s="481"/>
      <c r="F45" s="481"/>
      <c r="G45" s="481"/>
      <c r="H45" s="481"/>
      <c r="I45" s="481"/>
      <c r="J45" s="481"/>
      <c r="K45" s="481"/>
    </row>
    <row r="46" spans="4:11" x14ac:dyDescent="0.2">
      <c r="D46" s="481"/>
      <c r="E46" s="481"/>
      <c r="F46" s="481"/>
      <c r="G46" s="481"/>
      <c r="H46" s="481"/>
      <c r="I46" s="481"/>
      <c r="J46" s="481"/>
      <c r="K46" s="481"/>
    </row>
    <row r="47" spans="4:11" x14ac:dyDescent="0.2">
      <c r="D47" s="481"/>
      <c r="E47" s="481"/>
      <c r="F47" s="481"/>
      <c r="G47" s="481"/>
      <c r="H47" s="481"/>
      <c r="I47" s="481"/>
      <c r="J47" s="481"/>
      <c r="K47" s="481"/>
    </row>
    <row r="48" spans="4:11" x14ac:dyDescent="0.2">
      <c r="D48" s="481"/>
      <c r="E48" s="481"/>
      <c r="F48" s="481"/>
      <c r="G48" s="481"/>
      <c r="H48" s="481"/>
      <c r="I48" s="481"/>
      <c r="J48" s="481"/>
      <c r="K48" s="481"/>
    </row>
    <row r="49" spans="1:19" x14ac:dyDescent="0.2">
      <c r="D49" s="481"/>
      <c r="E49" s="481"/>
      <c r="F49" s="481"/>
      <c r="G49" s="481"/>
      <c r="H49" s="481"/>
      <c r="I49" s="481"/>
      <c r="J49" s="481"/>
      <c r="K49" s="481"/>
    </row>
    <row r="50" spans="1:19" x14ac:dyDescent="0.2">
      <c r="D50" s="481"/>
      <c r="E50" s="481"/>
      <c r="F50" s="481"/>
      <c r="G50" s="481"/>
      <c r="H50" s="481"/>
      <c r="I50" s="481"/>
      <c r="J50" s="481"/>
      <c r="K50" s="481"/>
    </row>
    <row r="51" spans="1:19" x14ac:dyDescent="0.2">
      <c r="D51" s="481"/>
      <c r="E51" s="481"/>
      <c r="F51" s="481"/>
      <c r="G51" s="481"/>
      <c r="H51" s="481"/>
      <c r="I51" s="481"/>
      <c r="J51" s="481"/>
      <c r="K51" s="481"/>
    </row>
    <row r="52" spans="1:19" ht="15" customHeight="1" x14ac:dyDescent="0.2">
      <c r="A52" s="478">
        <v>6</v>
      </c>
      <c r="B52" s="478" t="s">
        <v>78</v>
      </c>
      <c r="C52" s="478"/>
      <c r="D52" s="3635" t="s">
        <v>295</v>
      </c>
      <c r="E52" s="3636"/>
      <c r="F52" s="3636"/>
      <c r="G52" s="3636"/>
      <c r="H52" s="3636"/>
      <c r="I52" s="3636"/>
      <c r="J52" s="3636"/>
      <c r="K52" s="3636"/>
      <c r="L52" s="3636"/>
      <c r="M52" s="3636"/>
      <c r="N52" s="3636"/>
      <c r="O52" s="3636"/>
      <c r="P52" s="3636"/>
      <c r="Q52" s="3636"/>
      <c r="R52" s="3636"/>
      <c r="S52" s="3637"/>
    </row>
    <row r="53" spans="1:19" ht="56.25" customHeight="1" x14ac:dyDescent="0.2">
      <c r="A53" s="516">
        <v>7</v>
      </c>
      <c r="B53" s="516" t="s">
        <v>80</v>
      </c>
      <c r="C53" s="516"/>
      <c r="D53" s="3635" t="s">
        <v>456</v>
      </c>
      <c r="E53" s="3636"/>
      <c r="F53" s="3636"/>
      <c r="G53" s="3636"/>
      <c r="H53" s="3636"/>
      <c r="I53" s="3636"/>
      <c r="J53" s="3636"/>
      <c r="K53" s="3636"/>
      <c r="L53" s="3636"/>
      <c r="M53" s="3636"/>
      <c r="N53" s="3636"/>
      <c r="O53" s="3636"/>
      <c r="P53" s="3636"/>
      <c r="Q53" s="3636"/>
      <c r="R53" s="3636"/>
      <c r="S53" s="3637"/>
    </row>
    <row r="54" spans="1:19" ht="20.45" customHeight="1" x14ac:dyDescent="0.2">
      <c r="A54" s="478">
        <v>8</v>
      </c>
      <c r="B54" s="478" t="s">
        <v>20</v>
      </c>
      <c r="C54" s="478"/>
      <c r="D54" s="3635" t="s">
        <v>457</v>
      </c>
      <c r="E54" s="3636"/>
      <c r="F54" s="3636"/>
      <c r="G54" s="3636"/>
      <c r="H54" s="3636"/>
      <c r="I54" s="3636"/>
      <c r="J54" s="3636"/>
      <c r="K54" s="3636"/>
      <c r="L54" s="3636"/>
      <c r="M54" s="3636"/>
      <c r="N54" s="3636"/>
      <c r="O54" s="3636"/>
      <c r="P54" s="3636"/>
      <c r="Q54" s="3636"/>
      <c r="R54" s="3636"/>
      <c r="S54" s="3637"/>
    </row>
    <row r="55" spans="1:19" ht="30.75" customHeight="1" x14ac:dyDescent="0.2">
      <c r="A55" s="478">
        <v>9</v>
      </c>
      <c r="B55" s="478" t="s">
        <v>22</v>
      </c>
      <c r="C55" s="478"/>
      <c r="D55" s="3635" t="s">
        <v>458</v>
      </c>
      <c r="E55" s="3636"/>
      <c r="F55" s="3636"/>
      <c r="G55" s="3636"/>
      <c r="H55" s="3636"/>
      <c r="I55" s="3636"/>
      <c r="J55" s="3636"/>
      <c r="K55" s="3636"/>
      <c r="L55" s="3636"/>
      <c r="M55" s="3636"/>
      <c r="N55" s="3636"/>
      <c r="O55" s="3636"/>
      <c r="P55" s="3636"/>
      <c r="Q55" s="3636"/>
      <c r="R55" s="3636"/>
      <c r="S55" s="3637"/>
    </row>
    <row r="57" spans="1:19" s="555" customFormat="1" hidden="1" x14ac:dyDescent="0.2">
      <c r="A57" s="494"/>
      <c r="B57" s="495"/>
      <c r="C57" s="495"/>
      <c r="D57" s="2643" t="s">
        <v>93</v>
      </c>
      <c r="E57" s="2643" t="s">
        <v>459</v>
      </c>
      <c r="F57" s="560"/>
      <c r="G57" s="560"/>
      <c r="H57" s="560"/>
      <c r="I57" s="560"/>
      <c r="J57" s="560"/>
      <c r="K57" s="560"/>
      <c r="L57" s="560"/>
      <c r="M57" s="560"/>
      <c r="O57" s="554"/>
      <c r="Q57" s="554"/>
    </row>
    <row r="58" spans="1:19" s="555" customFormat="1" hidden="1" x14ac:dyDescent="0.2">
      <c r="A58" s="494"/>
      <c r="B58" s="495"/>
      <c r="C58" s="495"/>
      <c r="D58" s="561"/>
      <c r="E58" s="543">
        <v>2001</v>
      </c>
      <c r="F58" s="543">
        <v>2002</v>
      </c>
      <c r="G58" s="543">
        <v>2003</v>
      </c>
      <c r="H58" s="543">
        <v>2004</v>
      </c>
      <c r="I58" s="543">
        <v>2005</v>
      </c>
      <c r="J58" s="543">
        <v>2006</v>
      </c>
      <c r="K58" s="543">
        <v>2007</v>
      </c>
      <c r="L58" s="543">
        <v>2008</v>
      </c>
      <c r="M58" s="543">
        <v>2009</v>
      </c>
      <c r="N58" s="543">
        <v>2010</v>
      </c>
      <c r="O58" s="543">
        <v>2011</v>
      </c>
      <c r="P58" s="543">
        <v>2012</v>
      </c>
      <c r="Q58" s="543">
        <v>2013</v>
      </c>
      <c r="R58" s="543">
        <v>2014</v>
      </c>
      <c r="S58" s="543">
        <v>2015</v>
      </c>
    </row>
    <row r="59" spans="1:19" s="555" customFormat="1" hidden="1" x14ac:dyDescent="0.2">
      <c r="A59" s="494"/>
      <c r="B59" s="495"/>
      <c r="C59" s="495"/>
      <c r="D59" s="562"/>
      <c r="E59" s="544"/>
      <c r="F59" s="544"/>
      <c r="G59" s="544"/>
      <c r="H59" s="544"/>
      <c r="I59" s="544"/>
      <c r="J59" s="544"/>
      <c r="K59" s="544"/>
      <c r="L59" s="544"/>
      <c r="M59" s="544"/>
      <c r="N59" s="544"/>
      <c r="O59" s="544"/>
      <c r="P59" s="544"/>
      <c r="Q59" s="544"/>
      <c r="R59" s="544"/>
      <c r="S59" s="544"/>
    </row>
    <row r="60" spans="1:19" s="555" customFormat="1" hidden="1" x14ac:dyDescent="0.2">
      <c r="A60" s="494"/>
      <c r="B60" s="495"/>
      <c r="C60" s="495"/>
      <c r="D60" s="556"/>
      <c r="E60" s="563"/>
      <c r="F60" s="563"/>
      <c r="G60" s="563"/>
      <c r="H60" s="563"/>
      <c r="I60" s="563"/>
      <c r="J60" s="563"/>
      <c r="K60" s="563"/>
      <c r="L60" s="563"/>
      <c r="M60" s="563"/>
      <c r="N60" s="563"/>
      <c r="O60" s="563"/>
      <c r="P60" s="563"/>
      <c r="Q60" s="563"/>
      <c r="R60" s="563"/>
      <c r="S60" s="563"/>
    </row>
    <row r="61" spans="1:19" s="555" customFormat="1" hidden="1" x14ac:dyDescent="0.2">
      <c r="A61" s="494"/>
      <c r="B61" s="495"/>
      <c r="C61" s="495"/>
      <c r="D61" s="556" t="s">
        <v>414</v>
      </c>
      <c r="E61" s="552">
        <v>31.756281049710992</v>
      </c>
      <c r="F61" s="552">
        <v>35.43249249356613</v>
      </c>
      <c r="G61" s="552">
        <v>30.136307155246108</v>
      </c>
      <c r="H61" s="552">
        <v>28.770622196134873</v>
      </c>
      <c r="I61" s="552">
        <v>33.969438150414064</v>
      </c>
      <c r="J61" s="552">
        <v>37.002732376839717</v>
      </c>
      <c r="K61" s="552">
        <v>33.089802916964068</v>
      </c>
      <c r="L61" s="552">
        <v>67.402334420097162</v>
      </c>
      <c r="M61" s="552">
        <v>68.71309365932602</v>
      </c>
      <c r="N61" s="552">
        <v>67.181331381611528</v>
      </c>
      <c r="O61" s="552">
        <v>67.268438124564341</v>
      </c>
      <c r="P61" s="552">
        <v>68.133064522252837</v>
      </c>
      <c r="Q61" s="552">
        <v>67.5710171210428</v>
      </c>
      <c r="R61" s="552">
        <v>67.849999999999994</v>
      </c>
      <c r="S61" s="552">
        <v>67.849999999999994</v>
      </c>
    </row>
    <row r="62" spans="1:19" s="555" customFormat="1" hidden="1" x14ac:dyDescent="0.2">
      <c r="A62" s="494"/>
      <c r="B62" s="495"/>
      <c r="C62" s="495"/>
      <c r="D62" s="556" t="s">
        <v>415</v>
      </c>
      <c r="E62" s="552">
        <v>48.118986816943426</v>
      </c>
      <c r="F62" s="552">
        <v>46.957257464035337</v>
      </c>
      <c r="G62" s="552">
        <v>46.827743982924439</v>
      </c>
      <c r="H62" s="552">
        <v>45.574803488252464</v>
      </c>
      <c r="I62" s="552">
        <v>44.506987053543853</v>
      </c>
      <c r="J62" s="552">
        <v>43.966376783882851</v>
      </c>
      <c r="K62" s="552">
        <v>45.187549606072579</v>
      </c>
      <c r="L62" s="552">
        <v>47.081367823634537</v>
      </c>
      <c r="M62" s="552">
        <v>45.79748647809906</v>
      </c>
      <c r="N62" s="552">
        <v>44.136744911398822</v>
      </c>
      <c r="O62" s="552">
        <v>44.271779811641132</v>
      </c>
      <c r="P62" s="552">
        <v>43.899267479668282</v>
      </c>
      <c r="Q62" s="552">
        <v>45.459701462787912</v>
      </c>
      <c r="R62" s="552">
        <v>47.024999999999999</v>
      </c>
      <c r="S62" s="552">
        <v>47.075000000000003</v>
      </c>
    </row>
    <row r="63" spans="1:19" s="555" customFormat="1" hidden="1" x14ac:dyDescent="0.2">
      <c r="A63" s="494"/>
      <c r="B63" s="495"/>
      <c r="C63" s="495"/>
      <c r="D63" s="556" t="s">
        <v>416</v>
      </c>
      <c r="E63" s="552">
        <v>52.146434149121035</v>
      </c>
      <c r="F63" s="552">
        <v>51.363396371286235</v>
      </c>
      <c r="G63" s="552">
        <v>50.688894562453441</v>
      </c>
      <c r="H63" s="552">
        <v>51.945681228477355</v>
      </c>
      <c r="I63" s="552">
        <v>55.653331725658894</v>
      </c>
      <c r="J63" s="552">
        <v>56.63234431213921</v>
      </c>
      <c r="K63" s="552">
        <v>56.750446157612728</v>
      </c>
      <c r="L63" s="552">
        <v>58.105532134282548</v>
      </c>
      <c r="M63" s="552">
        <v>54.787157000735576</v>
      </c>
      <c r="N63" s="552">
        <v>53.089707151141681</v>
      </c>
      <c r="O63" s="552">
        <v>53.967248891981811</v>
      </c>
      <c r="P63" s="552">
        <v>56.00434808136383</v>
      </c>
      <c r="Q63" s="552">
        <v>57.564949089607296</v>
      </c>
      <c r="R63" s="552">
        <v>57.85</v>
      </c>
      <c r="S63" s="552">
        <v>58.349999999999994</v>
      </c>
    </row>
    <row r="64" spans="1:19" s="555" customFormat="1" hidden="1" x14ac:dyDescent="0.2">
      <c r="A64" s="494"/>
      <c r="B64" s="495"/>
      <c r="C64" s="495"/>
      <c r="D64" s="556" t="s">
        <v>417</v>
      </c>
      <c r="E64" s="552">
        <v>37.84026634307228</v>
      </c>
      <c r="F64" s="552">
        <v>39.650391495348266</v>
      </c>
      <c r="G64" s="552">
        <v>38.55608012857013</v>
      </c>
      <c r="H64" s="552">
        <v>37.953896252788667</v>
      </c>
      <c r="I64" s="552">
        <v>39.145001543319552</v>
      </c>
      <c r="J64" s="552">
        <v>41.884000698801046</v>
      </c>
      <c r="K64" s="552">
        <v>40.648125503875114</v>
      </c>
      <c r="L64" s="552">
        <v>60.587454841631043</v>
      </c>
      <c r="M64" s="552">
        <v>58.616953159557525</v>
      </c>
      <c r="N64" s="552">
        <v>58.858286858247077</v>
      </c>
      <c r="O64" s="552">
        <v>58.783585537164079</v>
      </c>
      <c r="P64" s="552">
        <v>58.720660619177458</v>
      </c>
      <c r="Q64" s="552">
        <v>60.276779482107699</v>
      </c>
      <c r="R64" s="552">
        <v>61.199999999999996</v>
      </c>
      <c r="S64" s="552">
        <v>62.2</v>
      </c>
    </row>
    <row r="65" spans="1:19" s="555" customFormat="1" hidden="1" x14ac:dyDescent="0.2">
      <c r="A65" s="494"/>
      <c r="B65" s="495"/>
      <c r="C65" s="495"/>
      <c r="D65" s="556" t="s">
        <v>418</v>
      </c>
      <c r="E65" s="552">
        <v>29.66547048021247</v>
      </c>
      <c r="F65" s="552">
        <v>29.008284216250146</v>
      </c>
      <c r="G65" s="552">
        <v>27.39046632847014</v>
      </c>
      <c r="H65" s="552">
        <v>29.2355170313513</v>
      </c>
      <c r="I65" s="552">
        <v>28.547980818177294</v>
      </c>
      <c r="J65" s="552">
        <v>28.041642076381422</v>
      </c>
      <c r="K65" s="552">
        <v>29.912676109281428</v>
      </c>
      <c r="L65" s="552">
        <v>54.048818956118303</v>
      </c>
      <c r="M65" s="552">
        <v>49.430295200031111</v>
      </c>
      <c r="N65" s="552">
        <v>46.792543708363787</v>
      </c>
      <c r="O65" s="552">
        <v>47.183343604032075</v>
      </c>
      <c r="P65" s="552">
        <v>47.436524626204005</v>
      </c>
      <c r="Q65" s="552">
        <v>48.25520582701089</v>
      </c>
      <c r="R65" s="552">
        <v>48.45</v>
      </c>
      <c r="S65" s="552">
        <v>48.325000000000003</v>
      </c>
    </row>
    <row r="66" spans="1:19" s="555" customFormat="1" hidden="1" x14ac:dyDescent="0.2">
      <c r="A66" s="494"/>
      <c r="B66" s="495"/>
      <c r="C66" s="495"/>
      <c r="D66" s="556" t="s">
        <v>419</v>
      </c>
      <c r="E66" s="552">
        <v>40.929994905922378</v>
      </c>
      <c r="F66" s="552">
        <v>41.342464175175635</v>
      </c>
      <c r="G66" s="552">
        <v>41.047497216286835</v>
      </c>
      <c r="H66" s="552">
        <v>41.009779526760113</v>
      </c>
      <c r="I66" s="552">
        <v>41.117690100945417</v>
      </c>
      <c r="J66" s="552">
        <v>42.524456603313482</v>
      </c>
      <c r="K66" s="552">
        <v>42.979141009662492</v>
      </c>
      <c r="L66" s="552">
        <v>55.735171620413055</v>
      </c>
      <c r="M66" s="552">
        <v>53.40959874334353</v>
      </c>
      <c r="N66" s="552">
        <v>49.673576483168198</v>
      </c>
      <c r="O66" s="552">
        <v>47.137520254371054</v>
      </c>
      <c r="P66" s="552">
        <v>47.489980766126294</v>
      </c>
      <c r="Q66" s="552">
        <v>49.435493960628463</v>
      </c>
      <c r="R66" s="552">
        <v>51.55</v>
      </c>
      <c r="S66" s="552">
        <v>51.9</v>
      </c>
    </row>
    <row r="67" spans="1:19" s="555" customFormat="1" hidden="1" x14ac:dyDescent="0.2">
      <c r="A67" s="494"/>
      <c r="B67" s="495"/>
      <c r="C67" s="495"/>
      <c r="D67" s="556" t="s">
        <v>420</v>
      </c>
      <c r="E67" s="552">
        <v>36.579526202896787</v>
      </c>
      <c r="F67" s="552">
        <v>37.698776845275788</v>
      </c>
      <c r="G67" s="552">
        <v>35.878175548593717</v>
      </c>
      <c r="H67" s="552">
        <v>37.143136712459516</v>
      </c>
      <c r="I67" s="552">
        <v>40.090768969994727</v>
      </c>
      <c r="J67" s="552">
        <v>39.405559710359753</v>
      </c>
      <c r="K67" s="552">
        <v>39.934393024234069</v>
      </c>
      <c r="L67" s="552">
        <v>73.392508774971361</v>
      </c>
      <c r="M67" s="552">
        <v>71.556116454128556</v>
      </c>
      <c r="N67" s="552">
        <v>70.570018644927956</v>
      </c>
      <c r="O67" s="552">
        <v>70.815583560683365</v>
      </c>
      <c r="P67" s="552">
        <v>70.14305864277928</v>
      </c>
      <c r="Q67" s="552">
        <v>69.8824688933435</v>
      </c>
      <c r="R67" s="552">
        <v>68.850000000000009</v>
      </c>
      <c r="S67" s="552">
        <v>72.474999999999994</v>
      </c>
    </row>
    <row r="68" spans="1:19" s="555" customFormat="1" hidden="1" x14ac:dyDescent="0.2">
      <c r="A68" s="494"/>
      <c r="B68" s="495"/>
      <c r="C68" s="495"/>
      <c r="D68" s="556" t="s">
        <v>421</v>
      </c>
      <c r="E68" s="552">
        <v>46.439078334423655</v>
      </c>
      <c r="F68" s="552">
        <v>48.151308918118247</v>
      </c>
      <c r="G68" s="552">
        <v>46.500448351222161</v>
      </c>
      <c r="H68" s="552">
        <v>44.9244010462305</v>
      </c>
      <c r="I68" s="552">
        <v>41.569521739447126</v>
      </c>
      <c r="J68" s="552">
        <v>44.957282631949141</v>
      </c>
      <c r="K68" s="552">
        <v>44.288761888488338</v>
      </c>
      <c r="L68" s="552">
        <v>55.747256729499959</v>
      </c>
      <c r="M68" s="552">
        <v>55.739634143491365</v>
      </c>
      <c r="N68" s="552">
        <v>54.366991964327262</v>
      </c>
      <c r="O68" s="552">
        <v>55.115238141098018</v>
      </c>
      <c r="P68" s="552">
        <v>56.913954577713284</v>
      </c>
      <c r="Q68" s="552">
        <v>58.865436022511339</v>
      </c>
      <c r="R68" s="552">
        <v>58.975000000000001</v>
      </c>
      <c r="S68" s="552">
        <v>58.45</v>
      </c>
    </row>
    <row r="69" spans="1:19" s="555" customFormat="1" hidden="1" x14ac:dyDescent="0.2">
      <c r="A69" s="494"/>
      <c r="B69" s="495"/>
      <c r="C69" s="495"/>
      <c r="D69" s="556" t="s">
        <v>422</v>
      </c>
      <c r="E69" s="552">
        <v>54.627211637990555</v>
      </c>
      <c r="F69" s="552">
        <v>52.717945664570912</v>
      </c>
      <c r="G69" s="552">
        <v>53.547606020872365</v>
      </c>
      <c r="H69" s="552">
        <v>52.900933297850607</v>
      </c>
      <c r="I69" s="552">
        <v>52.857809310955346</v>
      </c>
      <c r="J69" s="552">
        <v>55.451761485237647</v>
      </c>
      <c r="K69" s="552">
        <v>55.09392751546099</v>
      </c>
      <c r="L69" s="552">
        <v>42.477564972253234</v>
      </c>
      <c r="M69" s="552">
        <v>41.068008902965502</v>
      </c>
      <c r="N69" s="552">
        <v>37.985657210378477</v>
      </c>
      <c r="O69" s="552">
        <v>37.531726069560555</v>
      </c>
      <c r="P69" s="552">
        <v>40.402616924759705</v>
      </c>
      <c r="Q69" s="552">
        <v>39.945110444803397</v>
      </c>
      <c r="R69" s="552">
        <v>40.924999999999997</v>
      </c>
      <c r="S69" s="552">
        <v>44.924999999999997</v>
      </c>
    </row>
    <row r="70" spans="1:19" s="555" customFormat="1" hidden="1" x14ac:dyDescent="0.2">
      <c r="A70" s="494"/>
      <c r="B70" s="495"/>
      <c r="C70" s="495"/>
      <c r="D70" s="564" t="s">
        <v>0</v>
      </c>
      <c r="E70" s="2644">
        <v>42.354965011895132</v>
      </c>
      <c r="F70" s="2644">
        <v>42.835676155122613</v>
      </c>
      <c r="G70" s="2644">
        <v>41.509571594326673</v>
      </c>
      <c r="H70" s="2644">
        <v>41.590244863339571</v>
      </c>
      <c r="I70" s="2644">
        <v>43.373047458502697</v>
      </c>
      <c r="J70" s="2644">
        <v>44.893965416879325</v>
      </c>
      <c r="K70" s="2644">
        <v>44.429330064917863</v>
      </c>
      <c r="L70" s="2644">
        <v>59.284120220350218</v>
      </c>
      <c r="M70" s="2644">
        <v>57.474348716026704</v>
      </c>
      <c r="N70" s="2644">
        <v>55.686260729101676</v>
      </c>
      <c r="O70" s="2644">
        <v>55.734168268463293</v>
      </c>
      <c r="P70" s="2644">
        <v>56.180874434130402</v>
      </c>
      <c r="Q70" s="2644">
        <v>56.772236332336774</v>
      </c>
      <c r="R70" s="2644">
        <v>57.1</v>
      </c>
      <c r="S70" s="2644">
        <v>58.5</v>
      </c>
    </row>
    <row r="71" spans="1:19" s="555" customFormat="1" hidden="1" x14ac:dyDescent="0.2">
      <c r="A71" s="494"/>
      <c r="B71" s="495"/>
      <c r="C71" s="495"/>
    </row>
    <row r="72" spans="1:19" s="555" customFormat="1" hidden="1" x14ac:dyDescent="0.2">
      <c r="A72" s="494"/>
      <c r="B72" s="495"/>
      <c r="C72" s="495"/>
      <c r="D72" s="2643" t="s">
        <v>93</v>
      </c>
      <c r="E72" s="2643" t="s">
        <v>460</v>
      </c>
      <c r="F72" s="560"/>
      <c r="G72" s="560"/>
      <c r="H72" s="560"/>
      <c r="I72" s="560"/>
      <c r="J72" s="560"/>
      <c r="K72" s="560"/>
      <c r="L72" s="560"/>
      <c r="M72" s="560"/>
      <c r="O72" s="554"/>
    </row>
    <row r="73" spans="1:19" s="555" customFormat="1" hidden="1" x14ac:dyDescent="0.2">
      <c r="A73" s="494"/>
      <c r="B73" s="495"/>
      <c r="C73" s="495"/>
      <c r="D73" s="561"/>
      <c r="E73" s="543">
        <v>2001</v>
      </c>
      <c r="F73" s="543">
        <v>2002</v>
      </c>
      <c r="G73" s="543">
        <v>2003</v>
      </c>
      <c r="H73" s="543">
        <v>2004</v>
      </c>
      <c r="I73" s="543">
        <v>2005</v>
      </c>
      <c r="J73" s="543">
        <v>2006</v>
      </c>
      <c r="K73" s="543">
        <v>2007</v>
      </c>
      <c r="L73" s="543">
        <v>2008</v>
      </c>
      <c r="M73" s="543">
        <v>2009</v>
      </c>
      <c r="N73" s="543">
        <v>2010</v>
      </c>
      <c r="O73" s="543">
        <v>2011</v>
      </c>
      <c r="P73" s="543">
        <v>2012</v>
      </c>
      <c r="Q73" s="543">
        <v>2013</v>
      </c>
      <c r="R73" s="543">
        <v>2014</v>
      </c>
      <c r="S73" s="543">
        <v>2015</v>
      </c>
    </row>
    <row r="74" spans="1:19" s="555" customFormat="1" hidden="1" x14ac:dyDescent="0.2">
      <c r="A74" s="494"/>
      <c r="B74" s="495"/>
      <c r="C74" s="495"/>
      <c r="D74" s="562"/>
      <c r="E74" s="544"/>
      <c r="F74" s="544"/>
      <c r="G74" s="544"/>
      <c r="H74" s="544"/>
      <c r="I74" s="544"/>
      <c r="J74" s="544"/>
      <c r="K74" s="544"/>
      <c r="L74" s="544"/>
      <c r="M74" s="544"/>
      <c r="N74" s="544"/>
      <c r="O74" s="544"/>
      <c r="P74" s="544"/>
      <c r="Q74" s="544"/>
      <c r="R74" s="544"/>
      <c r="S74" s="544"/>
    </row>
    <row r="75" spans="1:19" s="555" customFormat="1" hidden="1" x14ac:dyDescent="0.2">
      <c r="A75" s="494"/>
      <c r="B75" s="495"/>
      <c r="C75" s="495"/>
      <c r="D75" s="556"/>
      <c r="E75" s="552"/>
      <c r="F75" s="552"/>
      <c r="G75" s="552"/>
      <c r="H75" s="552"/>
      <c r="I75" s="552"/>
      <c r="J75" s="552"/>
      <c r="K75" s="552"/>
      <c r="L75" s="552"/>
      <c r="M75" s="552"/>
      <c r="N75" s="552"/>
      <c r="O75" s="552"/>
      <c r="P75" s="552"/>
      <c r="Q75" s="552"/>
      <c r="R75" s="552"/>
      <c r="S75" s="552"/>
    </row>
    <row r="76" spans="1:19" s="555" customFormat="1" hidden="1" x14ac:dyDescent="0.2">
      <c r="A76" s="494"/>
      <c r="B76" s="495"/>
      <c r="C76" s="495"/>
      <c r="D76" s="556" t="s">
        <v>10</v>
      </c>
      <c r="E76" s="552">
        <v>64.634882591007894</v>
      </c>
      <c r="F76" s="552">
        <v>65.881555094493478</v>
      </c>
      <c r="G76" s="552">
        <v>64.222196856013809</v>
      </c>
      <c r="H76" s="552">
        <v>62.90828400072138</v>
      </c>
      <c r="I76" s="552">
        <v>64.269517733194078</v>
      </c>
      <c r="J76" s="552">
        <v>64.819535832597623</v>
      </c>
      <c r="K76" s="552">
        <v>64.289810349309136</v>
      </c>
      <c r="L76" s="552">
        <v>67.139957670086019</v>
      </c>
      <c r="M76" s="552">
        <v>65.1807105856943</v>
      </c>
      <c r="N76" s="552">
        <v>63.29066644762019</v>
      </c>
      <c r="O76" s="552">
        <v>62.751425987964531</v>
      </c>
      <c r="P76" s="552">
        <v>63.264202089679777</v>
      </c>
      <c r="Q76" s="552">
        <v>63.4</v>
      </c>
      <c r="R76" s="552">
        <v>63.7</v>
      </c>
      <c r="S76" s="552">
        <v>65.099999999999994</v>
      </c>
    </row>
    <row r="77" spans="1:19" s="555" customFormat="1" hidden="1" x14ac:dyDescent="0.2">
      <c r="A77" s="494"/>
      <c r="B77" s="495"/>
      <c r="C77" s="495"/>
      <c r="D77" s="556" t="s">
        <v>11</v>
      </c>
      <c r="E77" s="2645">
        <v>50.863602910453288</v>
      </c>
      <c r="F77" s="2645">
        <v>52.522343788908231</v>
      </c>
      <c r="G77" s="2645">
        <v>50.456671538930962</v>
      </c>
      <c r="H77" s="2645">
        <v>48.313009661265255</v>
      </c>
      <c r="I77" s="2645">
        <v>50.362207992727534</v>
      </c>
      <c r="J77" s="2645">
        <v>51.872240541787932</v>
      </c>
      <c r="K77" s="2645">
        <v>50.783509209581993</v>
      </c>
      <c r="L77" s="2645">
        <v>51.861720551692891</v>
      </c>
      <c r="M77" s="2645">
        <v>50.15960471751044</v>
      </c>
      <c r="N77" s="2645">
        <v>48.435273610623248</v>
      </c>
      <c r="O77" s="2645">
        <v>49.014293685902487</v>
      </c>
      <c r="P77" s="2645">
        <v>49.369475219699751</v>
      </c>
      <c r="Q77" s="2645">
        <v>50.4</v>
      </c>
      <c r="R77" s="2645">
        <v>50.7</v>
      </c>
      <c r="S77" s="2645">
        <v>52.1</v>
      </c>
    </row>
    <row r="78" spans="1:19" s="555" customFormat="1" hidden="1" x14ac:dyDescent="0.2">
      <c r="A78" s="494"/>
      <c r="B78" s="495"/>
      <c r="C78" s="495"/>
      <c r="D78" s="564" t="s">
        <v>261</v>
      </c>
      <c r="E78" s="565">
        <v>57.356284207845135</v>
      </c>
      <c r="F78" s="565">
        <v>58.826644319925983</v>
      </c>
      <c r="G78" s="565">
        <v>56.960750812611295</v>
      </c>
      <c r="H78" s="565">
        <v>55.218047341957032</v>
      </c>
      <c r="I78" s="565">
        <v>56.950978913340322</v>
      </c>
      <c r="J78" s="565">
        <v>58.015775618251745</v>
      </c>
      <c r="K78" s="565">
        <v>57.203361484734934</v>
      </c>
      <c r="L78" s="565">
        <v>57.844721106008087</v>
      </c>
      <c r="M78" s="565">
        <v>55.851479746204291</v>
      </c>
      <c r="N78" s="565">
        <v>54.274999999999999</v>
      </c>
      <c r="O78" s="565">
        <v>54.375</v>
      </c>
      <c r="P78" s="565">
        <v>54.824999999999996</v>
      </c>
      <c r="Q78" s="565">
        <v>56.8</v>
      </c>
      <c r="R78" s="565">
        <v>57.1</v>
      </c>
      <c r="S78" s="565">
        <v>58.5</v>
      </c>
    </row>
    <row r="79" spans="1:19" s="555" customFormat="1" hidden="1" x14ac:dyDescent="0.2">
      <c r="A79" s="494"/>
      <c r="B79" s="495"/>
      <c r="C79" s="495"/>
      <c r="N79" s="554"/>
    </row>
    <row r="80" spans="1:19" s="555" customFormat="1" hidden="1" x14ac:dyDescent="0.2">
      <c r="A80" s="494"/>
      <c r="B80" s="495"/>
      <c r="C80" s="495"/>
      <c r="D80" s="2643" t="s">
        <v>93</v>
      </c>
      <c r="E80" s="2643" t="s">
        <v>461</v>
      </c>
      <c r="F80" s="560"/>
      <c r="G80" s="560"/>
      <c r="H80" s="560"/>
      <c r="I80" s="560"/>
      <c r="J80" s="560"/>
      <c r="K80" s="560"/>
      <c r="L80" s="560"/>
      <c r="M80" s="560"/>
      <c r="O80" s="554"/>
    </row>
    <row r="81" spans="1:19" s="555" customFormat="1" hidden="1" x14ac:dyDescent="0.2">
      <c r="A81" s="494"/>
      <c r="B81" s="495"/>
      <c r="C81" s="495"/>
      <c r="D81" s="561"/>
      <c r="E81" s="543">
        <v>2001</v>
      </c>
      <c r="F81" s="543">
        <v>2002</v>
      </c>
      <c r="G81" s="543">
        <v>2003</v>
      </c>
      <c r="H81" s="543">
        <v>2004</v>
      </c>
      <c r="I81" s="543">
        <v>2005</v>
      </c>
      <c r="J81" s="543">
        <v>2006</v>
      </c>
      <c r="K81" s="543">
        <v>2007</v>
      </c>
      <c r="L81" s="543">
        <v>2008</v>
      </c>
      <c r="M81" s="543">
        <v>2009</v>
      </c>
      <c r="N81" s="543">
        <v>2010</v>
      </c>
      <c r="O81" s="543">
        <v>2011</v>
      </c>
      <c r="P81" s="543">
        <v>2012</v>
      </c>
      <c r="Q81" s="543">
        <v>2013</v>
      </c>
      <c r="R81" s="543">
        <v>2014</v>
      </c>
      <c r="S81" s="543">
        <v>2015</v>
      </c>
    </row>
    <row r="82" spans="1:19" s="555" customFormat="1" hidden="1" x14ac:dyDescent="0.2">
      <c r="A82" s="494"/>
      <c r="B82" s="495"/>
      <c r="C82" s="495"/>
      <c r="D82" s="562"/>
      <c r="E82" s="544"/>
      <c r="F82" s="544"/>
      <c r="G82" s="544"/>
      <c r="H82" s="544"/>
      <c r="I82" s="544"/>
      <c r="J82" s="544"/>
      <c r="K82" s="544"/>
      <c r="L82" s="544"/>
      <c r="M82" s="544"/>
      <c r="N82" s="544"/>
      <c r="O82" s="544"/>
      <c r="P82" s="544"/>
      <c r="Q82" s="544"/>
      <c r="R82" s="544"/>
      <c r="S82" s="544"/>
    </row>
    <row r="83" spans="1:19" s="555" customFormat="1" hidden="1" x14ac:dyDescent="0.2">
      <c r="A83" s="494"/>
      <c r="B83" s="495"/>
      <c r="C83" s="495"/>
      <c r="D83" s="556"/>
      <c r="E83" s="552"/>
      <c r="F83" s="552"/>
      <c r="G83" s="552"/>
      <c r="H83" s="552"/>
      <c r="I83" s="552"/>
      <c r="J83" s="552"/>
      <c r="K83" s="552"/>
      <c r="L83" s="552"/>
      <c r="M83" s="552"/>
      <c r="N83" s="552"/>
      <c r="O83" s="552"/>
      <c r="P83" s="552"/>
      <c r="Q83" s="552"/>
      <c r="R83" s="552"/>
      <c r="S83" s="552"/>
    </row>
    <row r="84" spans="1:19" s="555" customFormat="1" hidden="1" x14ac:dyDescent="0.2">
      <c r="A84" s="494"/>
      <c r="B84" s="495"/>
      <c r="C84" s="495"/>
      <c r="D84" s="556" t="s">
        <v>10</v>
      </c>
      <c r="E84" s="552">
        <v>49.606207108573123</v>
      </c>
      <c r="F84" s="552">
        <v>50.401527470003458</v>
      </c>
      <c r="G84" s="552">
        <v>49.027663411262964</v>
      </c>
      <c r="H84" s="552">
        <v>49.545315257937595</v>
      </c>
      <c r="I84" s="552">
        <v>51.38563234543367</v>
      </c>
      <c r="J84" s="552">
        <v>52.759333827456722</v>
      </c>
      <c r="K84" s="552">
        <v>52.215789906638648</v>
      </c>
      <c r="L84" s="552">
        <v>53.833932272650983</v>
      </c>
      <c r="M84" s="552">
        <v>50.814126444390496</v>
      </c>
      <c r="N84" s="552">
        <v>48.723896886955586</v>
      </c>
      <c r="O84" s="552">
        <v>48.508201688170104</v>
      </c>
      <c r="P84" s="552">
        <v>48.711927975809793</v>
      </c>
      <c r="Q84" s="552">
        <v>48.7</v>
      </c>
      <c r="R84" s="552">
        <v>48.9</v>
      </c>
      <c r="S84" s="552">
        <v>49.9</v>
      </c>
    </row>
    <row r="85" spans="1:19" s="555" customFormat="1" hidden="1" x14ac:dyDescent="0.2">
      <c r="A85" s="494"/>
      <c r="B85" s="495"/>
      <c r="C85" s="495"/>
      <c r="D85" s="556" t="s">
        <v>11</v>
      </c>
      <c r="E85" s="2645">
        <v>35.886686166771682</v>
      </c>
      <c r="F85" s="2645">
        <v>36.074717402600719</v>
      </c>
      <c r="G85" s="2645">
        <v>34.775731393866749</v>
      </c>
      <c r="H85" s="2645">
        <v>34.447517775213868</v>
      </c>
      <c r="I85" s="2645">
        <v>36.159352757809472</v>
      </c>
      <c r="J85" s="2645">
        <v>37.791675161772957</v>
      </c>
      <c r="K85" s="2645">
        <v>37.375718793690574</v>
      </c>
      <c r="L85" s="2645">
        <v>38.43212045613128</v>
      </c>
      <c r="M85" s="2645">
        <v>37.275527749134227</v>
      </c>
      <c r="N85" s="2645">
        <v>35.268155185829563</v>
      </c>
      <c r="O85" s="2645">
        <v>35.609978504611377</v>
      </c>
      <c r="P85" s="2645">
        <v>35.954082398788827</v>
      </c>
      <c r="Q85" s="2645">
        <v>37</v>
      </c>
      <c r="R85" s="2645">
        <v>36.9</v>
      </c>
      <c r="S85" s="2645">
        <v>37.700000000000003</v>
      </c>
    </row>
    <row r="86" spans="1:19" s="555" customFormat="1" hidden="1" x14ac:dyDescent="0.2">
      <c r="A86" s="494"/>
      <c r="B86" s="495"/>
      <c r="C86" s="495"/>
      <c r="D86" s="564" t="s">
        <v>261</v>
      </c>
      <c r="E86" s="565">
        <v>42.354965011895125</v>
      </c>
      <c r="F86" s="565">
        <v>42.835676155122592</v>
      </c>
      <c r="G86" s="565">
        <v>41.509571594326594</v>
      </c>
      <c r="H86" s="565">
        <v>41.590244863339606</v>
      </c>
      <c r="I86" s="565">
        <v>43.373047458502704</v>
      </c>
      <c r="J86" s="565">
        <v>44.893965416879368</v>
      </c>
      <c r="K86" s="565">
        <v>44.42933006491787</v>
      </c>
      <c r="L86" s="565">
        <v>44.591633791139799</v>
      </c>
      <c r="M86" s="565">
        <v>42.464870064073523</v>
      </c>
      <c r="N86" s="565">
        <v>40.75</v>
      </c>
      <c r="O86" s="565">
        <v>40.825000000000003</v>
      </c>
      <c r="P86" s="565">
        <v>41.024999999999999</v>
      </c>
      <c r="Q86" s="565">
        <v>42.7</v>
      </c>
      <c r="R86" s="565">
        <v>42.8</v>
      </c>
      <c r="S86" s="565">
        <v>43.7</v>
      </c>
    </row>
    <row r="87" spans="1:19" hidden="1" x14ac:dyDescent="0.2">
      <c r="D87" s="2646" t="s">
        <v>93</v>
      </c>
      <c r="E87" s="2646" t="s">
        <v>461</v>
      </c>
      <c r="F87" s="566"/>
      <c r="G87" s="566"/>
      <c r="H87" s="566"/>
      <c r="I87" s="566"/>
      <c r="J87" s="566"/>
      <c r="K87" s="566"/>
      <c r="L87" s="566"/>
      <c r="M87" s="566"/>
      <c r="O87" s="540"/>
    </row>
    <row r="88" spans="1:19" ht="12.75" hidden="1" customHeight="1" x14ac:dyDescent="0.2">
      <c r="D88" s="542"/>
      <c r="E88" s="567">
        <v>2001</v>
      </c>
      <c r="F88" s="568"/>
      <c r="G88" s="568"/>
      <c r="H88" s="568"/>
      <c r="I88" s="568"/>
      <c r="J88" s="568"/>
      <c r="K88" s="569"/>
      <c r="L88" s="570"/>
      <c r="M88" s="2647"/>
      <c r="N88" s="571"/>
      <c r="O88" s="571"/>
    </row>
    <row r="89" spans="1:19" hidden="1" x14ac:dyDescent="0.2">
      <c r="D89" s="513"/>
      <c r="E89" s="572" t="s">
        <v>462</v>
      </c>
      <c r="F89" s="573"/>
      <c r="G89" s="573"/>
      <c r="H89" s="573"/>
      <c r="I89" s="573"/>
      <c r="J89" s="573"/>
      <c r="K89" s="573"/>
      <c r="L89" s="573"/>
      <c r="M89" s="2648"/>
      <c r="N89" s="2649"/>
      <c r="O89" s="513"/>
    </row>
    <row r="90" spans="1:19" hidden="1" x14ac:dyDescent="0.2">
      <c r="D90" s="545"/>
      <c r="E90" s="574"/>
      <c r="F90" s="575"/>
      <c r="G90" s="575"/>
      <c r="H90" s="575"/>
      <c r="I90" s="575"/>
      <c r="J90" s="575"/>
      <c r="K90" s="575"/>
      <c r="L90" s="575"/>
      <c r="M90" s="2650"/>
      <c r="N90" s="574"/>
      <c r="O90" s="540"/>
    </row>
    <row r="91" spans="1:19" hidden="1" x14ac:dyDescent="0.2">
      <c r="D91" s="545" t="s">
        <v>10</v>
      </c>
      <c r="E91" s="574">
        <v>49.606207108573123</v>
      </c>
      <c r="F91" s="575"/>
      <c r="G91" s="575"/>
      <c r="H91" s="575"/>
      <c r="I91" s="575"/>
      <c r="J91" s="575"/>
      <c r="K91" s="575"/>
      <c r="L91" s="575"/>
      <c r="M91" s="2650"/>
      <c r="N91" s="574"/>
      <c r="O91" s="538"/>
    </row>
    <row r="92" spans="1:19" hidden="1" x14ac:dyDescent="0.2">
      <c r="D92" s="545" t="s">
        <v>11</v>
      </c>
      <c r="E92" s="574">
        <v>35.886686166771682</v>
      </c>
      <c r="F92" s="575"/>
      <c r="G92" s="575"/>
      <c r="H92" s="575"/>
      <c r="I92" s="575"/>
      <c r="J92" s="575"/>
      <c r="K92" s="575"/>
      <c r="L92" s="575"/>
      <c r="M92" s="2650"/>
      <c r="N92" s="574"/>
      <c r="O92" s="538"/>
    </row>
    <row r="93" spans="1:19" hidden="1" x14ac:dyDescent="0.2">
      <c r="D93" s="576" t="s">
        <v>261</v>
      </c>
      <c r="E93" s="577">
        <v>42.354965011895125</v>
      </c>
      <c r="F93" s="578"/>
      <c r="G93" s="578"/>
      <c r="H93" s="578"/>
      <c r="I93" s="578"/>
      <c r="J93" s="578"/>
      <c r="K93" s="578"/>
      <c r="L93" s="578"/>
      <c r="M93" s="2651"/>
      <c r="N93" s="577"/>
      <c r="O93" s="579"/>
    </row>
    <row r="94" spans="1:19" hidden="1" x14ac:dyDescent="0.2"/>
    <row r="95" spans="1:19" hidden="1" x14ac:dyDescent="0.2"/>
    <row r="96" spans="1:19" hidden="1" x14ac:dyDescent="0.2"/>
    <row r="97" spans="1:19" hidden="1" x14ac:dyDescent="0.2"/>
    <row r="98" spans="1:19" hidden="1" x14ac:dyDescent="0.2"/>
    <row r="99" spans="1:19" hidden="1" x14ac:dyDescent="0.2">
      <c r="E99" s="580"/>
      <c r="F99" s="580"/>
      <c r="G99" s="580"/>
      <c r="H99" s="580"/>
      <c r="I99" s="580"/>
      <c r="J99" s="580"/>
      <c r="K99" s="580"/>
      <c r="L99" s="580"/>
      <c r="M99" s="580"/>
      <c r="N99" s="580"/>
      <c r="O99" s="580"/>
      <c r="P99" s="580"/>
      <c r="Q99" s="580"/>
    </row>
    <row r="100" spans="1:19" s="583" customFormat="1" hidden="1" x14ac:dyDescent="0.2">
      <c r="A100" s="581"/>
      <c r="B100" s="582"/>
      <c r="C100" s="582"/>
    </row>
    <row r="101" spans="1:19" s="590" customFormat="1" ht="13.5" hidden="1" customHeight="1" x14ac:dyDescent="0.2">
      <c r="A101" s="584"/>
      <c r="B101" s="585"/>
      <c r="C101" s="585"/>
      <c r="D101" s="586"/>
      <c r="E101" s="587">
        <v>2001</v>
      </c>
      <c r="F101" s="588"/>
      <c r="G101" s="588"/>
      <c r="H101" s="588"/>
      <c r="I101" s="588"/>
      <c r="J101" s="588"/>
      <c r="K101" s="589"/>
      <c r="L101" s="589"/>
      <c r="M101" s="589"/>
      <c r="N101" s="589"/>
      <c r="O101" s="589"/>
      <c r="P101" s="589"/>
      <c r="Q101" s="589"/>
      <c r="R101" s="589"/>
      <c r="S101" s="589"/>
    </row>
    <row r="102" spans="1:19" s="590" customFormat="1" ht="13.5" hidden="1" customHeight="1" x14ac:dyDescent="0.2">
      <c r="A102" s="584"/>
      <c r="B102" s="585"/>
      <c r="C102" s="585"/>
      <c r="D102" s="591"/>
      <c r="E102" s="592" t="s">
        <v>87</v>
      </c>
      <c r="F102" s="592"/>
      <c r="G102" s="592"/>
      <c r="H102" s="592"/>
      <c r="I102" s="592"/>
      <c r="J102" s="592"/>
      <c r="K102" s="592"/>
      <c r="L102" s="592"/>
      <c r="M102" s="592"/>
      <c r="N102" s="592"/>
      <c r="O102" s="592"/>
      <c r="P102" s="592"/>
      <c r="Q102" s="592"/>
      <c r="R102" s="592"/>
      <c r="S102" s="592"/>
    </row>
    <row r="103" spans="1:19" s="590" customFormat="1" hidden="1" x14ac:dyDescent="0.2">
      <c r="A103" s="584"/>
      <c r="B103" s="585"/>
      <c r="C103" s="585"/>
      <c r="M103" s="593"/>
      <c r="N103" s="593"/>
    </row>
    <row r="104" spans="1:19" s="540" customFormat="1" hidden="1" x14ac:dyDescent="0.2">
      <c r="A104" s="594"/>
      <c r="B104" s="595"/>
      <c r="C104" s="595"/>
      <c r="M104" s="553"/>
      <c r="N104" s="553"/>
    </row>
    <row r="105" spans="1:19" s="540" customFormat="1" hidden="1" x14ac:dyDescent="0.2">
      <c r="A105" s="594"/>
      <c r="B105" s="595"/>
      <c r="C105" s="595"/>
      <c r="M105" s="596"/>
      <c r="N105" s="596"/>
    </row>
    <row r="106" spans="1:19" s="540" customFormat="1" hidden="1" x14ac:dyDescent="0.2">
      <c r="A106" s="594"/>
      <c r="B106" s="595"/>
      <c r="C106" s="595"/>
    </row>
    <row r="107" spans="1:19" s="540" customFormat="1" hidden="1" x14ac:dyDescent="0.2">
      <c r="A107" s="594"/>
      <c r="B107" s="595"/>
      <c r="C107" s="595"/>
    </row>
    <row r="108" spans="1:19" hidden="1" x14ac:dyDescent="0.2"/>
    <row r="109" spans="1:19" hidden="1" x14ac:dyDescent="0.2"/>
    <row r="110" spans="1:19" hidden="1" x14ac:dyDescent="0.2"/>
    <row r="111" spans="1:19" hidden="1" x14ac:dyDescent="0.2"/>
    <row r="112" spans="1:19" hidden="1" x14ac:dyDescent="0.2"/>
    <row r="113" hidden="1" x14ac:dyDescent="0.2"/>
    <row r="114" hidden="1" x14ac:dyDescent="0.2"/>
    <row r="115" hidden="1" x14ac:dyDescent="0.2"/>
    <row r="116" hidden="1" x14ac:dyDescent="0.2"/>
  </sheetData>
  <sheetProtection selectLockedCells="1"/>
  <mergeCells count="7">
    <mergeCell ref="D54:S54"/>
    <mergeCell ref="D55:S55"/>
    <mergeCell ref="D2:S2"/>
    <mergeCell ref="D3:S3"/>
    <mergeCell ref="D4:S4"/>
    <mergeCell ref="D52:S52"/>
    <mergeCell ref="D53:S53"/>
  </mergeCells>
  <pageMargins left="0.74803149606299213" right="0.74803149606299213" top="0.98425196850393704" bottom="0.98425196850393704" header="0.51181102362204722" footer="0.51181102362204722"/>
  <pageSetup paperSize="9" scale="58"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88"/>
  <sheetViews>
    <sheetView showGridLines="0" view="pageBreakPreview" topLeftCell="C22" zoomScaleNormal="100" zoomScaleSheetLayoutView="100" workbookViewId="0">
      <selection activeCell="D24" sqref="D24"/>
    </sheetView>
  </sheetViews>
  <sheetFormatPr defaultColWidth="9.140625" defaultRowHeight="12.75" x14ac:dyDescent="0.2"/>
  <cols>
    <col min="1" max="1" width="3.7109375" style="478" customWidth="1"/>
    <col min="2" max="2" width="14.42578125" style="479" customWidth="1"/>
    <col min="3" max="3" width="3.7109375" style="479" customWidth="1"/>
    <col min="4" max="4" width="25.28515625" style="481" customWidth="1"/>
    <col min="5" max="19" width="9.140625" style="481" customWidth="1"/>
    <col min="20" max="16384" width="9.140625" style="481"/>
  </cols>
  <sheetData>
    <row r="1" spans="1:19" x14ac:dyDescent="0.2">
      <c r="D1" s="480"/>
      <c r="E1" s="480"/>
      <c r="F1" s="480"/>
      <c r="G1" s="480"/>
      <c r="H1" s="480"/>
      <c r="I1" s="480"/>
      <c r="J1" s="480"/>
    </row>
    <row r="2" spans="1:19" ht="12.75" customHeight="1" x14ac:dyDescent="0.2">
      <c r="A2" s="478">
        <v>1</v>
      </c>
      <c r="B2" s="478" t="s">
        <v>24</v>
      </c>
      <c r="C2" s="478">
        <v>18</v>
      </c>
      <c r="D2" s="3638" t="s">
        <v>407</v>
      </c>
      <c r="E2" s="3639"/>
      <c r="F2" s="3639"/>
      <c r="G2" s="3639"/>
      <c r="H2" s="3639"/>
      <c r="I2" s="3639"/>
      <c r="J2" s="3639"/>
      <c r="K2" s="3639"/>
      <c r="L2" s="3639"/>
      <c r="M2" s="3639"/>
      <c r="N2" s="3639"/>
      <c r="O2" s="3639"/>
      <c r="P2" s="3639"/>
      <c r="Q2" s="3639"/>
      <c r="R2" s="3639"/>
      <c r="S2" s="3640"/>
    </row>
    <row r="3" spans="1:19" ht="15" customHeight="1" x14ac:dyDescent="0.2">
      <c r="A3" s="478">
        <v>2</v>
      </c>
      <c r="B3" s="478" t="s">
        <v>26</v>
      </c>
      <c r="C3" s="478"/>
      <c r="D3" s="3635" t="s">
        <v>408</v>
      </c>
      <c r="E3" s="3636"/>
      <c r="F3" s="3636"/>
      <c r="G3" s="3636"/>
      <c r="H3" s="3636"/>
      <c r="I3" s="3636"/>
      <c r="J3" s="3636"/>
      <c r="K3" s="3636"/>
      <c r="L3" s="3636"/>
      <c r="M3" s="3636"/>
      <c r="N3" s="3636"/>
      <c r="O3" s="3636"/>
      <c r="P3" s="3636"/>
      <c r="Q3" s="3636"/>
      <c r="R3" s="3636"/>
      <c r="S3" s="3637"/>
    </row>
    <row r="4" spans="1:19" ht="12.75" customHeight="1" x14ac:dyDescent="0.2">
      <c r="A4" s="478">
        <v>3</v>
      </c>
      <c r="B4" s="478" t="s">
        <v>28</v>
      </c>
      <c r="C4" s="478"/>
      <c r="D4" s="3635" t="s">
        <v>409</v>
      </c>
      <c r="E4" s="3636"/>
      <c r="F4" s="3636"/>
      <c r="G4" s="3636"/>
      <c r="H4" s="3636"/>
      <c r="I4" s="3636"/>
      <c r="J4" s="3636"/>
      <c r="K4" s="3636"/>
      <c r="L4" s="3636"/>
      <c r="M4" s="3636"/>
      <c r="N4" s="3636"/>
      <c r="O4" s="3636"/>
      <c r="P4" s="3636"/>
      <c r="Q4" s="3636"/>
      <c r="R4" s="3636"/>
      <c r="S4" s="3637"/>
    </row>
    <row r="5" spans="1:19" ht="12.75" customHeight="1" x14ac:dyDescent="0.2">
      <c r="B5" s="478"/>
      <c r="C5" s="478"/>
      <c r="D5" s="1268"/>
      <c r="E5" s="1268"/>
      <c r="F5" s="1268"/>
      <c r="G5" s="1268"/>
      <c r="H5" s="1268"/>
      <c r="I5" s="1268"/>
      <c r="J5" s="1268"/>
      <c r="K5" s="1268"/>
      <c r="L5" s="1268"/>
      <c r="M5" s="1268"/>
      <c r="N5" s="1268"/>
      <c r="O5" s="1268"/>
      <c r="P5" s="1268"/>
      <c r="Q5" s="1268"/>
      <c r="R5" s="1268"/>
      <c r="S5" s="1268"/>
    </row>
    <row r="6" spans="1:19" ht="15" x14ac:dyDescent="0.25">
      <c r="A6" s="478">
        <v>4</v>
      </c>
      <c r="B6" s="478" t="s">
        <v>1</v>
      </c>
      <c r="C6" s="478"/>
      <c r="L6" s="2631"/>
    </row>
    <row r="7" spans="1:19" ht="15" x14ac:dyDescent="0.25">
      <c r="D7" s="482" t="s">
        <v>31</v>
      </c>
      <c r="E7" s="490" t="s">
        <v>407</v>
      </c>
      <c r="F7" s="490"/>
      <c r="G7" s="490"/>
      <c r="H7" s="490"/>
      <c r="I7" s="2631"/>
      <c r="J7" s="2631"/>
      <c r="K7" s="2631"/>
      <c r="L7" s="2631"/>
      <c r="O7" s="541"/>
    </row>
    <row r="8" spans="1:19" x14ac:dyDescent="0.2">
      <c r="D8" s="3444"/>
      <c r="E8" s="1560">
        <v>2001</v>
      </c>
      <c r="F8" s="1560">
        <v>2002</v>
      </c>
      <c r="G8" s="1560">
        <v>2003</v>
      </c>
      <c r="H8" s="1560">
        <v>2004</v>
      </c>
      <c r="I8" s="1560">
        <v>2005</v>
      </c>
      <c r="J8" s="1560">
        <v>2006</v>
      </c>
      <c r="K8" s="1561">
        <v>2007</v>
      </c>
      <c r="L8" s="1560">
        <v>2008</v>
      </c>
      <c r="M8" s="1560">
        <v>2009</v>
      </c>
      <c r="N8" s="1560">
        <v>2010</v>
      </c>
      <c r="O8" s="1560">
        <v>2011</v>
      </c>
      <c r="P8" s="1560">
        <v>2012</v>
      </c>
      <c r="Q8" s="1560">
        <v>2013</v>
      </c>
      <c r="R8" s="1560">
        <v>2014</v>
      </c>
      <c r="S8" s="3461">
        <v>2015</v>
      </c>
    </row>
    <row r="9" spans="1:19" x14ac:dyDescent="0.2">
      <c r="D9" s="3259" t="s">
        <v>410</v>
      </c>
      <c r="E9" s="508">
        <v>25.370740413489695</v>
      </c>
      <c r="F9" s="508">
        <v>27.18050850150826</v>
      </c>
      <c r="G9" s="2632">
        <v>27.11576670202453</v>
      </c>
      <c r="H9" s="510">
        <v>24.7</v>
      </c>
      <c r="I9" s="510">
        <v>23.8</v>
      </c>
      <c r="J9" s="510">
        <v>22.6</v>
      </c>
      <c r="K9" s="508">
        <v>22.3</v>
      </c>
      <c r="L9" s="508">
        <v>22.5</v>
      </c>
      <c r="M9" s="508">
        <v>23.7</v>
      </c>
      <c r="N9" s="508">
        <v>24.9</v>
      </c>
      <c r="O9" s="508">
        <v>24.8</v>
      </c>
      <c r="P9" s="508">
        <v>24.9</v>
      </c>
      <c r="Q9" s="508">
        <v>24.7</v>
      </c>
      <c r="R9" s="508">
        <v>25.1</v>
      </c>
      <c r="S9" s="3468">
        <v>25.3</v>
      </c>
    </row>
    <row r="10" spans="1:19" x14ac:dyDescent="0.2">
      <c r="D10" s="3445" t="s">
        <v>411</v>
      </c>
      <c r="E10" s="499">
        <v>36.109673419085098</v>
      </c>
      <c r="F10" s="499">
        <v>38.371714052141307</v>
      </c>
      <c r="G10" s="499">
        <v>39.851131873400583</v>
      </c>
      <c r="H10" s="499">
        <v>39.037150298905452</v>
      </c>
      <c r="I10" s="499">
        <v>36.915376875247134</v>
      </c>
      <c r="J10" s="499">
        <v>35.025767928507051</v>
      </c>
      <c r="K10" s="499">
        <v>35.29933054501911</v>
      </c>
      <c r="L10" s="499">
        <v>29.660461123966297</v>
      </c>
      <c r="M10" s="499">
        <v>32.4</v>
      </c>
      <c r="N10" s="499">
        <v>35.4</v>
      </c>
      <c r="O10" s="499">
        <v>35.6</v>
      </c>
      <c r="P10" s="499">
        <v>35.6</v>
      </c>
      <c r="Q10" s="499">
        <v>35.299999999999997</v>
      </c>
      <c r="R10" s="499">
        <v>35.299999999999997</v>
      </c>
      <c r="S10" s="3469">
        <v>34.799999999999997</v>
      </c>
    </row>
    <row r="11" spans="1:19" x14ac:dyDescent="0.2">
      <c r="D11" s="485"/>
      <c r="E11" s="486"/>
      <c r="F11" s="487"/>
      <c r="G11" s="486"/>
      <c r="H11" s="486"/>
      <c r="I11" s="488"/>
      <c r="J11" s="488"/>
      <c r="K11" s="489"/>
      <c r="L11" s="489"/>
      <c r="M11" s="489"/>
      <c r="N11" s="489"/>
    </row>
    <row r="12" spans="1:19" x14ac:dyDescent="0.2">
      <c r="B12" s="478"/>
      <c r="C12" s="478"/>
      <c r="D12" s="490" t="s">
        <v>55</v>
      </c>
      <c r="E12" s="491" t="s">
        <v>412</v>
      </c>
      <c r="F12" s="487"/>
      <c r="G12" s="486"/>
      <c r="H12" s="2632"/>
      <c r="I12" s="2632"/>
      <c r="J12" s="2632"/>
      <c r="K12" s="2632"/>
      <c r="L12" s="486"/>
      <c r="M12" s="486"/>
      <c r="N12" s="486"/>
      <c r="O12" s="541"/>
    </row>
    <row r="13" spans="1:19" x14ac:dyDescent="0.2">
      <c r="D13" s="3444"/>
      <c r="E13" s="1560">
        <v>2001</v>
      </c>
      <c r="F13" s="1560">
        <v>2002</v>
      </c>
      <c r="G13" s="1560">
        <v>2003</v>
      </c>
      <c r="H13" s="1560">
        <v>2004</v>
      </c>
      <c r="I13" s="1560">
        <v>2005</v>
      </c>
      <c r="J13" s="1560">
        <v>2006</v>
      </c>
      <c r="K13" s="1561">
        <v>2007</v>
      </c>
      <c r="L13" s="1560">
        <v>2008</v>
      </c>
      <c r="M13" s="1560">
        <v>2009</v>
      </c>
      <c r="N13" s="1560">
        <v>2010</v>
      </c>
      <c r="O13" s="1560">
        <v>2011</v>
      </c>
      <c r="P13" s="1560">
        <v>2012</v>
      </c>
      <c r="Q13" s="1560">
        <v>2013</v>
      </c>
      <c r="R13" s="1560">
        <v>2014</v>
      </c>
      <c r="S13" s="3461">
        <v>2015</v>
      </c>
    </row>
    <row r="14" spans="1:19" x14ac:dyDescent="0.2">
      <c r="D14" s="3446" t="s">
        <v>413</v>
      </c>
      <c r="E14" s="508"/>
      <c r="F14" s="510"/>
      <c r="G14" s="508"/>
      <c r="H14" s="508"/>
      <c r="I14" s="511"/>
      <c r="J14" s="511"/>
      <c r="K14" s="1562"/>
      <c r="L14" s="511"/>
      <c r="M14" s="511"/>
      <c r="N14" s="511"/>
      <c r="O14" s="511"/>
      <c r="P14" s="511"/>
      <c r="Q14" s="511"/>
      <c r="R14" s="511"/>
      <c r="S14" s="3462"/>
    </row>
    <row r="15" spans="1:19" x14ac:dyDescent="0.2">
      <c r="D15" s="3447" t="s">
        <v>414</v>
      </c>
      <c r="E15" s="1563">
        <v>20.421721305015698</v>
      </c>
      <c r="F15" s="1563">
        <v>21.440093725358981</v>
      </c>
      <c r="G15" s="1563">
        <v>21.870334912843795</v>
      </c>
      <c r="H15" s="1563">
        <v>20.119035393924058</v>
      </c>
      <c r="I15" s="1563">
        <v>20.388248729984809</v>
      </c>
      <c r="J15" s="1563">
        <v>17.592022016917625</v>
      </c>
      <c r="K15" s="1563">
        <v>18.774264382034378</v>
      </c>
      <c r="L15" s="1563">
        <v>17.867740516716722</v>
      </c>
      <c r="M15" s="1563">
        <v>20.399999999999999</v>
      </c>
      <c r="N15" s="1563">
        <v>21.4</v>
      </c>
      <c r="O15" s="1563">
        <v>21.8</v>
      </c>
      <c r="P15" s="1563">
        <v>23.4</v>
      </c>
      <c r="Q15" s="1563">
        <v>22.7</v>
      </c>
      <c r="R15" s="1563">
        <v>22.7</v>
      </c>
      <c r="S15" s="3463">
        <v>20.7</v>
      </c>
    </row>
    <row r="16" spans="1:19" x14ac:dyDescent="0.2">
      <c r="D16" s="3447" t="s">
        <v>415</v>
      </c>
      <c r="E16" s="1563">
        <v>30.017800711599207</v>
      </c>
      <c r="F16" s="1563">
        <v>29.269471621251874</v>
      </c>
      <c r="G16" s="1563">
        <v>31.930099963409038</v>
      </c>
      <c r="H16" s="1563">
        <v>31.845863621412363</v>
      </c>
      <c r="I16" s="1563">
        <v>28.287244551431247</v>
      </c>
      <c r="J16" s="1563">
        <v>26.537371075316418</v>
      </c>
      <c r="K16" s="1563">
        <v>26.78131321465133</v>
      </c>
      <c r="L16" s="1563">
        <v>26.301489319020988</v>
      </c>
      <c r="M16" s="1563">
        <v>27.4</v>
      </c>
      <c r="N16" s="1563">
        <v>27</v>
      </c>
      <c r="O16" s="1563">
        <v>27.2</v>
      </c>
      <c r="P16" s="1563">
        <v>28.7</v>
      </c>
      <c r="Q16" s="1563">
        <v>29.6</v>
      </c>
      <c r="R16" s="1563">
        <v>29.6</v>
      </c>
      <c r="S16" s="3463">
        <v>28.8</v>
      </c>
    </row>
    <row r="17" spans="1:19" x14ac:dyDescent="0.2">
      <c r="D17" s="3259" t="s">
        <v>416</v>
      </c>
      <c r="E17" s="1563">
        <v>21.33447654957601</v>
      </c>
      <c r="F17" s="1563">
        <v>22.144211213283548</v>
      </c>
      <c r="G17" s="1563">
        <v>23.168922495717922</v>
      </c>
      <c r="H17" s="1563">
        <v>19.740232744233531</v>
      </c>
      <c r="I17" s="1563">
        <v>23.239900584024596</v>
      </c>
      <c r="J17" s="1563">
        <v>22.165417560034872</v>
      </c>
      <c r="K17" s="1563">
        <v>22.810249280613967</v>
      </c>
      <c r="L17" s="1563">
        <v>22.833632476514122</v>
      </c>
      <c r="M17" s="1563">
        <v>26.6</v>
      </c>
      <c r="N17" s="1563">
        <v>26.4</v>
      </c>
      <c r="O17" s="1563">
        <v>28.4</v>
      </c>
      <c r="P17" s="1563">
        <v>28.3</v>
      </c>
      <c r="Q17" s="1563">
        <v>27.9</v>
      </c>
      <c r="R17" s="1563">
        <v>29.9</v>
      </c>
      <c r="S17" s="3463">
        <v>32</v>
      </c>
    </row>
    <row r="18" spans="1:19" x14ac:dyDescent="0.2">
      <c r="D18" s="3259" t="s">
        <v>417</v>
      </c>
      <c r="E18" s="1563">
        <v>23.880766105909334</v>
      </c>
      <c r="F18" s="1563">
        <v>26.21938576147399</v>
      </c>
      <c r="G18" s="1563">
        <v>25.513622917857496</v>
      </c>
      <c r="H18" s="1563">
        <v>23.855804532201113</v>
      </c>
      <c r="I18" s="1563">
        <v>27.188403482298479</v>
      </c>
      <c r="J18" s="1563">
        <v>23.653566959737816</v>
      </c>
      <c r="K18" s="1563">
        <v>22.484505475660139</v>
      </c>
      <c r="L18" s="1563">
        <v>23.645774949514102</v>
      </c>
      <c r="M18" s="1563">
        <v>26</v>
      </c>
      <c r="N18" s="1563">
        <v>27.8</v>
      </c>
      <c r="O18" s="1563">
        <v>27.5</v>
      </c>
      <c r="P18" s="1563">
        <v>32.200000000000003</v>
      </c>
      <c r="Q18" s="1563">
        <v>32.700000000000003</v>
      </c>
      <c r="R18" s="1563">
        <v>34.1</v>
      </c>
      <c r="S18" s="3463">
        <v>30.8</v>
      </c>
    </row>
    <row r="19" spans="1:19" x14ac:dyDescent="0.2">
      <c r="D19" s="3259" t="s">
        <v>418</v>
      </c>
      <c r="E19" s="1563">
        <v>22.527274871789412</v>
      </c>
      <c r="F19" s="1563">
        <v>27.168131696003272</v>
      </c>
      <c r="G19" s="1563">
        <v>25.906291478652999</v>
      </c>
      <c r="H19" s="1563">
        <v>23.345840723796108</v>
      </c>
      <c r="I19" s="1563">
        <v>24.355061594576114</v>
      </c>
      <c r="J19" s="1563">
        <v>20.562587050497136</v>
      </c>
      <c r="K19" s="1563">
        <v>22.43773479970644</v>
      </c>
      <c r="L19" s="1563">
        <v>21.658956111840201</v>
      </c>
      <c r="M19" s="1563">
        <v>19.600000000000001</v>
      </c>
      <c r="N19" s="1563">
        <v>19.7</v>
      </c>
      <c r="O19" s="1563">
        <v>19.3</v>
      </c>
      <c r="P19" s="1563">
        <v>20.399999999999999</v>
      </c>
      <c r="Q19" s="1563">
        <v>20.8</v>
      </c>
      <c r="R19" s="1563">
        <v>22.3</v>
      </c>
      <c r="S19" s="3463">
        <v>21.3</v>
      </c>
    </row>
    <row r="20" spans="1:19" x14ac:dyDescent="0.2">
      <c r="D20" s="3447" t="s">
        <v>419</v>
      </c>
      <c r="E20" s="1563">
        <v>26.728532449998038</v>
      </c>
      <c r="F20" s="1563">
        <v>28.329689187703337</v>
      </c>
      <c r="G20" s="1563">
        <v>29.074987774980148</v>
      </c>
      <c r="H20" s="1563">
        <v>26.085838037708601</v>
      </c>
      <c r="I20" s="1563">
        <v>24.868350437718238</v>
      </c>
      <c r="J20" s="1563">
        <v>28.110135035906058</v>
      </c>
      <c r="K20" s="1563">
        <v>26.094088050294488</v>
      </c>
      <c r="L20" s="1563">
        <v>24.294980772399384</v>
      </c>
      <c r="M20" s="1563">
        <v>27.2</v>
      </c>
      <c r="N20" s="1563">
        <v>26.5</v>
      </c>
      <c r="O20" s="1563">
        <v>26.2</v>
      </c>
      <c r="P20" s="1563">
        <v>25.1</v>
      </c>
      <c r="Q20" s="1563">
        <v>26.7</v>
      </c>
      <c r="R20" s="1563">
        <v>26.4</v>
      </c>
      <c r="S20" s="3463">
        <v>25.7</v>
      </c>
    </row>
    <row r="21" spans="1:19" x14ac:dyDescent="0.2">
      <c r="D21" s="3447" t="s">
        <v>420</v>
      </c>
      <c r="E21" s="1563">
        <v>27.621300603565491</v>
      </c>
      <c r="F21" s="1563">
        <v>28.295779386048459</v>
      </c>
      <c r="G21" s="1563">
        <v>28.078724755625377</v>
      </c>
      <c r="H21" s="1563">
        <v>25.546043968628069</v>
      </c>
      <c r="I21" s="1563">
        <v>21.485874862568384</v>
      </c>
      <c r="J21" s="1563">
        <v>21.355758472246094</v>
      </c>
      <c r="K21" s="1563">
        <v>20.15830974298839</v>
      </c>
      <c r="L21" s="1563">
        <v>21.512580043616502</v>
      </c>
      <c r="M21" s="1563">
        <v>23.9</v>
      </c>
      <c r="N21" s="1563">
        <v>27.1</v>
      </c>
      <c r="O21" s="1563">
        <v>27.1</v>
      </c>
      <c r="P21" s="1563">
        <v>24.9</v>
      </c>
      <c r="Q21" s="1563">
        <v>24.9</v>
      </c>
      <c r="R21" s="1563">
        <v>24.9</v>
      </c>
      <c r="S21" s="3463">
        <v>27.8</v>
      </c>
    </row>
    <row r="22" spans="1:19" x14ac:dyDescent="0.2">
      <c r="D22" s="3259" t="s">
        <v>421</v>
      </c>
      <c r="E22" s="1563">
        <v>20.052437427817154</v>
      </c>
      <c r="F22" s="1563">
        <v>22.010400221283046</v>
      </c>
      <c r="G22" s="1563">
        <v>20.642756006316414</v>
      </c>
      <c r="H22" s="1563">
        <v>19.269546843422695</v>
      </c>
      <c r="I22" s="1563">
        <v>21.038404472868422</v>
      </c>
      <c r="J22" s="1563">
        <v>23.526339542152407</v>
      </c>
      <c r="K22" s="1563">
        <v>19.619436561664685</v>
      </c>
      <c r="L22" s="1563">
        <v>23.395494907430482</v>
      </c>
      <c r="M22" s="1563">
        <v>25.5</v>
      </c>
      <c r="N22" s="1563">
        <v>28.2</v>
      </c>
      <c r="O22" s="1563">
        <v>29.2</v>
      </c>
      <c r="P22" s="1563">
        <v>29.5</v>
      </c>
      <c r="Q22" s="1563">
        <v>28</v>
      </c>
      <c r="R22" s="1563">
        <v>29</v>
      </c>
      <c r="S22" s="3463">
        <v>26.9</v>
      </c>
    </row>
    <row r="23" spans="1:19" x14ac:dyDescent="0.2">
      <c r="D23" s="3259" t="s">
        <v>422</v>
      </c>
      <c r="E23" s="1563">
        <v>31.835921346879857</v>
      </c>
      <c r="F23" s="1563">
        <v>35.542727787459761</v>
      </c>
      <c r="G23" s="1563">
        <v>36.106334167147836</v>
      </c>
      <c r="H23" s="1563">
        <v>28.976578220133298</v>
      </c>
      <c r="I23" s="1563">
        <v>30.323285024804029</v>
      </c>
      <c r="J23" s="1563">
        <v>29.615023093936287</v>
      </c>
      <c r="K23" s="1563">
        <v>29.522431411776463</v>
      </c>
      <c r="L23" s="1563">
        <v>29.720413064372174</v>
      </c>
      <c r="M23" s="1563">
        <v>25.9</v>
      </c>
      <c r="N23" s="1563">
        <v>22.5</v>
      </c>
      <c r="O23" s="1563">
        <v>19.600000000000001</v>
      </c>
      <c r="P23" s="1563">
        <v>20.5</v>
      </c>
      <c r="Q23" s="1563">
        <v>18</v>
      </c>
      <c r="R23" s="1563">
        <v>16.5</v>
      </c>
      <c r="S23" s="3463">
        <v>19.399999999999999</v>
      </c>
    </row>
    <row r="24" spans="1:19" x14ac:dyDescent="0.2">
      <c r="D24" s="3257" t="s">
        <v>0</v>
      </c>
      <c r="E24" s="1564">
        <v>25.370740413489667</v>
      </c>
      <c r="F24" s="1564">
        <v>27.180508501508349</v>
      </c>
      <c r="G24" s="1564">
        <v>27.11576670202464</v>
      </c>
      <c r="H24" s="1564">
        <v>24.672790326915823</v>
      </c>
      <c r="I24" s="1564">
        <v>23.839990494289875</v>
      </c>
      <c r="J24" s="1564">
        <v>22.615760539777636</v>
      </c>
      <c r="K24" s="1564">
        <v>22.326519139844482</v>
      </c>
      <c r="L24" s="1564">
        <v>22.548772782676849</v>
      </c>
      <c r="M24" s="1564">
        <v>23.7</v>
      </c>
      <c r="N24" s="1564">
        <v>24.9</v>
      </c>
      <c r="O24" s="1564">
        <v>24.8</v>
      </c>
      <c r="P24" s="1564">
        <v>24.9</v>
      </c>
      <c r="Q24" s="1564">
        <v>24.7</v>
      </c>
      <c r="R24" s="1564">
        <v>25.1</v>
      </c>
      <c r="S24" s="3464">
        <v>25.3</v>
      </c>
    </row>
    <row r="25" spans="1:19" x14ac:dyDescent="0.2">
      <c r="D25" s="514"/>
      <c r="E25" s="2633"/>
      <c r="F25" s="2633"/>
      <c r="G25" s="2633"/>
      <c r="H25" s="2633"/>
      <c r="I25" s="2633"/>
      <c r="J25" s="2633"/>
      <c r="K25" s="2633"/>
      <c r="L25" s="492"/>
      <c r="M25" s="492"/>
      <c r="N25" s="492"/>
      <c r="O25" s="492"/>
      <c r="P25" s="493"/>
    </row>
    <row r="26" spans="1:19" s="502" customFormat="1" x14ac:dyDescent="0.2">
      <c r="A26" s="494"/>
      <c r="B26" s="495"/>
      <c r="C26" s="495"/>
      <c r="D26" s="496" t="s">
        <v>262</v>
      </c>
      <c r="E26" s="509" t="s">
        <v>423</v>
      </c>
      <c r="F26" s="510"/>
      <c r="G26" s="508"/>
      <c r="H26" s="508"/>
      <c r="I26" s="511"/>
      <c r="J26" s="1565"/>
      <c r="K26" s="1565"/>
      <c r="L26" s="1565"/>
      <c r="M26" s="1565"/>
      <c r="N26" s="1565"/>
      <c r="O26" s="1566"/>
      <c r="P26" s="1565"/>
      <c r="Q26" s="1567"/>
      <c r="R26" s="1567"/>
      <c r="S26" s="1567"/>
    </row>
    <row r="27" spans="1:19" ht="12.75" customHeight="1" x14ac:dyDescent="0.2">
      <c r="D27" s="3448"/>
      <c r="E27" s="1569">
        <v>2001</v>
      </c>
      <c r="F27" s="1569">
        <v>2002</v>
      </c>
      <c r="G27" s="1569">
        <v>2003</v>
      </c>
      <c r="H27" s="1569">
        <v>2004</v>
      </c>
      <c r="I27" s="1569">
        <v>2005</v>
      </c>
      <c r="J27" s="1569">
        <v>2006</v>
      </c>
      <c r="K27" s="1569">
        <v>2007</v>
      </c>
      <c r="L27" s="1570">
        <v>2008</v>
      </c>
      <c r="M27" s="1570">
        <v>2009</v>
      </c>
      <c r="N27" s="1570">
        <v>2010</v>
      </c>
      <c r="O27" s="1570">
        <v>2011</v>
      </c>
      <c r="P27" s="1570">
        <v>2012</v>
      </c>
      <c r="Q27" s="1570">
        <v>2013</v>
      </c>
      <c r="R27" s="1570">
        <v>2014</v>
      </c>
      <c r="S27" s="3465">
        <v>2015</v>
      </c>
    </row>
    <row r="28" spans="1:19" s="506" customFormat="1" x14ac:dyDescent="0.2">
      <c r="A28" s="504"/>
      <c r="B28" s="505"/>
      <c r="C28" s="505"/>
      <c r="D28" s="3449" t="s">
        <v>424</v>
      </c>
      <c r="E28" s="1568">
        <v>6240.9882476016592</v>
      </c>
      <c r="F28" s="1568">
        <v>755.71086355016814</v>
      </c>
      <c r="G28" s="1568">
        <v>818.59930388181908</v>
      </c>
      <c r="H28" s="1568">
        <v>877.25984121700174</v>
      </c>
      <c r="I28" s="1568">
        <v>819.67591310009561</v>
      </c>
      <c r="J28" s="1568">
        <v>818.71515117078127</v>
      </c>
      <c r="K28" s="1568">
        <v>886.96516215101087</v>
      </c>
      <c r="L28" s="1568">
        <v>357.3378078359442</v>
      </c>
      <c r="M28" s="1568">
        <v>483.75096685320767</v>
      </c>
      <c r="N28" s="1568">
        <v>618.5744077424032</v>
      </c>
      <c r="O28" s="1568">
        <v>697.43659977833931</v>
      </c>
      <c r="P28" s="1568">
        <v>705.27602464506731</v>
      </c>
      <c r="Q28" s="1568">
        <v>710.67297984386425</v>
      </c>
      <c r="R28" s="1568">
        <v>704.91825000541678</v>
      </c>
      <c r="S28" s="3466">
        <v>649.53316640273852</v>
      </c>
    </row>
    <row r="29" spans="1:19" s="506" customFormat="1" x14ac:dyDescent="0.2">
      <c r="A29" s="504"/>
      <c r="B29" s="505"/>
      <c r="C29" s="505"/>
      <c r="D29" s="3450" t="s">
        <v>425</v>
      </c>
      <c r="E29" s="1568">
        <v>1696.9436832464421</v>
      </c>
      <c r="F29" s="1568">
        <v>658.63623972342509</v>
      </c>
      <c r="G29" s="1568">
        <v>794.74221637133462</v>
      </c>
      <c r="H29" s="1568">
        <v>877.74548167116347</v>
      </c>
      <c r="I29" s="1568">
        <v>861.71744293500706</v>
      </c>
      <c r="J29" s="1568">
        <v>839.04425388956258</v>
      </c>
      <c r="K29" s="1568">
        <v>890.3568587392374</v>
      </c>
      <c r="L29" s="1568">
        <v>418.98476478933492</v>
      </c>
      <c r="M29" s="1568">
        <v>557.86628173714689</v>
      </c>
      <c r="N29" s="1568">
        <v>740.92865353451384</v>
      </c>
      <c r="O29" s="1568">
        <v>825.74868129307833</v>
      </c>
      <c r="P29" s="1568">
        <v>831.7627107241176</v>
      </c>
      <c r="Q29" s="1568">
        <v>838.63424212680866</v>
      </c>
      <c r="R29" s="1568">
        <v>879.52290772736535</v>
      </c>
      <c r="S29" s="3466">
        <v>861.66671545090355</v>
      </c>
    </row>
    <row r="30" spans="1:19" s="502" customFormat="1" x14ac:dyDescent="0.2">
      <c r="A30" s="494"/>
      <c r="B30" s="495"/>
      <c r="C30" s="495"/>
      <c r="D30" s="3450" t="s">
        <v>426</v>
      </c>
      <c r="E30" s="1568">
        <v>1004.8088322298164</v>
      </c>
      <c r="F30" s="1568">
        <v>292.17930598249734</v>
      </c>
      <c r="G30" s="1568">
        <v>331.8313354775583</v>
      </c>
      <c r="H30" s="1568">
        <v>381.66723273954091</v>
      </c>
      <c r="I30" s="1568">
        <v>361.14154857726288</v>
      </c>
      <c r="J30" s="1568">
        <v>365.96416367123436</v>
      </c>
      <c r="K30" s="1568">
        <v>417.65707477647675</v>
      </c>
      <c r="L30" s="1568">
        <v>207.5243767583155</v>
      </c>
      <c r="M30" s="1568">
        <v>291.80117930171122</v>
      </c>
      <c r="N30" s="1568">
        <v>386.09589291913801</v>
      </c>
      <c r="O30" s="1568">
        <v>444.77520920350781</v>
      </c>
      <c r="P30" s="1568">
        <v>464.17253338817409</v>
      </c>
      <c r="Q30" s="1568">
        <v>449.03188697277676</v>
      </c>
      <c r="R30" s="1568">
        <v>474.38870248892181</v>
      </c>
      <c r="S30" s="3466">
        <v>475.37079638979304</v>
      </c>
    </row>
    <row r="31" spans="1:19" s="502" customFormat="1" x14ac:dyDescent="0.2">
      <c r="A31" s="494"/>
      <c r="B31" s="495"/>
      <c r="C31" s="495"/>
      <c r="D31" s="3449" t="s">
        <v>427</v>
      </c>
      <c r="E31" s="1568">
        <v>1039.5207783875201</v>
      </c>
      <c r="F31" s="1568">
        <v>195.22635278949909</v>
      </c>
      <c r="G31" s="1568">
        <v>211.53424435282056</v>
      </c>
      <c r="H31" s="1568">
        <v>213.98459035059423</v>
      </c>
      <c r="I31" s="1568">
        <v>222.04682173110319</v>
      </c>
      <c r="J31" s="1568">
        <v>226.90857779387053</v>
      </c>
      <c r="K31" s="1568">
        <v>264.45368925154361</v>
      </c>
      <c r="L31" s="1568">
        <v>122.35886534322798</v>
      </c>
      <c r="M31" s="1568">
        <v>157.47473977751034</v>
      </c>
      <c r="N31" s="1568">
        <v>215.16812999001579</v>
      </c>
      <c r="O31" s="1568">
        <v>221.0565164059777</v>
      </c>
      <c r="P31" s="1568">
        <v>240.66636995569465</v>
      </c>
      <c r="Q31" s="1568">
        <v>257.14561854416866</v>
      </c>
      <c r="R31" s="1568">
        <v>272.22901151439936</v>
      </c>
      <c r="S31" s="3466">
        <v>261.5355465607629</v>
      </c>
    </row>
    <row r="32" spans="1:19" s="502" customFormat="1" x14ac:dyDescent="0.2">
      <c r="A32" s="494"/>
      <c r="B32" s="495"/>
      <c r="C32" s="495"/>
      <c r="D32" s="3450" t="s">
        <v>428</v>
      </c>
      <c r="E32" s="1568">
        <v>1232.3678401613006</v>
      </c>
      <c r="F32" s="1568">
        <v>79.967219770458186</v>
      </c>
      <c r="G32" s="1568">
        <v>77.467437402141925</v>
      </c>
      <c r="H32" s="1568">
        <v>78.207406023832959</v>
      </c>
      <c r="I32" s="1568">
        <v>72.600117405642166</v>
      </c>
      <c r="J32" s="1568">
        <v>80.414836069021661</v>
      </c>
      <c r="K32" s="1568">
        <v>97.488299796613319</v>
      </c>
      <c r="L32" s="1568">
        <v>39.779496798193641</v>
      </c>
      <c r="M32" s="1568">
        <v>44.273803966367971</v>
      </c>
      <c r="N32" s="1568">
        <v>65.47262804868619</v>
      </c>
      <c r="O32" s="1568">
        <v>62.94411150412089</v>
      </c>
      <c r="P32" s="1568">
        <v>72.067747258545879</v>
      </c>
      <c r="Q32" s="1568">
        <v>75.195921222418789</v>
      </c>
      <c r="R32" s="1568">
        <v>91.417417139655953</v>
      </c>
      <c r="S32" s="3466">
        <v>85.941238020842604</v>
      </c>
    </row>
    <row r="33" spans="1:19" s="502" customFormat="1" x14ac:dyDescent="0.2">
      <c r="A33" s="494"/>
      <c r="B33" s="495"/>
      <c r="C33" s="495"/>
      <c r="D33" s="3451" t="s">
        <v>261</v>
      </c>
      <c r="E33" s="1571">
        <v>11214.629381626739</v>
      </c>
      <c r="F33" s="1571">
        <v>1981.7199818160477</v>
      </c>
      <c r="G33" s="1571">
        <v>2234.1745374856746</v>
      </c>
      <c r="H33" s="1571">
        <v>2428.8645520021332</v>
      </c>
      <c r="I33" s="1571">
        <v>2337.1818437491111</v>
      </c>
      <c r="J33" s="1571">
        <v>2331.0469825944701</v>
      </c>
      <c r="K33" s="1571">
        <v>2556.9210847148815</v>
      </c>
      <c r="L33" s="1571">
        <v>1145.9853115250162</v>
      </c>
      <c r="M33" s="1571">
        <v>1535.1669716359443</v>
      </c>
      <c r="N33" s="1571">
        <v>2026.2397122347568</v>
      </c>
      <c r="O33" s="1571">
        <v>2251.9611181850241</v>
      </c>
      <c r="P33" s="1571">
        <v>2313.9453859715995</v>
      </c>
      <c r="Q33" s="1571">
        <v>2330.6806487100371</v>
      </c>
      <c r="R33" s="1571">
        <v>2422.4762888757587</v>
      </c>
      <c r="S33" s="3467">
        <v>2334.0474628250408</v>
      </c>
    </row>
    <row r="34" spans="1:19" s="502" customFormat="1" x14ac:dyDescent="0.2">
      <c r="A34" s="494"/>
      <c r="B34" s="495"/>
      <c r="C34" s="495"/>
      <c r="D34" s="507"/>
      <c r="E34" s="2633"/>
      <c r="F34" s="2633"/>
      <c r="G34" s="2633"/>
      <c r="H34" s="2633"/>
      <c r="I34" s="2633"/>
      <c r="J34" s="2633"/>
      <c r="K34" s="2633"/>
      <c r="L34" s="508"/>
      <c r="M34" s="508"/>
      <c r="N34" s="508"/>
      <c r="O34" s="2634"/>
      <c r="P34" s="2635"/>
    </row>
    <row r="35" spans="1:19" s="502" customFormat="1" x14ac:dyDescent="0.2">
      <c r="A35" s="494"/>
      <c r="B35" s="495"/>
      <c r="C35" s="495"/>
      <c r="D35" s="507"/>
      <c r="E35" s="2633"/>
      <c r="F35" s="2633"/>
      <c r="G35" s="2633"/>
      <c r="H35" s="2633"/>
      <c r="I35" s="2633"/>
      <c r="J35" s="2633"/>
      <c r="K35" s="2633"/>
      <c r="L35" s="508"/>
      <c r="M35" s="508"/>
      <c r="N35" s="508"/>
      <c r="O35" s="508"/>
      <c r="P35" s="2635"/>
    </row>
    <row r="36" spans="1:19" s="502" customFormat="1" x14ac:dyDescent="0.2">
      <c r="A36" s="494"/>
      <c r="B36" s="495"/>
      <c r="C36" s="495"/>
      <c r="D36" s="503" t="s">
        <v>278</v>
      </c>
      <c r="E36" s="509" t="s">
        <v>429</v>
      </c>
      <c r="F36" s="510"/>
      <c r="G36" s="508"/>
      <c r="H36" s="508"/>
      <c r="I36" s="511"/>
      <c r="J36" s="512"/>
      <c r="K36" s="512"/>
      <c r="L36" s="512"/>
      <c r="M36" s="512"/>
      <c r="N36" s="512"/>
      <c r="O36" s="512"/>
      <c r="P36" s="512"/>
    </row>
    <row r="37" spans="1:19" ht="12.75" customHeight="1" x14ac:dyDescent="0.2">
      <c r="D37" s="3456" t="s">
        <v>430</v>
      </c>
      <c r="E37" s="1569">
        <v>2001</v>
      </c>
      <c r="F37" s="1569">
        <v>2002</v>
      </c>
      <c r="G37" s="1569">
        <v>2003</v>
      </c>
      <c r="H37" s="1569">
        <v>2004</v>
      </c>
      <c r="I37" s="1569">
        <v>2005</v>
      </c>
      <c r="J37" s="1569">
        <v>2006</v>
      </c>
      <c r="K37" s="1574">
        <v>2007</v>
      </c>
      <c r="L37" s="1574">
        <v>2008</v>
      </c>
      <c r="M37" s="1574">
        <v>2009</v>
      </c>
      <c r="N37" s="1574">
        <v>2010</v>
      </c>
      <c r="O37" s="1574">
        <v>2011</v>
      </c>
      <c r="P37" s="1574">
        <v>2012</v>
      </c>
      <c r="Q37" s="1574">
        <v>2013</v>
      </c>
      <c r="R37" s="1574">
        <v>2014</v>
      </c>
      <c r="S37" s="3457">
        <v>2015</v>
      </c>
    </row>
    <row r="38" spans="1:19" s="502" customFormat="1" ht="15.6" customHeight="1" x14ac:dyDescent="0.2">
      <c r="A38" s="494"/>
      <c r="B38" s="495"/>
      <c r="C38" s="495"/>
      <c r="D38" s="3452" t="s">
        <v>431</v>
      </c>
      <c r="E38" s="1572">
        <v>2692.385094696147</v>
      </c>
      <c r="F38" s="1572">
        <v>2962.5228781799028</v>
      </c>
      <c r="G38" s="1572">
        <v>2917.668295400129</v>
      </c>
      <c r="H38" s="1572">
        <v>2594.8891498175822</v>
      </c>
      <c r="I38" s="1572">
        <v>2549.4298279339969</v>
      </c>
      <c r="J38" s="1572">
        <v>2347.0741601438644</v>
      </c>
      <c r="K38" s="1572">
        <v>2117.0194927719394</v>
      </c>
      <c r="L38" s="1572">
        <v>2517.9270945163021</v>
      </c>
      <c r="M38" s="1572">
        <v>2653</v>
      </c>
      <c r="N38" s="1572">
        <v>2998</v>
      </c>
      <c r="O38" s="1572">
        <v>3180</v>
      </c>
      <c r="P38" s="1572">
        <v>3242</v>
      </c>
      <c r="Q38" s="1572">
        <v>3226</v>
      </c>
      <c r="R38" s="1572">
        <v>3341</v>
      </c>
      <c r="S38" s="3458">
        <v>3481</v>
      </c>
    </row>
    <row r="39" spans="1:19" s="502" customFormat="1" x14ac:dyDescent="0.2">
      <c r="A39" s="494"/>
      <c r="B39" s="495"/>
      <c r="C39" s="495"/>
      <c r="D39" s="3453" t="s">
        <v>432</v>
      </c>
      <c r="E39" s="1572">
        <v>1413.0918876439198</v>
      </c>
      <c r="F39" s="1572">
        <v>1503.5328967929859</v>
      </c>
      <c r="G39" s="1572">
        <v>1477.0145416398291</v>
      </c>
      <c r="H39" s="1572">
        <v>1349.9679419328634</v>
      </c>
      <c r="I39" s="1572">
        <v>1447.5427591877558</v>
      </c>
      <c r="J39" s="1572">
        <v>1574.6098059406816</v>
      </c>
      <c r="K39" s="1572">
        <v>1754.0192880630011</v>
      </c>
      <c r="L39" s="1572">
        <v>1728.2382589264012</v>
      </c>
      <c r="M39" s="1572">
        <v>1750</v>
      </c>
      <c r="N39" s="1572">
        <v>1566</v>
      </c>
      <c r="O39" s="1572">
        <v>1456</v>
      </c>
      <c r="P39" s="1572">
        <v>1533</v>
      </c>
      <c r="Q39" s="1572">
        <v>1660</v>
      </c>
      <c r="R39" s="1572">
        <v>1729</v>
      </c>
      <c r="S39" s="3458">
        <v>1863</v>
      </c>
    </row>
    <row r="40" spans="1:19" s="502" customFormat="1" x14ac:dyDescent="0.2">
      <c r="A40" s="494"/>
      <c r="B40" s="495"/>
      <c r="C40" s="495"/>
      <c r="D40" s="3454" t="s">
        <v>433</v>
      </c>
      <c r="E40" s="1573">
        <v>4105.4769823400666</v>
      </c>
      <c r="F40" s="1573">
        <v>4466.0557749728887</v>
      </c>
      <c r="G40" s="1573">
        <v>4394.682837039958</v>
      </c>
      <c r="H40" s="1573">
        <v>3944.8570917504458</v>
      </c>
      <c r="I40" s="1573">
        <v>3996.9725871217524</v>
      </c>
      <c r="J40" s="1573">
        <v>3921.6839660845462</v>
      </c>
      <c r="K40" s="1573">
        <v>3871.0387808349406</v>
      </c>
      <c r="L40" s="1573">
        <v>4246.1653534427032</v>
      </c>
      <c r="M40" s="1573">
        <v>4403</v>
      </c>
      <c r="N40" s="1573">
        <v>4564</v>
      </c>
      <c r="O40" s="1573">
        <v>4636</v>
      </c>
      <c r="P40" s="1573">
        <v>4775</v>
      </c>
      <c r="Q40" s="1573">
        <v>4886</v>
      </c>
      <c r="R40" s="1573">
        <v>5070</v>
      </c>
      <c r="S40" s="3459">
        <v>5344</v>
      </c>
    </row>
    <row r="41" spans="1:19" s="502" customFormat="1" ht="22.5" x14ac:dyDescent="0.2">
      <c r="A41" s="494"/>
      <c r="B41" s="495"/>
      <c r="C41" s="495"/>
      <c r="D41" s="3455" t="s">
        <v>434</v>
      </c>
      <c r="E41" s="2636">
        <f t="shared" ref="E41:S41" si="0">E38/E40*100</f>
        <v>65.580323706053861</v>
      </c>
      <c r="F41" s="2636">
        <f t="shared" si="0"/>
        <v>66.334211381358912</v>
      </c>
      <c r="G41" s="2636">
        <f t="shared" si="0"/>
        <v>66.39087287048288</v>
      </c>
      <c r="H41" s="2636">
        <f t="shared" si="0"/>
        <v>65.779040646214028</v>
      </c>
      <c r="I41" s="2636">
        <f t="shared" si="0"/>
        <v>63.784020839879183</v>
      </c>
      <c r="J41" s="2636">
        <f t="shared" si="0"/>
        <v>59.848630854546137</v>
      </c>
      <c r="K41" s="2636">
        <f t="shared" si="0"/>
        <v>54.688666599080719</v>
      </c>
      <c r="L41" s="2636">
        <f t="shared" si="0"/>
        <v>59.298846957875028</v>
      </c>
      <c r="M41" s="2636">
        <f t="shared" si="0"/>
        <v>60.254372019077906</v>
      </c>
      <c r="N41" s="2636">
        <f t="shared" si="0"/>
        <v>65.687992988606482</v>
      </c>
      <c r="O41" s="2636">
        <f t="shared" si="0"/>
        <v>68.593615185504746</v>
      </c>
      <c r="P41" s="2636">
        <f t="shared" si="0"/>
        <v>67.895287958115176</v>
      </c>
      <c r="Q41" s="2636">
        <f t="shared" si="0"/>
        <v>66.025378632828492</v>
      </c>
      <c r="R41" s="2636">
        <f t="shared" si="0"/>
        <v>65.897435897435898</v>
      </c>
      <c r="S41" s="3460">
        <f t="shared" si="0"/>
        <v>65.138473053892227</v>
      </c>
    </row>
    <row r="42" spans="1:19" x14ac:dyDescent="0.2">
      <c r="D42" s="514"/>
      <c r="E42" s="2637"/>
      <c r="F42" s="2637"/>
      <c r="G42" s="2637"/>
      <c r="H42" s="2637"/>
      <c r="I42" s="2637"/>
      <c r="J42" s="2637"/>
      <c r="K42" s="2637"/>
      <c r="L42" s="2637"/>
      <c r="M42" s="2637"/>
      <c r="N42" s="2637"/>
      <c r="O42" s="2637"/>
      <c r="P42" s="2637"/>
      <c r="Q42" s="2637"/>
      <c r="R42" s="2637"/>
      <c r="S42" s="2637"/>
    </row>
    <row r="43" spans="1:19" x14ac:dyDescent="0.2">
      <c r="B43" s="478"/>
      <c r="D43" s="514"/>
      <c r="E43" s="2637"/>
      <c r="F43" s="2637"/>
      <c r="G43" s="2637"/>
      <c r="H43" s="2637"/>
      <c r="I43" s="2637"/>
      <c r="J43" s="2637"/>
      <c r="K43" s="2637"/>
      <c r="L43" s="515"/>
      <c r="M43" s="515"/>
      <c r="N43" s="514"/>
    </row>
    <row r="44" spans="1:19" x14ac:dyDescent="0.2">
      <c r="D44" s="514"/>
      <c r="E44" s="2637"/>
      <c r="F44" s="2637"/>
      <c r="G44" s="2637"/>
      <c r="H44" s="2637"/>
      <c r="I44" s="2637"/>
      <c r="J44" s="2637"/>
      <c r="K44" s="2637"/>
      <c r="L44" s="515"/>
      <c r="M44" s="515"/>
      <c r="N44" s="514"/>
    </row>
    <row r="45" spans="1:19" x14ac:dyDescent="0.2">
      <c r="D45" s="514"/>
      <c r="E45" s="2637"/>
      <c r="F45" s="2637"/>
      <c r="G45" s="2637"/>
      <c r="H45" s="2637"/>
      <c r="I45" s="2637"/>
      <c r="J45" s="2637"/>
      <c r="K45" s="2637"/>
      <c r="L45" s="515"/>
      <c r="M45" s="515"/>
      <c r="N45" s="514"/>
    </row>
    <row r="46" spans="1:19" x14ac:dyDescent="0.2">
      <c r="D46" s="514"/>
      <c r="E46" s="2637"/>
      <c r="F46" s="2637"/>
      <c r="G46" s="2637"/>
      <c r="H46" s="2637"/>
      <c r="I46" s="2637"/>
      <c r="J46" s="2637"/>
      <c r="K46" s="2637"/>
      <c r="L46" s="515"/>
      <c r="M46" s="515"/>
      <c r="N46" s="514"/>
    </row>
    <row r="47" spans="1:19" x14ac:dyDescent="0.2">
      <c r="D47" s="514"/>
      <c r="E47" s="2637"/>
      <c r="F47" s="2637"/>
      <c r="G47" s="2637"/>
      <c r="H47" s="2637"/>
      <c r="I47" s="2637"/>
      <c r="J47" s="2637"/>
      <c r="K47" s="2637"/>
      <c r="L47" s="515"/>
      <c r="M47" s="515"/>
      <c r="N47" s="514"/>
    </row>
    <row r="48" spans="1:19" x14ac:dyDescent="0.2">
      <c r="D48" s="514"/>
      <c r="E48" s="2637"/>
      <c r="F48" s="2637"/>
      <c r="G48" s="2637"/>
      <c r="H48" s="2637"/>
      <c r="I48" s="2637"/>
      <c r="J48" s="2637"/>
      <c r="K48" s="2637"/>
      <c r="L48" s="515"/>
      <c r="M48" s="515"/>
      <c r="N48" s="514"/>
    </row>
    <row r="49" spans="4:14" x14ac:dyDescent="0.2">
      <c r="D49" s="514"/>
      <c r="E49" s="2637"/>
      <c r="F49" s="2637"/>
      <c r="G49" s="2637"/>
      <c r="H49" s="2637"/>
      <c r="I49" s="2637"/>
      <c r="J49" s="2637"/>
      <c r="K49" s="2637"/>
      <c r="L49" s="515"/>
      <c r="M49" s="515"/>
      <c r="N49" s="514"/>
    </row>
    <row r="50" spans="4:14" x14ac:dyDescent="0.2">
      <c r="D50" s="514"/>
      <c r="E50" s="2637"/>
      <c r="F50" s="2637"/>
      <c r="G50" s="2637"/>
      <c r="H50" s="2637"/>
      <c r="I50" s="2637"/>
      <c r="J50" s="2637"/>
      <c r="K50" s="2637"/>
      <c r="L50" s="515"/>
      <c r="M50" s="515"/>
      <c r="N50" s="514"/>
    </row>
    <row r="51" spans="4:14" x14ac:dyDescent="0.2">
      <c r="D51" s="514"/>
      <c r="E51" s="2637"/>
      <c r="F51" s="2637"/>
      <c r="G51" s="2637"/>
      <c r="H51" s="2637"/>
      <c r="I51" s="2637"/>
      <c r="J51" s="2637"/>
      <c r="K51" s="2637"/>
      <c r="L51" s="515"/>
      <c r="M51" s="515"/>
      <c r="N51" s="514"/>
    </row>
    <row r="52" spans="4:14" x14ac:dyDescent="0.2">
      <c r="D52" s="514"/>
      <c r="E52" s="2637"/>
      <c r="F52" s="2637"/>
      <c r="G52" s="2637"/>
      <c r="H52" s="2637"/>
      <c r="I52" s="2637"/>
      <c r="J52" s="2637"/>
      <c r="K52" s="2637"/>
      <c r="L52" s="515"/>
      <c r="M52" s="515"/>
      <c r="N52" s="514"/>
    </row>
    <row r="53" spans="4:14" x14ac:dyDescent="0.2">
      <c r="D53" s="514"/>
      <c r="E53" s="2637"/>
      <c r="F53" s="2637"/>
      <c r="G53" s="2637"/>
      <c r="H53" s="2637"/>
      <c r="I53" s="2637"/>
      <c r="J53" s="2637"/>
      <c r="K53" s="2637"/>
      <c r="L53" s="515"/>
      <c r="M53" s="515"/>
      <c r="N53" s="514"/>
    </row>
    <row r="54" spans="4:14" x14ac:dyDescent="0.2">
      <c r="D54" s="514"/>
      <c r="E54" s="2637"/>
      <c r="F54" s="2637"/>
      <c r="G54" s="2637"/>
      <c r="H54" s="2637"/>
      <c r="I54" s="2637"/>
      <c r="J54" s="2637"/>
      <c r="K54" s="2637"/>
      <c r="L54" s="515"/>
      <c r="M54" s="515"/>
      <c r="N54" s="514"/>
    </row>
    <row r="55" spans="4:14" x14ac:dyDescent="0.2">
      <c r="D55" s="514"/>
      <c r="E55" s="2637"/>
      <c r="F55" s="2637"/>
      <c r="G55" s="2637"/>
      <c r="H55" s="2637"/>
      <c r="I55" s="2637"/>
      <c r="J55" s="2637"/>
      <c r="K55" s="2637"/>
      <c r="L55" s="515"/>
      <c r="M55" s="515"/>
      <c r="N55" s="514"/>
    </row>
    <row r="56" spans="4:14" x14ac:dyDescent="0.2">
      <c r="D56" s="514"/>
      <c r="E56" s="2637"/>
      <c r="F56" s="2637"/>
      <c r="G56" s="2637"/>
      <c r="H56" s="2637"/>
      <c r="I56" s="2637"/>
      <c r="J56" s="2637"/>
      <c r="K56" s="2637"/>
      <c r="L56" s="515"/>
      <c r="M56" s="515"/>
      <c r="N56" s="514"/>
    </row>
    <row r="57" spans="4:14" x14ac:dyDescent="0.2">
      <c r="D57" s="514"/>
      <c r="E57" s="2637"/>
      <c r="F57" s="2637"/>
      <c r="G57" s="2637"/>
      <c r="H57" s="2637"/>
      <c r="I57" s="2637"/>
      <c r="J57" s="2637"/>
      <c r="K57" s="2637"/>
      <c r="L57" s="515"/>
      <c r="M57" s="515"/>
      <c r="N57" s="514"/>
    </row>
    <row r="58" spans="4:14" x14ac:dyDescent="0.2">
      <c r="D58" s="514"/>
      <c r="E58" s="2637"/>
      <c r="F58" s="2637"/>
      <c r="G58" s="2637"/>
      <c r="H58" s="2637"/>
      <c r="I58" s="2637"/>
      <c r="J58" s="2637"/>
      <c r="K58" s="2637"/>
      <c r="L58" s="515"/>
      <c r="M58" s="515"/>
      <c r="N58" s="514"/>
    </row>
    <row r="59" spans="4:14" x14ac:dyDescent="0.2">
      <c r="D59" s="514"/>
      <c r="E59" s="2637"/>
      <c r="F59" s="2637"/>
      <c r="G59" s="2637"/>
      <c r="H59" s="2637"/>
      <c r="I59" s="2637"/>
      <c r="J59" s="2637"/>
      <c r="K59" s="2637"/>
      <c r="L59" s="515"/>
      <c r="M59" s="515"/>
      <c r="N59" s="514"/>
    </row>
    <row r="60" spans="4:14" x14ac:dyDescent="0.2">
      <c r="D60" s="514"/>
      <c r="E60" s="2637"/>
      <c r="F60" s="2637"/>
      <c r="G60" s="2637"/>
      <c r="H60" s="2637"/>
      <c r="I60" s="2637"/>
      <c r="J60" s="2637"/>
      <c r="K60" s="2637"/>
      <c r="L60" s="515"/>
      <c r="M60" s="515"/>
      <c r="N60" s="514"/>
    </row>
    <row r="61" spans="4:14" x14ac:dyDescent="0.2">
      <c r="D61" s="514"/>
      <c r="E61" s="2637"/>
      <c r="F61" s="2637"/>
      <c r="G61" s="2637"/>
      <c r="H61" s="2637"/>
      <c r="I61" s="2637"/>
      <c r="J61" s="2637"/>
      <c r="K61" s="2637"/>
      <c r="L61" s="515"/>
      <c r="M61" s="515"/>
      <c r="N61" s="514"/>
    </row>
    <row r="62" spans="4:14" x14ac:dyDescent="0.2">
      <c r="D62" s="514"/>
      <c r="E62" s="2637"/>
      <c r="F62" s="2637"/>
      <c r="G62" s="2637"/>
      <c r="H62" s="2637"/>
      <c r="I62" s="2637"/>
      <c r="J62" s="2637"/>
      <c r="K62" s="2637"/>
      <c r="L62" s="515"/>
      <c r="M62" s="515"/>
      <c r="N62" s="514"/>
    </row>
    <row r="63" spans="4:14" x14ac:dyDescent="0.2">
      <c r="D63" s="514"/>
      <c r="E63" s="2637"/>
      <c r="F63" s="2637"/>
      <c r="G63" s="2637"/>
      <c r="H63" s="2637"/>
      <c r="I63" s="2637"/>
      <c r="J63" s="2637"/>
      <c r="K63" s="2637"/>
      <c r="L63" s="515"/>
      <c r="M63" s="515"/>
      <c r="N63" s="514"/>
    </row>
    <row r="64" spans="4:14" x14ac:dyDescent="0.2">
      <c r="D64" s="514"/>
      <c r="E64" s="2637"/>
      <c r="F64" s="2637"/>
      <c r="G64" s="2637"/>
      <c r="H64" s="2637"/>
      <c r="I64" s="2637"/>
      <c r="J64" s="2637"/>
      <c r="K64" s="2637"/>
      <c r="L64" s="515"/>
      <c r="M64" s="515"/>
      <c r="N64" s="514"/>
    </row>
    <row r="65" spans="1:19" x14ac:dyDescent="0.2">
      <c r="D65" s="514"/>
      <c r="E65" s="2637"/>
      <c r="F65" s="2637"/>
      <c r="G65" s="2637"/>
      <c r="H65" s="2637"/>
      <c r="I65" s="2637"/>
      <c r="J65" s="2637"/>
      <c r="K65" s="2637"/>
      <c r="L65" s="515"/>
      <c r="M65" s="515"/>
      <c r="N65" s="514"/>
    </row>
    <row r="66" spans="1:19" ht="15" customHeight="1" x14ac:dyDescent="0.2">
      <c r="A66" s="478">
        <v>5</v>
      </c>
      <c r="B66" s="478" t="s">
        <v>78</v>
      </c>
      <c r="C66" s="478"/>
      <c r="D66" s="3635" t="s">
        <v>435</v>
      </c>
      <c r="E66" s="3636"/>
      <c r="F66" s="3636"/>
      <c r="G66" s="3636"/>
      <c r="H66" s="3636"/>
      <c r="I66" s="3636"/>
      <c r="J66" s="3636"/>
      <c r="K66" s="3636"/>
      <c r="L66" s="3636"/>
      <c r="M66" s="3636"/>
      <c r="N66" s="3636"/>
      <c r="O66" s="3636"/>
      <c r="P66" s="3636"/>
      <c r="Q66" s="3636"/>
      <c r="R66" s="3636"/>
      <c r="S66" s="3637"/>
    </row>
    <row r="67" spans="1:19" ht="67.5" customHeight="1" x14ac:dyDescent="0.2">
      <c r="A67" s="516">
        <v>6</v>
      </c>
      <c r="B67" s="516" t="s">
        <v>80</v>
      </c>
      <c r="C67" s="516"/>
      <c r="D67" s="3635" t="s">
        <v>436</v>
      </c>
      <c r="E67" s="3636"/>
      <c r="F67" s="3636"/>
      <c r="G67" s="3636"/>
      <c r="H67" s="3636"/>
      <c r="I67" s="3636"/>
      <c r="J67" s="3636"/>
      <c r="K67" s="3636"/>
      <c r="L67" s="3636"/>
      <c r="M67" s="3636"/>
      <c r="N67" s="3636"/>
      <c r="O67" s="3636"/>
      <c r="P67" s="3636"/>
      <c r="Q67" s="3636"/>
      <c r="R67" s="3636"/>
      <c r="S67" s="3637"/>
    </row>
    <row r="68" spans="1:19" ht="15" customHeight="1" x14ac:dyDescent="0.2">
      <c r="A68" s="478">
        <v>7</v>
      </c>
      <c r="B68" s="478" t="s">
        <v>20</v>
      </c>
      <c r="C68" s="478"/>
      <c r="D68" s="3635" t="s">
        <v>437</v>
      </c>
      <c r="E68" s="3636"/>
      <c r="F68" s="3636"/>
      <c r="G68" s="3636"/>
      <c r="H68" s="3636"/>
      <c r="I68" s="3636"/>
      <c r="J68" s="3636"/>
      <c r="K68" s="3636"/>
      <c r="L68" s="3636"/>
      <c r="M68" s="3636"/>
      <c r="N68" s="3636"/>
      <c r="O68" s="3636"/>
      <c r="P68" s="3636"/>
      <c r="Q68" s="3636"/>
      <c r="R68" s="3636"/>
      <c r="S68" s="3637"/>
    </row>
    <row r="69" spans="1:19" s="517" customFormat="1" ht="32.25" customHeight="1" x14ac:dyDescent="0.2">
      <c r="A69" s="478">
        <v>8</v>
      </c>
      <c r="B69" s="478" t="s">
        <v>22</v>
      </c>
      <c r="C69" s="478"/>
      <c r="D69" s="3635" t="s">
        <v>438</v>
      </c>
      <c r="E69" s="3636"/>
      <c r="F69" s="3636"/>
      <c r="G69" s="3636"/>
      <c r="H69" s="3636"/>
      <c r="I69" s="3636"/>
      <c r="J69" s="3636"/>
      <c r="K69" s="3636"/>
      <c r="L69" s="3636"/>
      <c r="M69" s="3636"/>
      <c r="N69" s="3636"/>
      <c r="O69" s="3636"/>
      <c r="P69" s="3636"/>
      <c r="Q69" s="3636"/>
      <c r="R69" s="3636"/>
      <c r="S69" s="3637"/>
    </row>
    <row r="76" spans="1:19" x14ac:dyDescent="0.2">
      <c r="D76" s="490" t="s">
        <v>93</v>
      </c>
      <c r="E76" s="491" t="s">
        <v>439</v>
      </c>
      <c r="F76" s="487"/>
      <c r="G76" s="486"/>
      <c r="H76" s="486"/>
      <c r="I76" s="488"/>
      <c r="J76" s="488"/>
      <c r="K76" s="489"/>
      <c r="L76" s="489"/>
      <c r="M76" s="518"/>
      <c r="N76" s="489"/>
      <c r="O76" s="483"/>
    </row>
    <row r="77" spans="1:19" x14ac:dyDescent="0.2">
      <c r="D77" s="519" t="s">
        <v>54</v>
      </c>
      <c r="E77" s="520">
        <v>2001</v>
      </c>
      <c r="F77" s="520">
        <v>2002</v>
      </c>
      <c r="G77" s="520">
        <v>2003</v>
      </c>
      <c r="H77" s="520">
        <v>2004</v>
      </c>
      <c r="I77" s="520">
        <v>2005</v>
      </c>
      <c r="J77" s="521">
        <v>2006</v>
      </c>
      <c r="K77" s="522">
        <v>2007</v>
      </c>
      <c r="L77" s="523">
        <v>2008</v>
      </c>
      <c r="M77" s="523">
        <v>2009</v>
      </c>
      <c r="N77" s="523">
        <v>2010</v>
      </c>
      <c r="O77" s="523">
        <v>2011</v>
      </c>
      <c r="P77" s="523">
        <v>2012</v>
      </c>
      <c r="Q77" s="524">
        <v>2013</v>
      </c>
      <c r="R77" s="524">
        <v>2014</v>
      </c>
      <c r="S77" s="524">
        <v>2015</v>
      </c>
    </row>
    <row r="78" spans="1:19" x14ac:dyDescent="0.2">
      <c r="D78" s="525" t="s">
        <v>440</v>
      </c>
      <c r="E78" s="526">
        <v>49.556608498903458</v>
      </c>
      <c r="F78" s="526">
        <v>52.365488698625548</v>
      </c>
      <c r="G78" s="526">
        <v>54.827733170732508</v>
      </c>
      <c r="H78" s="526">
        <v>51.047144480847152</v>
      </c>
      <c r="I78" s="526">
        <v>48.313051977951886</v>
      </c>
      <c r="J78" s="526">
        <v>46.662747889266477</v>
      </c>
      <c r="K78" s="526">
        <v>46.483378566700807</v>
      </c>
      <c r="L78" s="526">
        <v>45.614324650791417</v>
      </c>
      <c r="M78" s="526">
        <v>60.1</v>
      </c>
      <c r="N78" s="526">
        <v>65</v>
      </c>
      <c r="O78" s="526">
        <v>65</v>
      </c>
      <c r="P78" s="526">
        <v>65.900000000000006</v>
      </c>
      <c r="Q78" s="526">
        <v>65.5</v>
      </c>
      <c r="R78" s="526">
        <v>65</v>
      </c>
      <c r="S78" s="526">
        <v>62.8</v>
      </c>
    </row>
    <row r="79" spans="1:19" x14ac:dyDescent="0.2">
      <c r="D79" s="519" t="s">
        <v>441</v>
      </c>
      <c r="E79" s="526">
        <v>30.006583046640795</v>
      </c>
      <c r="F79" s="526">
        <v>31.279821135541997</v>
      </c>
      <c r="G79" s="526">
        <v>31.050283981445908</v>
      </c>
      <c r="H79" s="526">
        <v>28.607807205924868</v>
      </c>
      <c r="I79" s="526">
        <v>28.082964613263091</v>
      </c>
      <c r="J79" s="526">
        <v>25.955049151477134</v>
      </c>
      <c r="K79" s="526">
        <v>26.009564159106073</v>
      </c>
      <c r="L79" s="526">
        <v>25.84055242777702</v>
      </c>
      <c r="M79" s="526">
        <v>36.299999999999997</v>
      </c>
      <c r="N79" s="526">
        <v>39</v>
      </c>
      <c r="O79" s="526">
        <v>40</v>
      </c>
      <c r="P79" s="526">
        <v>39.5</v>
      </c>
      <c r="Q79" s="526">
        <v>39.200000000000003</v>
      </c>
      <c r="R79" s="526">
        <v>39.799999999999997</v>
      </c>
      <c r="S79" s="526">
        <v>39.4</v>
      </c>
    </row>
    <row r="80" spans="1:19" x14ac:dyDescent="0.2">
      <c r="D80" s="525" t="s">
        <v>442</v>
      </c>
      <c r="E80" s="526">
        <v>15.348552168548474</v>
      </c>
      <c r="F80" s="526">
        <v>16.727720869361313</v>
      </c>
      <c r="G80" s="526">
        <v>16.436128287012593</v>
      </c>
      <c r="H80" s="526">
        <v>15.309559486335356</v>
      </c>
      <c r="I80" s="526">
        <v>14.705728618206862</v>
      </c>
      <c r="J80" s="526">
        <v>14.734966545056349</v>
      </c>
      <c r="K80" s="526">
        <v>13.512775447998409</v>
      </c>
      <c r="L80" s="526">
        <v>15.955901048925059</v>
      </c>
      <c r="M80" s="526">
        <v>23.3</v>
      </c>
      <c r="N80" s="526">
        <v>25.7</v>
      </c>
      <c r="O80" s="526">
        <v>26.3</v>
      </c>
      <c r="P80" s="526">
        <v>26.3</v>
      </c>
      <c r="Q80" s="526">
        <v>26.3</v>
      </c>
      <c r="R80" s="526">
        <v>26.6</v>
      </c>
      <c r="S80" s="526">
        <v>26.7</v>
      </c>
    </row>
    <row r="81" spans="1:19" x14ac:dyDescent="0.2">
      <c r="D81" s="519" t="s">
        <v>443</v>
      </c>
      <c r="E81" s="526">
        <v>11.413586942521752</v>
      </c>
      <c r="F81" s="526">
        <v>13.255828788899452</v>
      </c>
      <c r="G81" s="526">
        <v>12.56289880655336</v>
      </c>
      <c r="H81" s="526">
        <v>10.643161935658</v>
      </c>
      <c r="I81" s="526">
        <v>10.560847323939923</v>
      </c>
      <c r="J81" s="526">
        <v>9.9807886244266086</v>
      </c>
      <c r="K81" s="526">
        <v>10.378274219367608</v>
      </c>
      <c r="L81" s="526">
        <v>10.262524243664238</v>
      </c>
      <c r="M81" s="526">
        <v>17.2</v>
      </c>
      <c r="N81" s="526">
        <v>20.2</v>
      </c>
      <c r="O81" s="526">
        <v>20</v>
      </c>
      <c r="P81" s="526">
        <v>20.6</v>
      </c>
      <c r="Q81" s="526">
        <v>20.6</v>
      </c>
      <c r="R81" s="526">
        <v>21.2</v>
      </c>
      <c r="S81" s="526">
        <v>21.1</v>
      </c>
    </row>
    <row r="82" spans="1:19" x14ac:dyDescent="0.2">
      <c r="D82" s="525" t="s">
        <v>444</v>
      </c>
      <c r="E82" s="526">
        <v>8.3886179986402496</v>
      </c>
      <c r="F82" s="526">
        <v>9.2104286438743301</v>
      </c>
      <c r="G82" s="526">
        <v>8.3836251103396329</v>
      </c>
      <c r="H82" s="526">
        <v>6.4580666430821392</v>
      </c>
      <c r="I82" s="526">
        <v>6.9382843179818448</v>
      </c>
      <c r="J82" s="526">
        <v>5.1909668005062404</v>
      </c>
      <c r="K82" s="526">
        <v>5.6456566792137988</v>
      </c>
      <c r="L82" s="526">
        <v>6.7434230431741806</v>
      </c>
      <c r="M82" s="526">
        <v>11.9</v>
      </c>
      <c r="N82" s="526">
        <v>14.7</v>
      </c>
      <c r="O82" s="526">
        <v>12.9</v>
      </c>
      <c r="P82" s="526">
        <v>14.5</v>
      </c>
      <c r="Q82" s="526">
        <v>14.5</v>
      </c>
      <c r="R82" s="526">
        <v>15</v>
      </c>
      <c r="S82" s="526">
        <v>15.4</v>
      </c>
    </row>
    <row r="83" spans="1:19" ht="15" x14ac:dyDescent="0.25">
      <c r="D83" s="484"/>
      <c r="E83" s="2631"/>
      <c r="F83" s="2631"/>
      <c r="G83" s="2631"/>
      <c r="H83" s="2631"/>
      <c r="I83" s="2631"/>
      <c r="J83" s="2631"/>
      <c r="K83" s="2631"/>
      <c r="L83" s="2631"/>
      <c r="M83" s="486"/>
      <c r="N83" s="2638"/>
      <c r="O83" s="527"/>
      <c r="P83" s="527"/>
      <c r="Q83" s="527"/>
      <c r="R83" s="527"/>
      <c r="S83" s="527"/>
    </row>
    <row r="84" spans="1:19" x14ac:dyDescent="0.2">
      <c r="D84" s="496" t="s">
        <v>93</v>
      </c>
      <c r="E84" s="497" t="s">
        <v>445</v>
      </c>
      <c r="F84" s="498"/>
      <c r="G84" s="499"/>
      <c r="H84" s="499"/>
      <c r="I84" s="500"/>
      <c r="J84" s="501"/>
      <c r="K84" s="501"/>
      <c r="L84" s="501"/>
      <c r="M84" s="501"/>
      <c r="N84" s="501"/>
      <c r="O84" s="496"/>
      <c r="P84" s="497"/>
    </row>
    <row r="85" spans="1:19" x14ac:dyDescent="0.2">
      <c r="D85" s="519" t="s">
        <v>54</v>
      </c>
      <c r="E85" s="528">
        <v>2001</v>
      </c>
      <c r="F85" s="528">
        <v>2002</v>
      </c>
      <c r="G85" s="528">
        <v>2003</v>
      </c>
      <c r="H85" s="528">
        <v>2004</v>
      </c>
      <c r="I85" s="528">
        <v>2005</v>
      </c>
      <c r="J85" s="528">
        <v>2006</v>
      </c>
      <c r="K85" s="529">
        <v>2007</v>
      </c>
      <c r="L85" s="530">
        <v>2008</v>
      </c>
      <c r="M85" s="531">
        <v>2009</v>
      </c>
      <c r="N85" s="531">
        <v>2010</v>
      </c>
      <c r="O85" s="530">
        <v>2011</v>
      </c>
      <c r="P85" s="530">
        <v>2012</v>
      </c>
      <c r="Q85" s="524">
        <v>2013</v>
      </c>
      <c r="R85" s="524">
        <v>2014</v>
      </c>
      <c r="S85" s="524">
        <v>2015</v>
      </c>
    </row>
    <row r="86" spans="1:19" x14ac:dyDescent="0.2">
      <c r="D86" s="525" t="s">
        <v>10</v>
      </c>
      <c r="E86" s="526">
        <v>23.101379139970167</v>
      </c>
      <c r="F86" s="526">
        <v>23.492320629291797</v>
      </c>
      <c r="G86" s="526">
        <v>23.650080464090003</v>
      </c>
      <c r="H86" s="526">
        <v>21.235770232243663</v>
      </c>
      <c r="I86" s="526">
        <v>20.044935929696557</v>
      </c>
      <c r="J86" s="526">
        <v>18.602495329239574</v>
      </c>
      <c r="K86" s="526">
        <v>18.778540766305767</v>
      </c>
      <c r="L86" s="526">
        <v>19.81545602356757</v>
      </c>
      <c r="M86" s="526">
        <v>28.7</v>
      </c>
      <c r="N86" s="526">
        <v>31.3</v>
      </c>
      <c r="O86" s="526">
        <v>31.6</v>
      </c>
      <c r="P86" s="2639">
        <v>31.7</v>
      </c>
      <c r="Q86" s="532">
        <v>31.9</v>
      </c>
      <c r="R86" s="532">
        <v>32.1</v>
      </c>
      <c r="S86" s="532">
        <v>31.1</v>
      </c>
    </row>
    <row r="87" spans="1:19" x14ac:dyDescent="0.2">
      <c r="D87" s="519" t="s">
        <v>11</v>
      </c>
      <c r="E87" s="526">
        <v>27.89460265947573</v>
      </c>
      <c r="F87" s="526">
        <v>31.314679766110636</v>
      </c>
      <c r="G87" s="526">
        <v>31.067046720979004</v>
      </c>
      <c r="H87" s="526">
        <v>28.691299661830982</v>
      </c>
      <c r="I87" s="526">
        <v>28.200072991395604</v>
      </c>
      <c r="J87" s="526">
        <v>27.144102580803679</v>
      </c>
      <c r="K87" s="526">
        <v>26.395606418335216</v>
      </c>
      <c r="L87" s="526">
        <v>25.892098930063263</v>
      </c>
      <c r="M87" s="526">
        <v>36.6</v>
      </c>
      <c r="N87" s="526">
        <v>40</v>
      </c>
      <c r="O87" s="526">
        <v>40.200000000000003</v>
      </c>
      <c r="P87" s="2639">
        <v>40</v>
      </c>
      <c r="Q87" s="532">
        <v>39.1</v>
      </c>
      <c r="R87" s="532">
        <v>39</v>
      </c>
      <c r="S87" s="532">
        <v>39</v>
      </c>
    </row>
    <row r="88" spans="1:19" s="537" customFormat="1" x14ac:dyDescent="0.2">
      <c r="A88" s="478"/>
      <c r="B88" s="533"/>
      <c r="C88" s="533"/>
      <c r="D88" s="534" t="s">
        <v>261</v>
      </c>
      <c r="E88" s="535">
        <v>25.370740413489457</v>
      </c>
      <c r="F88" s="535">
        <v>27.180508501508342</v>
      </c>
      <c r="G88" s="535">
        <v>27.115766702024651</v>
      </c>
      <c r="H88" s="535">
        <v>24.672790326915688</v>
      </c>
      <c r="I88" s="535">
        <v>23.839990494289935</v>
      </c>
      <c r="J88" s="535">
        <v>22.615760539777646</v>
      </c>
      <c r="K88" s="535">
        <v>22.326519139844585</v>
      </c>
      <c r="L88" s="535">
        <v>22.54877278267687</v>
      </c>
      <c r="M88" s="535">
        <v>32.4</v>
      </c>
      <c r="N88" s="535">
        <v>35.4</v>
      </c>
      <c r="O88" s="535">
        <v>35.6</v>
      </c>
      <c r="P88" s="2640">
        <v>35.6</v>
      </c>
      <c r="Q88" s="536">
        <v>35.299999999999997</v>
      </c>
      <c r="R88" s="536">
        <v>35.299999999999997</v>
      </c>
      <c r="S88" s="536">
        <v>34.799999999999997</v>
      </c>
    </row>
  </sheetData>
  <sheetProtection selectLockedCells="1"/>
  <mergeCells count="7">
    <mergeCell ref="D68:S68"/>
    <mergeCell ref="D69:S69"/>
    <mergeCell ref="D2:S2"/>
    <mergeCell ref="D3:S3"/>
    <mergeCell ref="D4:S4"/>
    <mergeCell ref="D66:S66"/>
    <mergeCell ref="D67:S67"/>
  </mergeCells>
  <pageMargins left="0.74803149606299213" right="0.74803149606299213" top="0.98425196850393704" bottom="0.98425196850393704" header="0.51181102362204722" footer="0.51181102362204722"/>
  <pageSetup paperSize="9" scale="4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M88"/>
  <sheetViews>
    <sheetView showGridLines="0" view="pageBreakPreview" zoomScaleNormal="100" zoomScaleSheetLayoutView="100" workbookViewId="0">
      <selection activeCell="D13" sqref="D13:D33"/>
    </sheetView>
  </sheetViews>
  <sheetFormatPr defaultColWidth="9.140625" defaultRowHeight="15" x14ac:dyDescent="0.25"/>
  <cols>
    <col min="1" max="1" width="3.7109375" style="52" customWidth="1"/>
    <col min="2" max="2" width="12.7109375" style="49" customWidth="1"/>
    <col min="3" max="3" width="3.7109375" style="50" customWidth="1"/>
    <col min="4" max="4" width="14.42578125" style="51" bestFit="1" customWidth="1"/>
    <col min="5" max="5" width="6" style="51" customWidth="1"/>
    <col min="6" max="26" width="6.28515625" style="51" customWidth="1"/>
    <col min="27" max="27" width="7.7109375" style="51" customWidth="1"/>
    <col min="28" max="28" width="10" style="51" customWidth="1"/>
    <col min="29" max="29" width="10" style="51" bestFit="1" customWidth="1"/>
    <col min="30" max="30" width="9.7109375" style="51" customWidth="1"/>
    <col min="31" max="32" width="10" style="51" customWidth="1"/>
    <col min="33" max="33" width="10" style="51" bestFit="1" customWidth="1"/>
    <col min="34" max="34" width="9.42578125" style="51" customWidth="1"/>
    <col min="35" max="36" width="10" style="51" customWidth="1"/>
    <col min="37" max="37" width="10" style="51" bestFit="1" customWidth="1"/>
    <col min="38" max="38" width="9.7109375" style="51" customWidth="1"/>
    <col min="39" max="40" width="10" style="51" customWidth="1"/>
    <col min="41" max="41" width="10" style="51" bestFit="1" customWidth="1"/>
    <col min="42" max="42" width="9.7109375" style="51" customWidth="1"/>
    <col min="43" max="44" width="10" style="51" customWidth="1"/>
    <col min="45" max="45" width="10" style="51" bestFit="1" customWidth="1"/>
    <col min="46" max="46" width="9.7109375" style="51" customWidth="1"/>
    <col min="47" max="48" width="10" style="51" customWidth="1"/>
    <col min="49" max="49" width="10" style="51" bestFit="1" customWidth="1"/>
    <col min="50" max="50" width="9.7109375" style="51" customWidth="1"/>
    <col min="51" max="52" width="10" style="51" customWidth="1"/>
    <col min="53" max="53" width="10" style="51" bestFit="1" customWidth="1"/>
    <col min="54" max="54" width="9.7109375" style="51" customWidth="1"/>
    <col min="55" max="56" width="10" style="51" customWidth="1"/>
    <col min="57" max="57" width="10" style="51" bestFit="1" customWidth="1"/>
    <col min="58" max="58" width="10.7109375" style="51" customWidth="1"/>
    <col min="59" max="59" width="13.140625" style="51" customWidth="1"/>
    <col min="60" max="60" width="10.140625" style="51" bestFit="1" customWidth="1"/>
    <col min="61" max="61" width="10" style="51" bestFit="1" customWidth="1"/>
    <col min="62" max="62" width="9.7109375" style="51" bestFit="1" customWidth="1"/>
    <col min="63" max="64" width="10.28515625" style="51" bestFit="1" customWidth="1"/>
    <col min="65" max="65" width="10.42578125" style="51" bestFit="1" customWidth="1"/>
    <col min="66" max="66" width="10.28515625" style="51" bestFit="1" customWidth="1"/>
    <col min="67" max="67" width="10.42578125" style="51" bestFit="1" customWidth="1"/>
    <col min="68" max="68" width="10.28515625" style="51" bestFit="1" customWidth="1"/>
    <col min="69" max="69" width="9.28515625" style="51" customWidth="1"/>
    <col min="70" max="83" width="9.5703125" style="51" bestFit="1" customWidth="1"/>
    <col min="84" max="84" width="10.28515625" style="51" bestFit="1" customWidth="1"/>
    <col min="85" max="85" width="10.28515625" style="51" customWidth="1"/>
    <col min="86" max="87" width="9.5703125" style="51" bestFit="1" customWidth="1"/>
    <col min="88" max="16384" width="9.140625" style="51"/>
  </cols>
  <sheetData>
    <row r="1" spans="1:69" x14ac:dyDescent="0.25">
      <c r="A1" s="48"/>
    </row>
    <row r="2" spans="1:69" ht="12.75" customHeight="1" x14ac:dyDescent="0.25">
      <c r="A2" s="52">
        <v>1</v>
      </c>
      <c r="B2" s="53" t="s">
        <v>24</v>
      </c>
      <c r="C2" s="52">
        <f>1</f>
        <v>1</v>
      </c>
      <c r="D2" s="3535" t="s">
        <v>25</v>
      </c>
      <c r="E2" s="3536"/>
      <c r="F2" s="3536"/>
      <c r="G2" s="3536"/>
      <c r="H2" s="3536"/>
      <c r="I2" s="3536"/>
      <c r="J2" s="3536"/>
      <c r="K2" s="3536"/>
      <c r="L2" s="3536"/>
      <c r="M2" s="3536"/>
      <c r="N2" s="3536"/>
      <c r="O2" s="3536"/>
      <c r="P2" s="3536"/>
      <c r="Q2" s="3536"/>
      <c r="R2" s="3536"/>
      <c r="S2" s="3536"/>
      <c r="T2" s="3536"/>
      <c r="U2" s="3536"/>
      <c r="V2" s="3536"/>
      <c r="W2" s="3536"/>
      <c r="X2" s="3536"/>
      <c r="Y2" s="3536"/>
      <c r="Z2" s="3536"/>
      <c r="AA2" s="3537"/>
    </row>
    <row r="3" spans="1:69" ht="12.75" customHeight="1" x14ac:dyDescent="0.25">
      <c r="A3" s="52">
        <v>2</v>
      </c>
      <c r="B3" s="53" t="s">
        <v>26</v>
      </c>
      <c r="C3" s="52"/>
      <c r="D3" s="3538" t="s">
        <v>27</v>
      </c>
      <c r="E3" s="3539"/>
      <c r="F3" s="3539"/>
      <c r="G3" s="3539"/>
      <c r="H3" s="3539"/>
      <c r="I3" s="3539"/>
      <c r="J3" s="3539"/>
      <c r="K3" s="3539"/>
      <c r="L3" s="3539"/>
      <c r="M3" s="3539"/>
      <c r="N3" s="3539"/>
      <c r="O3" s="3539"/>
      <c r="P3" s="3539"/>
      <c r="Q3" s="3539"/>
      <c r="R3" s="3539"/>
      <c r="S3" s="3539"/>
      <c r="T3" s="3539"/>
      <c r="U3" s="3539"/>
      <c r="V3" s="3539"/>
      <c r="W3" s="3539"/>
      <c r="X3" s="3539"/>
      <c r="Y3" s="3539"/>
      <c r="Z3" s="3539"/>
      <c r="AA3" s="3540"/>
    </row>
    <row r="4" spans="1:69" ht="12.75" customHeight="1" x14ac:dyDescent="0.25">
      <c r="A4" s="52">
        <v>3</v>
      </c>
      <c r="B4" s="53" t="s">
        <v>28</v>
      </c>
      <c r="C4" s="52"/>
      <c r="D4" s="3541" t="s">
        <v>29</v>
      </c>
      <c r="E4" s="3542"/>
      <c r="F4" s="3542"/>
      <c r="G4" s="3542"/>
      <c r="H4" s="3542"/>
      <c r="I4" s="3542"/>
      <c r="J4" s="3542"/>
      <c r="K4" s="3542"/>
      <c r="L4" s="3542"/>
      <c r="M4" s="3542"/>
      <c r="N4" s="3542"/>
      <c r="O4" s="3542"/>
      <c r="P4" s="3542"/>
      <c r="Q4" s="3542"/>
      <c r="R4" s="3542"/>
      <c r="S4" s="3542"/>
      <c r="T4" s="3542"/>
      <c r="U4" s="3542"/>
      <c r="V4" s="3542"/>
      <c r="W4" s="3542"/>
      <c r="X4" s="3542"/>
      <c r="Y4" s="3542"/>
      <c r="Z4" s="3542"/>
      <c r="AA4" s="3543"/>
    </row>
    <row r="5" spans="1:69" ht="14.25" customHeight="1" x14ac:dyDescent="0.25">
      <c r="B5" s="53"/>
      <c r="C5" s="52"/>
      <c r="D5" s="1464"/>
      <c r="E5" s="1464"/>
      <c r="F5" s="55"/>
      <c r="G5" s="55"/>
      <c r="H5" s="55"/>
      <c r="I5" s="55"/>
      <c r="J5" s="55"/>
      <c r="K5" s="55"/>
      <c r="L5" s="55"/>
      <c r="M5" s="55"/>
      <c r="N5" s="55"/>
      <c r="O5" s="55"/>
      <c r="P5" s="55"/>
      <c r="Q5" s="55"/>
      <c r="R5" s="54"/>
      <c r="S5" s="54"/>
      <c r="T5" s="54"/>
      <c r="U5" s="54"/>
      <c r="V5" s="54"/>
      <c r="W5" s="54"/>
      <c r="X5" s="54"/>
      <c r="Y5" s="54"/>
      <c r="Z5" s="54"/>
      <c r="AA5" s="54"/>
      <c r="AB5" s="54"/>
      <c r="AC5" s="54"/>
      <c r="AD5" s="54"/>
      <c r="AE5" s="54"/>
      <c r="AF5" s="54"/>
      <c r="AG5" s="54"/>
      <c r="AH5" s="54"/>
      <c r="AI5" s="54"/>
      <c r="AJ5" s="54"/>
      <c r="AK5" s="54"/>
      <c r="AL5" s="54"/>
      <c r="AM5" s="54"/>
      <c r="AN5" s="54"/>
      <c r="AO5" s="54"/>
    </row>
    <row r="6" spans="1:69" x14ac:dyDescent="0.25">
      <c r="A6" s="52">
        <v>4</v>
      </c>
      <c r="B6" s="56" t="s">
        <v>1</v>
      </c>
      <c r="D6" s="57" t="s">
        <v>31</v>
      </c>
      <c r="E6" s="57"/>
      <c r="F6" s="57" t="s">
        <v>32</v>
      </c>
      <c r="G6" s="57"/>
      <c r="H6" s="57"/>
      <c r="I6" s="57"/>
      <c r="J6" s="57"/>
      <c r="K6" s="57"/>
      <c r="L6" s="57"/>
      <c r="M6" s="57"/>
      <c r="N6" s="58"/>
      <c r="O6" s="58"/>
      <c r="P6" s="58"/>
      <c r="Q6" s="58"/>
      <c r="R6" s="58"/>
      <c r="S6" s="58"/>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row>
    <row r="7" spans="1:69" x14ac:dyDescent="0.25">
      <c r="D7" s="3153"/>
      <c r="E7" s="60"/>
      <c r="F7" s="61" t="s">
        <v>33</v>
      </c>
      <c r="G7" s="61" t="s">
        <v>34</v>
      </c>
      <c r="H7" s="61" t="s">
        <v>35</v>
      </c>
      <c r="I7" s="61" t="s">
        <v>36</v>
      </c>
      <c r="J7" s="61" t="s">
        <v>37</v>
      </c>
      <c r="K7" s="61" t="s">
        <v>38</v>
      </c>
      <c r="L7" s="61" t="s">
        <v>39</v>
      </c>
      <c r="M7" s="61" t="s">
        <v>40</v>
      </c>
      <c r="N7" s="61" t="s">
        <v>41</v>
      </c>
      <c r="O7" s="61" t="s">
        <v>42</v>
      </c>
      <c r="P7" s="61" t="s">
        <v>43</v>
      </c>
      <c r="Q7" s="61" t="s">
        <v>44</v>
      </c>
      <c r="R7" s="61" t="s">
        <v>45</v>
      </c>
      <c r="S7" s="61" t="s">
        <v>46</v>
      </c>
      <c r="T7" s="61" t="s">
        <v>47</v>
      </c>
      <c r="U7" s="61" t="s">
        <v>48</v>
      </c>
      <c r="V7" s="61" t="s">
        <v>49</v>
      </c>
      <c r="W7" s="61" t="s">
        <v>50</v>
      </c>
      <c r="X7" s="61" t="s">
        <v>51</v>
      </c>
      <c r="Y7" s="61" t="s">
        <v>52</v>
      </c>
      <c r="Z7" s="62">
        <v>2014</v>
      </c>
      <c r="AA7" s="62">
        <v>2015</v>
      </c>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row>
    <row r="8" spans="1:69" x14ac:dyDescent="0.25">
      <c r="D8" s="3154"/>
      <c r="E8" s="63"/>
      <c r="F8" s="64"/>
      <c r="G8" s="64"/>
      <c r="H8" s="64"/>
      <c r="I8" s="64"/>
      <c r="J8" s="64"/>
      <c r="K8" s="64"/>
      <c r="L8" s="64"/>
      <c r="M8" s="64"/>
      <c r="N8" s="64"/>
      <c r="O8" s="64"/>
      <c r="P8" s="64"/>
      <c r="Q8" s="64"/>
      <c r="R8" s="64"/>
      <c r="S8" s="64"/>
      <c r="T8" s="64"/>
      <c r="U8" s="64"/>
      <c r="V8" s="64"/>
      <c r="W8" s="64"/>
      <c r="X8" s="64"/>
      <c r="Y8" s="64"/>
      <c r="Z8" s="64"/>
      <c r="AA8" s="64"/>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row>
    <row r="9" spans="1:69" x14ac:dyDescent="0.25">
      <c r="D9" s="3155" t="s">
        <v>53</v>
      </c>
      <c r="E9" s="65" t="s">
        <v>54</v>
      </c>
      <c r="F9" s="66">
        <v>3.2340992465965446</v>
      </c>
      <c r="G9" s="66">
        <v>3.1156957193492651</v>
      </c>
      <c r="H9" s="66">
        <v>4.3066962105868072</v>
      </c>
      <c r="I9" s="66">
        <v>2.646764319423383</v>
      </c>
      <c r="J9" s="66">
        <v>0.51738274304229037</v>
      </c>
      <c r="K9" s="66">
        <v>2.3581285988405085</v>
      </c>
      <c r="L9" s="66">
        <v>4.1545885216350342</v>
      </c>
      <c r="M9" s="66">
        <v>2.7354231498118367</v>
      </c>
      <c r="N9" s="67">
        <v>3.6678376110939013</v>
      </c>
      <c r="O9" s="67">
        <v>2.9490744246935492</v>
      </c>
      <c r="P9" s="67">
        <v>4.5545699205685519</v>
      </c>
      <c r="Q9" s="67">
        <v>5.2771117349823538</v>
      </c>
      <c r="R9" s="67">
        <v>5.6036647889724067</v>
      </c>
      <c r="S9" s="67">
        <v>5.360465139616144</v>
      </c>
      <c r="T9" s="67">
        <v>3.1910516450526449</v>
      </c>
      <c r="U9" s="67">
        <v>-1.5381008639149374</v>
      </c>
      <c r="V9" s="67">
        <v>3.039777062767457</v>
      </c>
      <c r="W9" s="1524">
        <v>3.3</v>
      </c>
      <c r="X9" s="1524">
        <v>2.21987486452353</v>
      </c>
      <c r="Y9" s="1524">
        <v>2.2999999999999998</v>
      </c>
      <c r="Z9" s="1524">
        <v>1.6</v>
      </c>
      <c r="AA9" s="1524">
        <v>1.3</v>
      </c>
      <c r="AB9" s="59"/>
      <c r="AC9" s="59"/>
      <c r="AD9" s="59"/>
      <c r="AE9" s="59"/>
      <c r="AF9" s="59"/>
      <c r="AG9" s="59"/>
      <c r="AH9" s="59"/>
      <c r="AI9" s="59"/>
      <c r="AJ9" s="59"/>
      <c r="AK9" s="59"/>
      <c r="AL9" s="59"/>
      <c r="AM9" s="59"/>
      <c r="AN9" s="59"/>
      <c r="AO9" s="59"/>
      <c r="AP9" s="59"/>
      <c r="AQ9" s="59"/>
      <c r="AR9" s="59"/>
      <c r="AS9" s="59"/>
      <c r="AT9" s="59"/>
      <c r="AU9" s="59"/>
      <c r="AV9" s="59"/>
      <c r="AW9" s="59"/>
      <c r="AX9" s="24"/>
      <c r="AY9" s="59"/>
      <c r="AZ9" s="59"/>
      <c r="BA9" s="59"/>
      <c r="BB9" s="59"/>
      <c r="BC9" s="59"/>
      <c r="BD9" s="59"/>
      <c r="BE9" s="59"/>
      <c r="BF9" s="59"/>
      <c r="BG9" s="59"/>
      <c r="BH9" s="59"/>
      <c r="BI9" s="59"/>
      <c r="BJ9" s="59"/>
      <c r="BK9" s="59"/>
      <c r="BL9" s="59"/>
      <c r="BM9" s="59"/>
      <c r="BN9" s="59"/>
      <c r="BO9" s="59"/>
      <c r="BP9" s="59"/>
      <c r="BQ9" s="59"/>
    </row>
    <row r="10" spans="1:69" x14ac:dyDescent="0.25">
      <c r="D10" s="63"/>
      <c r="E10" s="63"/>
      <c r="F10" s="68"/>
      <c r="G10" s="68"/>
      <c r="H10" s="68"/>
      <c r="I10" s="68"/>
      <c r="J10" s="69"/>
      <c r="K10" s="68"/>
      <c r="L10" s="68"/>
      <c r="M10" s="68"/>
      <c r="N10" s="68"/>
      <c r="O10" s="68"/>
      <c r="P10" s="68"/>
      <c r="Q10" s="68"/>
      <c r="R10" s="68"/>
      <c r="S10" s="68"/>
      <c r="T10" s="68"/>
      <c r="U10" s="68"/>
      <c r="V10" s="68"/>
      <c r="W10" s="68"/>
      <c r="X10" s="68"/>
      <c r="Y10" s="68"/>
      <c r="Z10" s="70"/>
      <c r="AA10" s="68"/>
      <c r="AB10" s="59"/>
      <c r="AC10" s="59"/>
      <c r="AD10" s="59"/>
      <c r="AE10" s="59"/>
      <c r="AF10" s="59"/>
      <c r="AG10" s="59"/>
      <c r="AH10" s="59"/>
      <c r="AI10" s="59"/>
      <c r="AJ10" s="59"/>
      <c r="AK10" s="59"/>
      <c r="AL10" s="59"/>
      <c r="AM10" s="59"/>
      <c r="AN10" s="59"/>
      <c r="AO10" s="59"/>
      <c r="AP10" s="59"/>
      <c r="AQ10" s="59"/>
      <c r="AR10" s="59"/>
      <c r="AS10" s="59"/>
      <c r="AT10" s="59"/>
      <c r="AU10" s="59"/>
      <c r="AV10" s="59"/>
      <c r="AW10" s="59"/>
      <c r="AX10" s="24"/>
      <c r="AY10" s="59"/>
      <c r="AZ10" s="59"/>
      <c r="BA10" s="59"/>
      <c r="BB10" s="59"/>
      <c r="BC10" s="59"/>
      <c r="BD10" s="59"/>
      <c r="BE10" s="59"/>
      <c r="BF10" s="59"/>
      <c r="BG10" s="59"/>
      <c r="BH10" s="59"/>
      <c r="BI10" s="59"/>
      <c r="BJ10" s="59"/>
      <c r="BK10" s="59"/>
      <c r="BL10" s="59"/>
      <c r="BM10" s="59"/>
      <c r="BN10" s="59"/>
      <c r="BO10" s="59"/>
      <c r="BP10" s="59"/>
      <c r="BQ10" s="59"/>
    </row>
    <row r="11" spans="1:69" x14ac:dyDescent="0.25">
      <c r="D11" s="63"/>
      <c r="E11" s="63"/>
      <c r="F11" s="68"/>
      <c r="G11" s="68"/>
      <c r="H11" s="68"/>
      <c r="I11" s="68"/>
      <c r="J11" s="69"/>
      <c r="K11" s="68"/>
      <c r="L11" s="68"/>
      <c r="M11" s="68"/>
      <c r="N11" s="68"/>
      <c r="O11" s="68"/>
      <c r="P11" s="68"/>
      <c r="Q11" s="68"/>
      <c r="R11" s="68"/>
      <c r="S11" s="68"/>
      <c r="T11" s="68"/>
      <c r="U11" s="68"/>
      <c r="V11" s="68"/>
      <c r="W11" s="68"/>
      <c r="X11" s="68"/>
      <c r="Y11" s="68"/>
      <c r="Z11" s="59"/>
      <c r="AA11" s="68"/>
      <c r="AB11" s="59"/>
      <c r="AC11" s="59"/>
      <c r="AD11" s="59"/>
      <c r="AE11" s="59"/>
      <c r="AF11" s="59"/>
      <c r="AG11" s="59"/>
      <c r="AH11" s="59"/>
      <c r="AI11" s="59"/>
      <c r="AJ11" s="59"/>
      <c r="AK11" s="59"/>
      <c r="AL11" s="59"/>
      <c r="AM11" s="59"/>
      <c r="AN11" s="59"/>
      <c r="AO11" s="59"/>
      <c r="AP11" s="59"/>
      <c r="AQ11" s="59"/>
      <c r="AR11" s="59"/>
      <c r="AS11" s="59"/>
      <c r="AT11" s="59"/>
      <c r="AU11" s="59"/>
      <c r="AV11" s="59"/>
      <c r="AW11" s="59"/>
      <c r="AX11" s="24"/>
      <c r="AY11" s="59"/>
      <c r="AZ11" s="59"/>
      <c r="BA11" s="59"/>
      <c r="BB11" s="59"/>
      <c r="BC11" s="59"/>
      <c r="BD11" s="59"/>
      <c r="BE11" s="59"/>
      <c r="BF11" s="59"/>
      <c r="BG11" s="59"/>
      <c r="BH11" s="59"/>
      <c r="BI11" s="59"/>
      <c r="BJ11" s="59"/>
      <c r="BK11" s="59"/>
      <c r="BL11" s="59"/>
      <c r="BM11" s="59"/>
      <c r="BN11" s="59"/>
      <c r="BO11" s="59"/>
      <c r="BP11" s="59"/>
      <c r="BQ11" s="59"/>
    </row>
    <row r="12" spans="1:69" s="77" customFormat="1" ht="11.25" x14ac:dyDescent="0.2">
      <c r="A12" s="71"/>
      <c r="B12" s="72"/>
      <c r="C12" s="73"/>
      <c r="D12" s="74" t="s">
        <v>55</v>
      </c>
      <c r="E12" s="74"/>
      <c r="F12" s="75" t="s">
        <v>56</v>
      </c>
      <c r="G12" s="75"/>
      <c r="H12" s="75"/>
      <c r="I12" s="75"/>
      <c r="J12" s="76"/>
      <c r="K12" s="68"/>
      <c r="L12" s="68"/>
      <c r="M12" s="68"/>
      <c r="N12" s="68"/>
      <c r="O12" s="68"/>
      <c r="P12" s="68"/>
      <c r="Q12" s="68"/>
      <c r="R12" s="68"/>
      <c r="S12" s="68"/>
      <c r="T12" s="68"/>
      <c r="U12" s="68"/>
      <c r="V12" s="68"/>
      <c r="W12" s="68"/>
      <c r="X12" s="58"/>
      <c r="Y12" s="58"/>
      <c r="Z12" s="58"/>
      <c r="AA12" s="68"/>
      <c r="AB12" s="58"/>
      <c r="AC12" s="58"/>
      <c r="AD12" s="58"/>
      <c r="AE12" s="58"/>
      <c r="AF12" s="58"/>
      <c r="AG12" s="58"/>
      <c r="AH12" s="58"/>
      <c r="AI12" s="58"/>
      <c r="AJ12" s="58"/>
      <c r="AK12" s="58"/>
      <c r="AL12" s="58"/>
      <c r="AM12" s="58"/>
      <c r="AN12" s="58"/>
      <c r="AO12" s="58"/>
      <c r="AP12" s="58"/>
      <c r="AQ12" s="58"/>
      <c r="AR12" s="58"/>
      <c r="AS12" s="58"/>
      <c r="AT12" s="58"/>
      <c r="AU12" s="58"/>
      <c r="AV12" s="58"/>
      <c r="AW12" s="58"/>
      <c r="AX12" s="24"/>
      <c r="AY12" s="58"/>
      <c r="AZ12" s="58"/>
      <c r="BA12" s="58"/>
      <c r="BB12" s="58"/>
      <c r="BC12" s="58"/>
      <c r="BD12" s="58"/>
      <c r="BE12" s="58"/>
      <c r="BF12" s="58"/>
      <c r="BG12" s="58"/>
      <c r="BH12" s="58"/>
      <c r="BI12" s="58"/>
      <c r="BJ12" s="58"/>
      <c r="BK12" s="58"/>
      <c r="BL12" s="58"/>
      <c r="BM12" s="58"/>
      <c r="BN12" s="58"/>
      <c r="BO12" s="58"/>
      <c r="BP12" s="58"/>
      <c r="BQ12" s="58"/>
    </row>
    <row r="13" spans="1:69" s="77" customFormat="1" ht="11.25" x14ac:dyDescent="0.2">
      <c r="A13" s="71"/>
      <c r="B13" s="72"/>
      <c r="C13" s="73"/>
      <c r="D13" s="3153" t="s">
        <v>54</v>
      </c>
      <c r="E13" s="60"/>
      <c r="F13" s="78"/>
      <c r="G13" s="78"/>
      <c r="H13" s="2759">
        <v>1996</v>
      </c>
      <c r="I13" s="2759">
        <v>1997</v>
      </c>
      <c r="J13" s="2759">
        <v>1998</v>
      </c>
      <c r="K13" s="2759">
        <v>1999</v>
      </c>
      <c r="L13" s="2759">
        <v>2000</v>
      </c>
      <c r="M13" s="2759">
        <v>2001</v>
      </c>
      <c r="N13" s="2759">
        <v>2002</v>
      </c>
      <c r="O13" s="2759">
        <v>2003</v>
      </c>
      <c r="P13" s="2759">
        <v>2004</v>
      </c>
      <c r="Q13" s="2759">
        <v>2005</v>
      </c>
      <c r="R13" s="2759">
        <v>2006</v>
      </c>
      <c r="S13" s="2759">
        <v>2007</v>
      </c>
      <c r="T13" s="2759">
        <v>2008</v>
      </c>
      <c r="U13" s="2759">
        <v>2009</v>
      </c>
      <c r="V13" s="2759">
        <v>2010</v>
      </c>
      <c r="W13" s="2759">
        <v>2011</v>
      </c>
      <c r="X13" s="2759">
        <v>2012</v>
      </c>
      <c r="Y13" s="2759">
        <v>2013</v>
      </c>
      <c r="Z13" s="2759">
        <v>2014</v>
      </c>
      <c r="AA13" s="2759">
        <v>2015</v>
      </c>
      <c r="AB13" s="58"/>
      <c r="AC13" s="58"/>
      <c r="AD13" s="58"/>
      <c r="AE13" s="58"/>
      <c r="AF13" s="58"/>
      <c r="AG13" s="58"/>
      <c r="AH13" s="58"/>
      <c r="AI13" s="58"/>
      <c r="AJ13" s="58"/>
      <c r="AK13" s="58"/>
      <c r="AL13" s="58"/>
      <c r="AM13" s="58"/>
      <c r="AN13" s="58"/>
      <c r="AO13" s="58"/>
      <c r="AP13" s="58"/>
      <c r="AQ13" s="58"/>
      <c r="AR13" s="58"/>
      <c r="AS13" s="58"/>
      <c r="AT13" s="58"/>
      <c r="AU13" s="58"/>
      <c r="AV13" s="58"/>
      <c r="AW13" s="58"/>
      <c r="AX13" s="24"/>
      <c r="AY13" s="58"/>
      <c r="AZ13" s="58"/>
      <c r="BA13" s="58"/>
      <c r="BB13" s="58"/>
      <c r="BC13" s="58"/>
      <c r="BD13" s="58"/>
      <c r="BE13" s="58"/>
      <c r="BF13" s="58"/>
      <c r="BG13" s="58"/>
      <c r="BH13" s="58"/>
      <c r="BI13" s="58"/>
      <c r="BJ13" s="58"/>
      <c r="BK13" s="58"/>
      <c r="BL13" s="58"/>
      <c r="BM13" s="58"/>
      <c r="BN13" s="58"/>
      <c r="BO13" s="58"/>
      <c r="BP13" s="58"/>
      <c r="BQ13" s="58"/>
    </row>
    <row r="14" spans="1:69" s="77" customFormat="1" ht="12" customHeight="1" x14ac:dyDescent="0.2">
      <c r="A14" s="71"/>
      <c r="B14" s="72"/>
      <c r="C14" s="73"/>
      <c r="D14" s="3156" t="s">
        <v>57</v>
      </c>
      <c r="E14" s="63"/>
      <c r="F14" s="68"/>
      <c r="G14" s="68"/>
      <c r="H14" s="2760"/>
      <c r="I14" s="2760"/>
      <c r="J14" s="2760"/>
      <c r="K14" s="2760"/>
      <c r="L14" s="2760"/>
      <c r="M14" s="2760"/>
      <c r="N14" s="2760"/>
      <c r="O14" s="2760"/>
      <c r="P14" s="2760"/>
      <c r="Q14" s="2760"/>
      <c r="R14" s="2760"/>
      <c r="S14" s="2760"/>
      <c r="T14" s="2760"/>
      <c r="U14" s="2760"/>
      <c r="V14" s="2760"/>
      <c r="W14" s="2760"/>
      <c r="X14" s="2760"/>
      <c r="Y14" s="2760"/>
      <c r="Z14" s="2760"/>
      <c r="AA14" s="68"/>
      <c r="AB14" s="58"/>
      <c r="AC14" s="58"/>
      <c r="AD14" s="58"/>
      <c r="AE14" s="58"/>
      <c r="AF14" s="58"/>
      <c r="AG14" s="58"/>
      <c r="AH14" s="58"/>
      <c r="AI14" s="58"/>
      <c r="AJ14" s="58"/>
      <c r="AK14" s="58"/>
      <c r="AL14" s="58"/>
      <c r="AM14" s="58"/>
      <c r="AN14" s="58"/>
      <c r="AO14" s="58"/>
      <c r="AP14" s="58"/>
      <c r="AQ14" s="58"/>
      <c r="AR14" s="58"/>
      <c r="AS14" s="58"/>
      <c r="AT14" s="58"/>
      <c r="AU14" s="58"/>
      <c r="AV14" s="58"/>
      <c r="AW14" s="58"/>
      <c r="AX14" s="24"/>
      <c r="AY14" s="58"/>
      <c r="AZ14" s="58"/>
      <c r="BA14" s="58"/>
      <c r="BB14" s="58"/>
      <c r="BC14" s="58"/>
      <c r="BD14" s="58"/>
      <c r="BE14" s="58"/>
      <c r="BF14" s="58"/>
      <c r="BG14" s="58"/>
      <c r="BH14" s="58"/>
      <c r="BI14" s="58"/>
      <c r="BJ14" s="58"/>
      <c r="BK14" s="58"/>
      <c r="BL14" s="58"/>
      <c r="BM14" s="58"/>
      <c r="BN14" s="58"/>
      <c r="BO14" s="58"/>
      <c r="BP14" s="58"/>
      <c r="BQ14" s="58"/>
    </row>
    <row r="15" spans="1:69" s="77" customFormat="1" ht="12" customHeight="1" x14ac:dyDescent="0.2">
      <c r="A15" s="71"/>
      <c r="B15" s="72"/>
      <c r="C15" s="73"/>
      <c r="D15" s="3157" t="s">
        <v>58</v>
      </c>
      <c r="E15" s="2761"/>
      <c r="F15" s="68"/>
      <c r="G15" s="68"/>
      <c r="H15" s="1525">
        <v>5.5266898226924894</v>
      </c>
      <c r="I15" s="1525">
        <v>8.111046773970898</v>
      </c>
      <c r="J15" s="1525">
        <v>3.8501788655090081</v>
      </c>
      <c r="K15" s="1525">
        <v>-3.3854570544034459</v>
      </c>
      <c r="L15" s="1525">
        <v>-0.78899892900855662</v>
      </c>
      <c r="M15" s="1525">
        <v>-4.4088396959569849</v>
      </c>
      <c r="N15" s="1525">
        <v>-10.894484811485128</v>
      </c>
      <c r="O15" s="1525">
        <v>8.8370407756695357</v>
      </c>
      <c r="P15" s="1525">
        <v>9.0295733212589937</v>
      </c>
      <c r="Q15" s="1525">
        <v>9.1984889828610221</v>
      </c>
      <c r="R15" s="1525">
        <v>8.3639244035811515</v>
      </c>
      <c r="S15" s="1525">
        <v>8.0028909876632639</v>
      </c>
      <c r="T15" s="1525">
        <v>3.1021132548726342</v>
      </c>
      <c r="U15" s="1525">
        <v>5.0512782313873572E-2</v>
      </c>
      <c r="V15" s="1525">
        <v>9.4515783314663224</v>
      </c>
      <c r="W15" s="1525">
        <v>8.386451455637328</v>
      </c>
      <c r="X15" s="1525">
        <v>0.8017601792299871</v>
      </c>
      <c r="Y15" s="1525">
        <v>2.8853518829745468</v>
      </c>
      <c r="Z15" s="1525">
        <v>0.45360547903709403</v>
      </c>
      <c r="AA15" s="1526">
        <v>1.7</v>
      </c>
      <c r="AB15" s="58"/>
      <c r="AC15" s="58"/>
      <c r="AD15" s="58"/>
      <c r="AE15" s="58"/>
      <c r="AF15" s="58"/>
      <c r="AG15" s="58"/>
      <c r="AH15" s="58"/>
      <c r="AI15" s="58"/>
      <c r="AJ15" s="58"/>
      <c r="AK15" s="58"/>
      <c r="AL15" s="58"/>
      <c r="AM15" s="58"/>
      <c r="AN15" s="58"/>
      <c r="AO15" s="58"/>
      <c r="AP15" s="58"/>
      <c r="AQ15" s="58"/>
      <c r="AR15" s="58"/>
      <c r="AS15" s="58"/>
      <c r="AT15" s="58"/>
      <c r="AU15" s="58"/>
      <c r="AV15" s="58"/>
      <c r="AW15" s="58"/>
      <c r="AX15" s="24"/>
      <c r="AY15" s="58"/>
      <c r="AZ15" s="58"/>
      <c r="BA15" s="58"/>
      <c r="BB15" s="58"/>
      <c r="BC15" s="58"/>
      <c r="BD15" s="58"/>
      <c r="BE15" s="58"/>
      <c r="BF15" s="58"/>
      <c r="BG15" s="58"/>
      <c r="BH15" s="58"/>
      <c r="BI15" s="58"/>
      <c r="BJ15" s="58"/>
      <c r="BK15" s="58"/>
      <c r="BL15" s="58"/>
      <c r="BM15" s="58"/>
      <c r="BN15" s="58"/>
      <c r="BO15" s="58"/>
      <c r="BP15" s="58"/>
      <c r="BQ15" s="58"/>
    </row>
    <row r="16" spans="1:69" s="77" customFormat="1" ht="12" customHeight="1" x14ac:dyDescent="0.2">
      <c r="A16" s="71"/>
      <c r="B16" s="72"/>
      <c r="C16" s="73"/>
      <c r="D16" s="3157" t="s">
        <v>59</v>
      </c>
      <c r="E16" s="2761"/>
      <c r="F16" s="68"/>
      <c r="G16" s="68"/>
      <c r="H16" s="1525">
        <v>3.9472856252411646</v>
      </c>
      <c r="I16" s="1525">
        <v>3.9434760063139436</v>
      </c>
      <c r="J16" s="1525">
        <v>4.4308651851330865</v>
      </c>
      <c r="K16" s="1525">
        <v>5.0042562325660214</v>
      </c>
      <c r="L16" s="1525">
        <v>3.8720150711973815</v>
      </c>
      <c r="M16" s="1525">
        <v>1.9286685896755813</v>
      </c>
      <c r="N16" s="1525">
        <v>3.8630955873862689</v>
      </c>
      <c r="O16" s="1525">
        <v>3.0792489005611543</v>
      </c>
      <c r="P16" s="1525">
        <v>4.1493743448779838</v>
      </c>
      <c r="Q16" s="1525">
        <v>3.2164673349816155</v>
      </c>
      <c r="R16" s="1525">
        <v>2.9906675777886988</v>
      </c>
      <c r="S16" s="1525">
        <v>3.7601441013308374</v>
      </c>
      <c r="T16" s="1525">
        <v>3.7022929546164534</v>
      </c>
      <c r="U16" s="1525">
        <v>1.8196782608441708</v>
      </c>
      <c r="V16" s="1525">
        <v>2.0181821442019725</v>
      </c>
      <c r="W16" s="1525">
        <v>2.3795613356084147</v>
      </c>
      <c r="X16" s="1525">
        <v>3.6327203031982265</v>
      </c>
      <c r="Y16" s="1525">
        <v>2.4400490620624566</v>
      </c>
      <c r="Z16" s="1525">
        <v>2.4998512224341027</v>
      </c>
      <c r="AA16" s="1526">
        <v>2.2578251117963362</v>
      </c>
      <c r="AB16" s="58"/>
      <c r="AC16" s="58"/>
      <c r="AD16" s="58"/>
      <c r="AE16" s="58"/>
      <c r="AF16" s="58"/>
      <c r="AG16" s="58"/>
      <c r="AH16" s="58"/>
      <c r="AI16" s="58"/>
      <c r="AJ16" s="58"/>
      <c r="AK16" s="58"/>
      <c r="AL16" s="58"/>
      <c r="AM16" s="58"/>
      <c r="AN16" s="58"/>
      <c r="AO16" s="58"/>
      <c r="AP16" s="58"/>
      <c r="AQ16" s="58"/>
      <c r="AR16" s="58"/>
      <c r="AS16" s="58"/>
      <c r="AT16" s="58"/>
      <c r="AU16" s="58"/>
      <c r="AV16" s="58"/>
      <c r="AW16" s="58"/>
      <c r="AX16" s="24"/>
      <c r="AY16" s="58"/>
      <c r="AZ16" s="58"/>
      <c r="BA16" s="58"/>
      <c r="BB16" s="58"/>
      <c r="BC16" s="58"/>
      <c r="BD16" s="58"/>
      <c r="BE16" s="58"/>
      <c r="BF16" s="58"/>
      <c r="BG16" s="58"/>
      <c r="BH16" s="58"/>
      <c r="BI16" s="58"/>
      <c r="BJ16" s="58"/>
      <c r="BK16" s="58"/>
      <c r="BL16" s="58"/>
      <c r="BM16" s="58"/>
      <c r="BN16" s="58"/>
      <c r="BO16" s="58"/>
      <c r="BP16" s="58"/>
      <c r="BQ16" s="58"/>
    </row>
    <row r="17" spans="1:69" s="77" customFormat="1" ht="12" customHeight="1" x14ac:dyDescent="0.2">
      <c r="A17" s="71"/>
      <c r="B17" s="72"/>
      <c r="C17" s="73"/>
      <c r="D17" s="3157" t="s">
        <v>60</v>
      </c>
      <c r="E17" s="2761"/>
      <c r="F17" s="68"/>
      <c r="G17" s="68"/>
      <c r="H17" s="1525">
        <v>5.8298000784227497</v>
      </c>
      <c r="I17" s="1525">
        <v>8.0265490264024351</v>
      </c>
      <c r="J17" s="1525">
        <v>0.72199315512982309</v>
      </c>
      <c r="K17" s="1525">
        <v>9.667240741511975</v>
      </c>
      <c r="L17" s="1525">
        <v>1.9876958543875389</v>
      </c>
      <c r="M17" s="1525">
        <v>0.25057386672273196</v>
      </c>
      <c r="N17" s="1525">
        <v>6.069530867650144</v>
      </c>
      <c r="O17" s="1525">
        <v>4.6258947633089917</v>
      </c>
      <c r="P17" s="1525">
        <v>2.7058216715082182</v>
      </c>
      <c r="Q17" s="1525">
        <v>4.5566457522171646</v>
      </c>
      <c r="R17" s="1525">
        <v>8.3638710689572662</v>
      </c>
      <c r="S17" s="1525">
        <v>8.2801474933104942</v>
      </c>
      <c r="T17" s="1525">
        <v>6.2421172467303876</v>
      </c>
      <c r="U17" s="1525">
        <v>-7.652310202534764</v>
      </c>
      <c r="V17" s="1525">
        <v>8.5636317477326713</v>
      </c>
      <c r="W17" s="1525">
        <v>6.0483163670680824</v>
      </c>
      <c r="X17" s="1525">
        <v>4.4564662727285054</v>
      </c>
      <c r="Y17" s="1525">
        <v>9.8602926570879816</v>
      </c>
      <c r="Z17" s="1525">
        <v>3.203915092633892</v>
      </c>
      <c r="AA17" s="1526">
        <v>-0.25473317838330445</v>
      </c>
      <c r="AB17" s="58"/>
      <c r="AC17" s="58"/>
      <c r="AD17" s="58"/>
      <c r="AE17" s="58"/>
      <c r="AF17" s="58"/>
      <c r="AG17" s="58"/>
      <c r="AH17" s="58"/>
      <c r="AI17" s="58"/>
      <c r="AJ17" s="58"/>
      <c r="AK17" s="58"/>
      <c r="AL17" s="58"/>
      <c r="AM17" s="58"/>
      <c r="AN17" s="58"/>
      <c r="AO17" s="58"/>
      <c r="AP17" s="58"/>
      <c r="AQ17" s="58"/>
      <c r="AR17" s="58"/>
      <c r="AS17" s="58"/>
      <c r="AT17" s="58"/>
      <c r="AU17" s="58"/>
      <c r="AV17" s="58"/>
      <c r="AW17" s="58"/>
      <c r="AX17" s="24"/>
      <c r="AY17" s="58"/>
      <c r="AZ17" s="58"/>
      <c r="BA17" s="58"/>
      <c r="BB17" s="58"/>
      <c r="BC17" s="58"/>
      <c r="BD17" s="58"/>
      <c r="BE17" s="58"/>
      <c r="BF17" s="58"/>
      <c r="BG17" s="58"/>
      <c r="BH17" s="58"/>
      <c r="BI17" s="58"/>
      <c r="BJ17" s="58"/>
      <c r="BK17" s="58"/>
      <c r="BL17" s="58"/>
      <c r="BM17" s="58"/>
      <c r="BN17" s="58"/>
      <c r="BO17" s="58"/>
      <c r="BP17" s="58"/>
      <c r="BQ17" s="58"/>
    </row>
    <row r="18" spans="1:69" s="77" customFormat="1" ht="12" customHeight="1" x14ac:dyDescent="0.2">
      <c r="A18" s="71"/>
      <c r="B18" s="72"/>
      <c r="C18" s="73"/>
      <c r="D18" s="3157" t="s">
        <v>61</v>
      </c>
      <c r="E18" s="2761"/>
      <c r="F18" s="68"/>
      <c r="G18" s="68"/>
      <c r="H18" s="1525">
        <v>2.2075355243176062</v>
      </c>
      <c r="I18" s="1525">
        <v>3.374938815467317</v>
      </c>
      <c r="J18" s="1525">
        <v>0.33835617696867359</v>
      </c>
      <c r="K18" s="1525">
        <v>0.46906658888138963</v>
      </c>
      <c r="L18" s="1525">
        <v>4.1125649113213711</v>
      </c>
      <c r="M18" s="1525">
        <v>1.6578179666289401</v>
      </c>
      <c r="N18" s="1525">
        <v>3.053160919540133</v>
      </c>
      <c r="O18" s="1525">
        <v>1.1467490643227478</v>
      </c>
      <c r="P18" s="1525">
        <v>5.7608807259758947</v>
      </c>
      <c r="Q18" s="1525">
        <v>3.1563523881240769</v>
      </c>
      <c r="R18" s="1525">
        <v>3.9554152692832929</v>
      </c>
      <c r="S18" s="1525">
        <v>6.0954549767531176</v>
      </c>
      <c r="T18" s="1525">
        <v>5.0937670067607144</v>
      </c>
      <c r="U18" s="1525">
        <v>-0.12614740959273263</v>
      </c>
      <c r="V18" s="1525">
        <v>7.5287973813094311</v>
      </c>
      <c r="W18" s="1525">
        <v>3.9102553481334468</v>
      </c>
      <c r="X18" s="1525">
        <v>1.9154586225194095</v>
      </c>
      <c r="Y18" s="1525">
        <v>3.0151405108109373</v>
      </c>
      <c r="Z18" s="1525">
        <v>0.10337135910000939</v>
      </c>
      <c r="AA18" s="1526">
        <v>-3.8473624947110494</v>
      </c>
      <c r="AB18" s="58"/>
      <c r="AC18" s="58"/>
      <c r="AD18" s="58"/>
      <c r="AE18" s="58"/>
      <c r="AF18" s="58"/>
      <c r="AG18" s="58"/>
      <c r="AH18" s="58"/>
      <c r="AI18" s="58"/>
      <c r="AJ18" s="58"/>
      <c r="AK18" s="58"/>
      <c r="AL18" s="58"/>
      <c r="AM18" s="58"/>
      <c r="AN18" s="58"/>
      <c r="AO18" s="58"/>
      <c r="AP18" s="58"/>
      <c r="AQ18" s="58"/>
      <c r="AR18" s="58"/>
      <c r="AS18" s="58"/>
      <c r="AT18" s="58"/>
      <c r="AU18" s="58"/>
      <c r="AV18" s="58"/>
      <c r="AW18" s="58"/>
      <c r="AX18" s="24"/>
      <c r="AY18" s="58"/>
      <c r="AZ18" s="58"/>
      <c r="BA18" s="58"/>
      <c r="BB18" s="58"/>
      <c r="BC18" s="58"/>
      <c r="BD18" s="58"/>
      <c r="BE18" s="58"/>
      <c r="BF18" s="58"/>
      <c r="BG18" s="58"/>
      <c r="BH18" s="58"/>
      <c r="BI18" s="58"/>
      <c r="BJ18" s="58"/>
      <c r="BK18" s="58"/>
      <c r="BL18" s="58"/>
      <c r="BM18" s="58"/>
      <c r="BN18" s="58"/>
      <c r="BO18" s="58"/>
      <c r="BP18" s="58"/>
      <c r="BQ18" s="58"/>
    </row>
    <row r="19" spans="1:69" s="77" customFormat="1" ht="12" customHeight="1" x14ac:dyDescent="0.2">
      <c r="A19" s="71"/>
      <c r="B19" s="72"/>
      <c r="C19" s="73"/>
      <c r="D19" s="3157" t="s">
        <v>62</v>
      </c>
      <c r="E19" s="2761"/>
      <c r="F19" s="68"/>
      <c r="G19" s="68"/>
      <c r="H19" s="1525">
        <v>1.6796044674354675</v>
      </c>
      <c r="I19" s="1525">
        <v>4.2533481320893571</v>
      </c>
      <c r="J19" s="1525">
        <v>4.1381869738270609</v>
      </c>
      <c r="K19" s="1525">
        <v>4.9972561384915366</v>
      </c>
      <c r="L19" s="1525">
        <v>5.1231224086722733</v>
      </c>
      <c r="M19" s="1525">
        <v>1.6883741865222817</v>
      </c>
      <c r="N19" s="1525">
        <v>2.8018680624409313</v>
      </c>
      <c r="O19" s="1525">
        <v>1.9253174610730355</v>
      </c>
      <c r="P19" s="1525">
        <v>3.1387882611975328</v>
      </c>
      <c r="Q19" s="1525">
        <v>3.1631296249204297</v>
      </c>
      <c r="R19" s="1525">
        <v>2.6217816844000623</v>
      </c>
      <c r="S19" s="1525">
        <v>2.0083110192960447</v>
      </c>
      <c r="T19" s="1525">
        <v>1.1754262721805304</v>
      </c>
      <c r="U19" s="1525">
        <v>-2.7114711424359825</v>
      </c>
      <c r="V19" s="1525">
        <v>3.0835142198872205</v>
      </c>
      <c r="W19" s="1525">
        <v>3.1412190013903967</v>
      </c>
      <c r="X19" s="1525">
        <v>1.7454722831800495</v>
      </c>
      <c r="Y19" s="1525">
        <v>2.2180681875412489</v>
      </c>
      <c r="Z19" s="1525">
        <v>2.4728926383832146</v>
      </c>
      <c r="AA19" s="1526">
        <v>1.0782687507538071</v>
      </c>
      <c r="AB19" s="58"/>
      <c r="AC19" s="58"/>
      <c r="AD19" s="58"/>
      <c r="AE19" s="58"/>
      <c r="AF19" s="58"/>
      <c r="AG19" s="58"/>
      <c r="AH19" s="58"/>
      <c r="AI19" s="58"/>
      <c r="AJ19" s="58"/>
      <c r="AK19" s="58"/>
      <c r="AL19" s="58"/>
      <c r="AM19" s="58"/>
      <c r="AN19" s="58"/>
      <c r="AO19" s="58"/>
      <c r="AP19" s="58"/>
      <c r="AQ19" s="58"/>
      <c r="AR19" s="58"/>
      <c r="AS19" s="58"/>
      <c r="AT19" s="58"/>
      <c r="AU19" s="58"/>
      <c r="AV19" s="58"/>
      <c r="AW19" s="58"/>
      <c r="AX19" s="24"/>
      <c r="AY19" s="58"/>
      <c r="AZ19" s="58"/>
      <c r="BA19" s="58"/>
      <c r="BB19" s="58"/>
      <c r="BC19" s="58"/>
      <c r="BD19" s="58"/>
      <c r="BE19" s="58"/>
      <c r="BF19" s="58"/>
      <c r="BG19" s="58"/>
      <c r="BH19" s="58"/>
      <c r="BI19" s="58"/>
      <c r="BJ19" s="58"/>
      <c r="BK19" s="58"/>
      <c r="BL19" s="58"/>
      <c r="BM19" s="58"/>
      <c r="BN19" s="58"/>
      <c r="BO19" s="58"/>
      <c r="BP19" s="58"/>
      <c r="BQ19" s="58"/>
    </row>
    <row r="20" spans="1:69" s="77" customFormat="1" ht="12" customHeight="1" x14ac:dyDescent="0.2">
      <c r="A20" s="71"/>
      <c r="B20" s="72"/>
      <c r="C20" s="73"/>
      <c r="D20" s="3157" t="s">
        <v>63</v>
      </c>
      <c r="E20" s="2761"/>
      <c r="F20" s="68"/>
      <c r="G20" s="68"/>
      <c r="H20" s="1525">
        <v>7.4134915229514746</v>
      </c>
      <c r="I20" s="1525">
        <v>6.6055796327268155</v>
      </c>
      <c r="J20" s="1525">
        <v>3.2308787087403203</v>
      </c>
      <c r="K20" s="1525">
        <v>-0.76085481175304892</v>
      </c>
      <c r="L20" s="1525">
        <v>4.4957929970445463</v>
      </c>
      <c r="M20" s="1525">
        <v>3.3481803906195466</v>
      </c>
      <c r="N20" s="1525">
        <v>2.1669086338574459</v>
      </c>
      <c r="O20" s="1525">
        <v>3.956748481465894</v>
      </c>
      <c r="P20" s="1525">
        <v>6.04108673916474</v>
      </c>
      <c r="Q20" s="1525">
        <v>5.5594525308451779</v>
      </c>
      <c r="R20" s="1525">
        <v>4.4049726903068915</v>
      </c>
      <c r="S20" s="1525">
        <v>5.1608255998702077</v>
      </c>
      <c r="T20" s="1525">
        <v>3.2924548883788418</v>
      </c>
      <c r="U20" s="1525">
        <v>-1.0364309359528647</v>
      </c>
      <c r="V20" s="1525">
        <v>5.7537089086609825</v>
      </c>
      <c r="W20" s="1525">
        <v>5.8396405834342744</v>
      </c>
      <c r="X20" s="1525">
        <v>5.4571306095422329</v>
      </c>
      <c r="Y20" s="1525">
        <v>3.9765961993807366</v>
      </c>
      <c r="Z20" s="1525">
        <v>1.8763953970426286</v>
      </c>
      <c r="AA20" s="1526">
        <v>2.0661405194353506</v>
      </c>
      <c r="AB20" s="58"/>
      <c r="AC20" s="58"/>
      <c r="AD20" s="58"/>
      <c r="AE20" s="58"/>
      <c r="AF20" s="58"/>
      <c r="AG20" s="58"/>
      <c r="AH20" s="58"/>
      <c r="AI20" s="58"/>
      <c r="AJ20" s="58"/>
      <c r="AK20" s="58"/>
      <c r="AL20" s="58"/>
      <c r="AM20" s="58"/>
      <c r="AN20" s="58"/>
      <c r="AO20" s="58"/>
      <c r="AP20" s="58"/>
      <c r="AQ20" s="58"/>
      <c r="AR20" s="58"/>
      <c r="AS20" s="58"/>
      <c r="AT20" s="58"/>
      <c r="AU20" s="58"/>
      <c r="AV20" s="58"/>
      <c r="AW20" s="58"/>
      <c r="AX20" s="24"/>
      <c r="AY20" s="58"/>
      <c r="AZ20" s="58"/>
      <c r="BA20" s="58"/>
      <c r="BB20" s="58"/>
      <c r="BC20" s="58"/>
      <c r="BD20" s="58"/>
      <c r="BE20" s="58"/>
      <c r="BF20" s="58"/>
      <c r="BG20" s="58"/>
      <c r="BH20" s="58"/>
      <c r="BI20" s="58"/>
      <c r="BJ20" s="58"/>
      <c r="BK20" s="58"/>
      <c r="BL20" s="58"/>
      <c r="BM20" s="58"/>
      <c r="BN20" s="58"/>
      <c r="BO20" s="58"/>
      <c r="BP20" s="58"/>
      <c r="BQ20" s="58"/>
    </row>
    <row r="21" spans="1:69" s="77" customFormat="1" ht="12" customHeight="1" x14ac:dyDescent="0.2">
      <c r="A21" s="71"/>
      <c r="B21" s="72"/>
      <c r="C21" s="73"/>
      <c r="D21" s="3157" t="s">
        <v>64</v>
      </c>
      <c r="E21" s="2761"/>
      <c r="F21" s="68"/>
      <c r="G21" s="68"/>
      <c r="H21" s="1525">
        <v>2.0558547121422492</v>
      </c>
      <c r="I21" s="1525">
        <v>3.4302936782928555</v>
      </c>
      <c r="J21" s="1525">
        <v>0.56978408985213491</v>
      </c>
      <c r="K21" s="1525">
        <v>-4.2040152437058254</v>
      </c>
      <c r="L21" s="1525">
        <v>4.4199929995813818</v>
      </c>
      <c r="M21" s="1525">
        <v>1.6778983077036571</v>
      </c>
      <c r="N21" s="1525">
        <v>2.5039804654986</v>
      </c>
      <c r="O21" s="1525">
        <v>3.9182719036083</v>
      </c>
      <c r="P21" s="1525">
        <v>5.3330220674539248</v>
      </c>
      <c r="Q21" s="1525">
        <v>4.7065559338311829</v>
      </c>
      <c r="R21" s="1525">
        <v>6.6975152577052768</v>
      </c>
      <c r="S21" s="1525">
        <v>6.9006276554122223</v>
      </c>
      <c r="T21" s="1525">
        <v>3.5468048857810714</v>
      </c>
      <c r="U21" s="1525">
        <v>1.6515492452905391</v>
      </c>
      <c r="V21" s="1525">
        <v>3.9718007047375323</v>
      </c>
      <c r="W21" s="1525">
        <v>6.5895115155711466</v>
      </c>
      <c r="X21" s="1525">
        <v>4.0439438063715016</v>
      </c>
      <c r="Y21" s="1525">
        <v>4.8740655793408081</v>
      </c>
      <c r="Z21" s="1525">
        <v>4.3857109010977382</v>
      </c>
      <c r="AA21" s="1526">
        <v>3.0819280333818995</v>
      </c>
      <c r="AB21" s="58"/>
      <c r="AC21" s="58"/>
      <c r="AD21" s="58"/>
      <c r="AE21" s="58"/>
      <c r="AF21" s="58"/>
      <c r="AG21" s="58"/>
      <c r="AH21" s="58"/>
      <c r="AI21" s="58"/>
      <c r="AJ21" s="58"/>
      <c r="AK21" s="58"/>
      <c r="AL21" s="58"/>
      <c r="AM21" s="58"/>
      <c r="AN21" s="58"/>
      <c r="AO21" s="58"/>
      <c r="AP21" s="58"/>
      <c r="AQ21" s="58"/>
      <c r="AR21" s="58"/>
      <c r="AS21" s="58"/>
      <c r="AT21" s="58"/>
      <c r="AU21" s="58"/>
      <c r="AV21" s="58"/>
      <c r="AW21" s="58"/>
      <c r="AX21" s="24"/>
      <c r="AY21" s="58"/>
      <c r="AZ21" s="58"/>
      <c r="BA21" s="58"/>
      <c r="BB21" s="58"/>
      <c r="BC21" s="58"/>
      <c r="BD21" s="58"/>
      <c r="BE21" s="58"/>
      <c r="BF21" s="58"/>
      <c r="BG21" s="58"/>
      <c r="BH21" s="58"/>
      <c r="BI21" s="58"/>
      <c r="BJ21" s="58"/>
      <c r="BK21" s="58"/>
      <c r="BL21" s="58"/>
      <c r="BM21" s="58"/>
      <c r="BN21" s="58"/>
      <c r="BO21" s="58"/>
      <c r="BP21" s="58"/>
      <c r="BQ21" s="58"/>
    </row>
    <row r="22" spans="1:69" s="77" customFormat="1" ht="12" customHeight="1" x14ac:dyDescent="0.2">
      <c r="A22" s="71"/>
      <c r="B22" s="72"/>
      <c r="C22" s="73"/>
      <c r="D22" s="3157" t="s">
        <v>65</v>
      </c>
      <c r="E22" s="2761"/>
      <c r="F22" s="68"/>
      <c r="G22" s="68"/>
      <c r="H22" s="1525">
        <v>4.6024610452861623</v>
      </c>
      <c r="I22" s="1525">
        <v>4.196357576096176</v>
      </c>
      <c r="J22" s="1525">
        <v>4.7003907788652555</v>
      </c>
      <c r="K22" s="1525">
        <v>4.399996859916115</v>
      </c>
      <c r="L22" s="1525">
        <v>3.7000001146381578</v>
      </c>
      <c r="M22" s="1525">
        <v>4</v>
      </c>
      <c r="N22" s="1525">
        <v>4.4999996992940936</v>
      </c>
      <c r="O22" s="1525">
        <v>5.1999999839391648</v>
      </c>
      <c r="P22" s="1525">
        <v>5.5999999898220096</v>
      </c>
      <c r="Q22" s="1525">
        <v>5.9000039528815051</v>
      </c>
      <c r="R22" s="1525">
        <v>6.3999124185639005</v>
      </c>
      <c r="S22" s="1525">
        <v>4.3468191531194975</v>
      </c>
      <c r="T22" s="1525">
        <v>9.1497990937752718</v>
      </c>
      <c r="U22" s="1525">
        <v>4.8457561320090576</v>
      </c>
      <c r="V22" s="1525">
        <v>7.8997402926816847</v>
      </c>
      <c r="W22" s="1525">
        <v>14.046002632334293</v>
      </c>
      <c r="X22" s="1525">
        <v>9.2925118691165949</v>
      </c>
      <c r="Y22" s="1525">
        <v>7.3125250210122914</v>
      </c>
      <c r="Z22" s="1525">
        <v>3.9858656241520691</v>
      </c>
      <c r="AA22" s="1526">
        <v>3.8827044687370602</v>
      </c>
      <c r="AB22" s="58"/>
      <c r="AC22" s="58"/>
      <c r="AD22" s="58"/>
      <c r="AE22" s="58"/>
      <c r="AF22" s="58"/>
      <c r="AG22" s="58"/>
      <c r="AH22" s="58"/>
      <c r="AI22" s="58"/>
      <c r="AJ22" s="58"/>
      <c r="AK22" s="58"/>
      <c r="AL22" s="58"/>
      <c r="AM22" s="58"/>
      <c r="AN22" s="58"/>
      <c r="AO22" s="58"/>
      <c r="AP22" s="58"/>
      <c r="AQ22" s="58"/>
      <c r="AR22" s="58"/>
      <c r="AS22" s="58"/>
      <c r="AT22" s="58"/>
      <c r="AU22" s="58"/>
      <c r="AV22" s="58"/>
      <c r="AW22" s="58"/>
      <c r="AX22" s="24"/>
      <c r="AY22" s="58"/>
      <c r="AZ22" s="58"/>
      <c r="BA22" s="58"/>
      <c r="BB22" s="58"/>
      <c r="BC22" s="58"/>
      <c r="BD22" s="58"/>
      <c r="BE22" s="58"/>
      <c r="BF22" s="58"/>
      <c r="BG22" s="58"/>
      <c r="BH22" s="58"/>
      <c r="BI22" s="58"/>
      <c r="BJ22" s="58"/>
      <c r="BK22" s="58"/>
      <c r="BL22" s="58"/>
      <c r="BM22" s="58"/>
      <c r="BN22" s="58"/>
      <c r="BO22" s="58"/>
      <c r="BP22" s="58"/>
      <c r="BQ22" s="58"/>
    </row>
    <row r="23" spans="1:69" s="77" customFormat="1" ht="12" customHeight="1" x14ac:dyDescent="0.2">
      <c r="A23" s="71"/>
      <c r="B23" s="72"/>
      <c r="C23" s="73"/>
      <c r="D23" s="3157" t="s">
        <v>66</v>
      </c>
      <c r="E23" s="2761"/>
      <c r="F23" s="68"/>
      <c r="G23" s="68"/>
      <c r="H23" s="1525">
        <v>4.7850624172163236</v>
      </c>
      <c r="I23" s="1525">
        <v>4.9131896216407966</v>
      </c>
      <c r="J23" s="1525">
        <v>6.5200218549256164</v>
      </c>
      <c r="K23" s="1525">
        <v>4.1627720234159966</v>
      </c>
      <c r="L23" s="1525">
        <v>4.7400758499683207</v>
      </c>
      <c r="M23" s="1525">
        <v>3.7629615182796385</v>
      </c>
      <c r="N23" s="1525">
        <v>0.45345207594455417</v>
      </c>
      <c r="O23" s="1525">
        <v>2.7114381592737544</v>
      </c>
      <c r="P23" s="1525">
        <v>8.2286208751171159</v>
      </c>
      <c r="Q23" s="1525">
        <v>6.0019457104698546</v>
      </c>
      <c r="R23" s="1525">
        <v>4.2329002512291964</v>
      </c>
      <c r="S23" s="1525">
        <v>9.4929103137968696</v>
      </c>
      <c r="T23" s="1525">
        <v>1.4787816180622286</v>
      </c>
      <c r="U23" s="1525">
        <v>-4.6811715867890484</v>
      </c>
      <c r="V23" s="1525">
        <v>-3.588668391249854</v>
      </c>
      <c r="W23" s="1525">
        <v>1.988120809516829</v>
      </c>
      <c r="X23" s="1525">
        <v>1.1829316114701101</v>
      </c>
      <c r="Y23" s="1525">
        <v>3.8959704732637164</v>
      </c>
      <c r="Z23" s="1525">
        <v>1.8266604535470066</v>
      </c>
      <c r="AA23" s="1526">
        <v>3.9571222006085804</v>
      </c>
      <c r="AB23" s="58"/>
      <c r="AC23" s="58"/>
      <c r="AD23" s="58"/>
      <c r="AE23" s="58"/>
      <c r="AF23" s="58"/>
      <c r="AG23" s="58"/>
      <c r="AH23" s="58"/>
      <c r="AI23" s="58"/>
      <c r="AJ23" s="58"/>
      <c r="AK23" s="58"/>
      <c r="AL23" s="58"/>
      <c r="AM23" s="58"/>
      <c r="AN23" s="58"/>
      <c r="AO23" s="58"/>
      <c r="AP23" s="58"/>
      <c r="AQ23" s="58"/>
      <c r="AR23" s="58"/>
      <c r="AS23" s="58"/>
      <c r="AT23" s="58"/>
      <c r="AU23" s="58"/>
      <c r="AV23" s="58"/>
      <c r="AW23" s="58"/>
      <c r="AX23" s="24"/>
      <c r="AY23" s="58"/>
      <c r="AZ23" s="58"/>
      <c r="BA23" s="58"/>
      <c r="BB23" s="58"/>
      <c r="BC23" s="58"/>
      <c r="BD23" s="58"/>
      <c r="BE23" s="58"/>
      <c r="BF23" s="58"/>
      <c r="BG23" s="58"/>
      <c r="BH23" s="58"/>
      <c r="BI23" s="58"/>
      <c r="BJ23" s="58"/>
      <c r="BK23" s="58"/>
      <c r="BL23" s="58"/>
      <c r="BM23" s="58"/>
      <c r="BN23" s="58"/>
      <c r="BO23" s="58"/>
      <c r="BP23" s="58"/>
      <c r="BQ23" s="58"/>
    </row>
    <row r="24" spans="1:69" s="77" customFormat="1" ht="12" customHeight="1" x14ac:dyDescent="0.2">
      <c r="A24" s="71"/>
      <c r="B24" s="72"/>
      <c r="C24" s="73"/>
      <c r="D24" s="3157" t="s">
        <v>67</v>
      </c>
      <c r="E24" s="2761"/>
      <c r="F24" s="68"/>
      <c r="G24" s="68"/>
      <c r="H24" s="1525">
        <v>7.54952224844277</v>
      </c>
      <c r="I24" s="1525">
        <v>4.0498208490855205</v>
      </c>
      <c r="J24" s="1525">
        <v>6.1844158207933049</v>
      </c>
      <c r="K24" s="1525">
        <v>8.8457555611039425</v>
      </c>
      <c r="L24" s="1525">
        <v>3.8409911569291069</v>
      </c>
      <c r="M24" s="1525">
        <v>4.8239662641354357</v>
      </c>
      <c r="N24" s="1525">
        <v>3.8039753212137271</v>
      </c>
      <c r="O24" s="1525">
        <v>7.8603814753442407</v>
      </c>
      <c r="P24" s="1525">
        <v>7.9229366130903429</v>
      </c>
      <c r="Q24" s="1525">
        <v>9.2848315074022025</v>
      </c>
      <c r="R24" s="1525">
        <v>9.2639647588778899</v>
      </c>
      <c r="S24" s="1525">
        <v>9.8013603368203519</v>
      </c>
      <c r="T24" s="1525">
        <v>3.8909570624270629</v>
      </c>
      <c r="U24" s="1525">
        <v>8.4797866216157871</v>
      </c>
      <c r="V24" s="1525">
        <v>10.259962989110221</v>
      </c>
      <c r="W24" s="1525">
        <v>6.6383534501076156</v>
      </c>
      <c r="X24" s="1525">
        <v>5.6185627733206474</v>
      </c>
      <c r="Y24" s="1525">
        <v>6.6388127357182043</v>
      </c>
      <c r="Z24" s="1525">
        <v>7.2434717458330908</v>
      </c>
      <c r="AA24" s="1526">
        <v>7.5701303678739578</v>
      </c>
      <c r="AB24" s="58"/>
      <c r="AC24" s="58"/>
      <c r="AD24" s="58"/>
      <c r="AE24" s="58"/>
      <c r="AF24" s="58"/>
      <c r="AG24" s="58"/>
      <c r="AH24" s="58"/>
      <c r="AI24" s="58"/>
      <c r="AJ24" s="58"/>
      <c r="AK24" s="58"/>
      <c r="AL24" s="58"/>
      <c r="AM24" s="58"/>
      <c r="AN24" s="58"/>
      <c r="AO24" s="58"/>
      <c r="AP24" s="58"/>
      <c r="AQ24" s="58"/>
      <c r="AR24" s="58"/>
      <c r="AS24" s="58"/>
      <c r="AT24" s="58"/>
      <c r="AU24" s="58"/>
      <c r="AV24" s="58"/>
      <c r="AW24" s="58"/>
      <c r="AX24" s="24"/>
      <c r="AY24" s="58"/>
      <c r="AZ24" s="58"/>
      <c r="BA24" s="58"/>
      <c r="BB24" s="58"/>
      <c r="BC24" s="58"/>
      <c r="BD24" s="58"/>
      <c r="BE24" s="58"/>
      <c r="BF24" s="58"/>
      <c r="BG24" s="58"/>
      <c r="BH24" s="58"/>
      <c r="BI24" s="58"/>
      <c r="BJ24" s="58"/>
      <c r="BK24" s="58"/>
      <c r="BL24" s="58"/>
      <c r="BM24" s="58"/>
      <c r="BN24" s="58"/>
      <c r="BO24" s="58"/>
      <c r="BP24" s="58"/>
      <c r="BQ24" s="58"/>
    </row>
    <row r="25" spans="1:69" s="77" customFormat="1" ht="12" customHeight="1" x14ac:dyDescent="0.2">
      <c r="A25" s="71"/>
      <c r="B25" s="72"/>
      <c r="C25" s="73"/>
      <c r="D25" s="3157" t="s">
        <v>68</v>
      </c>
      <c r="E25" s="2761"/>
      <c r="F25" s="68"/>
      <c r="G25" s="68"/>
      <c r="H25" s="1525">
        <v>7.6427862842597847</v>
      </c>
      <c r="I25" s="1525">
        <v>4.699872542337971</v>
      </c>
      <c r="J25" s="1525">
        <v>-13.126723934710043</v>
      </c>
      <c r="K25" s="1525">
        <v>0.79112983560864336</v>
      </c>
      <c r="L25" s="1525">
        <v>4.9200645973219537</v>
      </c>
      <c r="M25" s="1525">
        <v>3.6434664472154736</v>
      </c>
      <c r="N25" s="1525">
        <v>4.4994753908568867</v>
      </c>
      <c r="O25" s="1525">
        <v>4.7803691216757898</v>
      </c>
      <c r="P25" s="1525">
        <v>5.0308739450178876</v>
      </c>
      <c r="Q25" s="1525">
        <v>5.6925713038346544</v>
      </c>
      <c r="R25" s="1525">
        <v>5.5009517852026875</v>
      </c>
      <c r="S25" s="1525">
        <v>6.3450222266723983</v>
      </c>
      <c r="T25" s="1525">
        <v>6.0137036000903237</v>
      </c>
      <c r="U25" s="1525">
        <v>4.6288711825631026</v>
      </c>
      <c r="V25" s="1525">
        <v>6.223854180622169</v>
      </c>
      <c r="W25" s="1525">
        <v>6.169784207709796</v>
      </c>
      <c r="X25" s="1525">
        <v>6.0300506530561506</v>
      </c>
      <c r="Y25" s="1525">
        <v>5.5572636889102256</v>
      </c>
      <c r="Z25" s="1525">
        <v>5.0238890519901815</v>
      </c>
      <c r="AA25" s="1526">
        <v>4.7939213038221027</v>
      </c>
      <c r="AB25" s="58"/>
      <c r="AC25" s="58"/>
      <c r="AD25" s="58"/>
      <c r="AE25" s="58"/>
      <c r="AF25" s="58"/>
      <c r="AG25" s="58"/>
      <c r="AH25" s="58"/>
      <c r="AI25" s="58"/>
      <c r="AJ25" s="58"/>
      <c r="AK25" s="58"/>
      <c r="AL25" s="58"/>
      <c r="AM25" s="58"/>
      <c r="AN25" s="58"/>
      <c r="AO25" s="58"/>
      <c r="AP25" s="58"/>
      <c r="AQ25" s="58"/>
      <c r="AR25" s="58"/>
      <c r="AS25" s="58"/>
      <c r="AT25" s="58"/>
      <c r="AU25" s="58"/>
      <c r="AV25" s="58"/>
      <c r="AW25" s="58"/>
      <c r="AX25" s="24"/>
      <c r="AY25" s="58"/>
      <c r="AZ25" s="58"/>
      <c r="BA25" s="58"/>
      <c r="BB25" s="58"/>
      <c r="BC25" s="58"/>
      <c r="BD25" s="58"/>
      <c r="BE25" s="58"/>
      <c r="BF25" s="58"/>
      <c r="BG25" s="58"/>
      <c r="BH25" s="58"/>
      <c r="BI25" s="58"/>
      <c r="BJ25" s="58"/>
      <c r="BK25" s="58"/>
      <c r="BL25" s="58"/>
      <c r="BM25" s="58"/>
      <c r="BN25" s="58"/>
      <c r="BO25" s="58"/>
      <c r="BP25" s="58"/>
      <c r="BQ25" s="58"/>
    </row>
    <row r="26" spans="1:69" s="77" customFormat="1" ht="12" customHeight="1" x14ac:dyDescent="0.2">
      <c r="A26" s="71"/>
      <c r="B26" s="72"/>
      <c r="C26" s="73"/>
      <c r="D26" s="3157" t="s">
        <v>69</v>
      </c>
      <c r="E26" s="2761"/>
      <c r="F26" s="68"/>
      <c r="G26" s="68"/>
      <c r="H26" s="1525">
        <v>4.1468392671671239</v>
      </c>
      <c r="I26" s="1525">
        <v>0.47490192048410051</v>
      </c>
      <c r="J26" s="1525">
        <v>3.2902137230934585</v>
      </c>
      <c r="K26" s="1525">
        <v>2.3053885959187284</v>
      </c>
      <c r="L26" s="1525">
        <v>0.59969539161363627</v>
      </c>
      <c r="M26" s="1525">
        <v>3.7799064962898683</v>
      </c>
      <c r="N26" s="1525">
        <v>0.54685952999453491</v>
      </c>
      <c r="O26" s="1525">
        <v>2.9324755461927197</v>
      </c>
      <c r="P26" s="1525">
        <v>5.1042997756893413</v>
      </c>
      <c r="Q26" s="1525">
        <v>5.9066660816801289</v>
      </c>
      <c r="R26" s="1525">
        <v>6.4724942986248237</v>
      </c>
      <c r="S26" s="1525">
        <v>6.850729770631375</v>
      </c>
      <c r="T26" s="1525">
        <v>0.23228274566594109</v>
      </c>
      <c r="U26" s="1525">
        <v>3.306939815347576</v>
      </c>
      <c r="V26" s="1525">
        <v>8.4022770637024848</v>
      </c>
      <c r="W26" s="1525">
        <v>6.1116134604128405</v>
      </c>
      <c r="X26" s="1525">
        <v>4.5549427964442373</v>
      </c>
      <c r="Y26" s="1525">
        <v>5.6935303523421652</v>
      </c>
      <c r="Z26" s="1525">
        <v>5.3318594038277496</v>
      </c>
      <c r="AA26" s="1526">
        <v>5.6491970777029223</v>
      </c>
      <c r="AB26" s="58"/>
      <c r="AC26" s="58"/>
      <c r="AD26" s="58"/>
      <c r="AE26" s="58"/>
      <c r="AF26" s="58"/>
      <c r="AG26" s="58"/>
      <c r="AH26" s="58"/>
      <c r="AI26" s="58"/>
      <c r="AJ26" s="58"/>
      <c r="AK26" s="58"/>
      <c r="AL26" s="58"/>
      <c r="AM26" s="58"/>
      <c r="AN26" s="58"/>
      <c r="AO26" s="58"/>
      <c r="AP26" s="58"/>
      <c r="AQ26" s="58"/>
      <c r="AR26" s="58"/>
      <c r="AS26" s="58"/>
      <c r="AT26" s="58"/>
      <c r="AU26" s="58"/>
      <c r="AV26" s="58"/>
      <c r="AW26" s="58"/>
      <c r="AX26" s="24"/>
      <c r="AY26" s="58"/>
      <c r="AZ26" s="58"/>
      <c r="BA26" s="58"/>
      <c r="BB26" s="58"/>
      <c r="BC26" s="58"/>
      <c r="BD26" s="58"/>
      <c r="BE26" s="58"/>
      <c r="BF26" s="58"/>
      <c r="BG26" s="58"/>
      <c r="BH26" s="58"/>
      <c r="BI26" s="58"/>
      <c r="BJ26" s="58"/>
      <c r="BK26" s="58"/>
      <c r="BL26" s="58"/>
      <c r="BM26" s="58"/>
      <c r="BN26" s="58"/>
      <c r="BO26" s="58"/>
      <c r="BP26" s="58"/>
      <c r="BQ26" s="58"/>
    </row>
    <row r="27" spans="1:69" s="77" customFormat="1" ht="12" customHeight="1" x14ac:dyDescent="0.2">
      <c r="A27" s="71"/>
      <c r="B27" s="72"/>
      <c r="C27" s="73"/>
      <c r="D27" s="3157" t="s">
        <v>70</v>
      </c>
      <c r="E27" s="2761"/>
      <c r="F27" s="68"/>
      <c r="G27" s="68"/>
      <c r="H27" s="1525">
        <v>7.1859165658023585</v>
      </c>
      <c r="I27" s="1525">
        <v>5.7667407478983534</v>
      </c>
      <c r="J27" s="1525">
        <v>-5.7138977341246715</v>
      </c>
      <c r="K27" s="1525">
        <v>10.73058968562168</v>
      </c>
      <c r="L27" s="1525">
        <v>8.8312782048992347</v>
      </c>
      <c r="M27" s="1525">
        <v>4.5253194974877715</v>
      </c>
      <c r="N27" s="1525">
        <v>7.4324336136980804</v>
      </c>
      <c r="O27" s="1525">
        <v>2.9332070530366394</v>
      </c>
      <c r="P27" s="1525">
        <v>4.8998515065565584</v>
      </c>
      <c r="Q27" s="1525">
        <v>3.9236874396969483</v>
      </c>
      <c r="R27" s="1525">
        <v>5.1761339817870038</v>
      </c>
      <c r="S27" s="1525">
        <v>5.4634060876222748</v>
      </c>
      <c r="T27" s="1525">
        <v>2.8292144573827045</v>
      </c>
      <c r="U27" s="1525">
        <v>0.70751848260759687</v>
      </c>
      <c r="V27" s="1525">
        <v>6.4967851688855234</v>
      </c>
      <c r="W27" s="1525">
        <v>3.6817046665084376</v>
      </c>
      <c r="X27" s="1525">
        <v>2.2923824263689738</v>
      </c>
      <c r="Y27" s="1525">
        <v>2.8962200543918328</v>
      </c>
      <c r="Z27" s="1525">
        <v>3.3414475193120694</v>
      </c>
      <c r="AA27" s="1526">
        <v>2.6119354087061879</v>
      </c>
      <c r="AB27" s="58"/>
      <c r="AC27" s="58"/>
      <c r="AD27" s="58"/>
      <c r="AE27" s="58"/>
      <c r="AF27" s="58"/>
      <c r="AG27" s="58"/>
      <c r="AH27" s="58"/>
      <c r="AI27" s="58"/>
      <c r="AJ27" s="58"/>
      <c r="AK27" s="58"/>
      <c r="AL27" s="58"/>
      <c r="AM27" s="58"/>
      <c r="AN27" s="58"/>
      <c r="AO27" s="58"/>
      <c r="AP27" s="58"/>
      <c r="AQ27" s="58"/>
      <c r="AR27" s="58"/>
      <c r="AS27" s="58"/>
      <c r="AT27" s="58"/>
      <c r="AU27" s="58"/>
      <c r="AV27" s="58"/>
      <c r="AW27" s="58"/>
      <c r="AX27" s="24"/>
      <c r="AY27" s="58"/>
      <c r="AZ27" s="58"/>
      <c r="BA27" s="58"/>
      <c r="BB27" s="58"/>
      <c r="BC27" s="58"/>
      <c r="BD27" s="58"/>
      <c r="BE27" s="58"/>
      <c r="BF27" s="58"/>
      <c r="BG27" s="58"/>
      <c r="BH27" s="58"/>
      <c r="BI27" s="58"/>
      <c r="BJ27" s="58"/>
      <c r="BK27" s="58"/>
      <c r="BL27" s="58"/>
      <c r="BM27" s="58"/>
      <c r="BN27" s="58"/>
      <c r="BO27" s="58"/>
      <c r="BP27" s="58"/>
      <c r="BQ27" s="58"/>
    </row>
    <row r="28" spans="1:69" s="77" customFormat="1" ht="12" customHeight="1" x14ac:dyDescent="0.2">
      <c r="A28" s="71"/>
      <c r="B28" s="72"/>
      <c r="C28" s="73"/>
      <c r="D28" s="3157" t="s">
        <v>71</v>
      </c>
      <c r="E28" s="2761"/>
      <c r="F28" s="68"/>
      <c r="G28" s="68"/>
      <c r="H28" s="1525">
        <v>10.002701086127288</v>
      </c>
      <c r="I28" s="1525">
        <v>7.3227429496565293</v>
      </c>
      <c r="J28" s="1525">
        <v>-7.3594153818734185</v>
      </c>
      <c r="K28" s="1525">
        <v>6.1376098817714109</v>
      </c>
      <c r="L28" s="1525">
        <v>8.8588681022122984</v>
      </c>
      <c r="M28" s="1525">
        <v>0.51767531516459542</v>
      </c>
      <c r="N28" s="1525">
        <v>5.3909883152917217</v>
      </c>
      <c r="O28" s="1525">
        <v>5.7884992809072173</v>
      </c>
      <c r="P28" s="1525">
        <v>6.7834377362834744</v>
      </c>
      <c r="Q28" s="1525">
        <v>5.3321391392424857</v>
      </c>
      <c r="R28" s="1525">
        <v>5.5848470688659262</v>
      </c>
      <c r="S28" s="1525">
        <v>6.298785927350778</v>
      </c>
      <c r="T28" s="1525">
        <v>4.831769895113311</v>
      </c>
      <c r="U28" s="1525">
        <v>-1.5136850828297383</v>
      </c>
      <c r="V28" s="1525">
        <v>7.4259704909365638</v>
      </c>
      <c r="W28" s="1525">
        <v>5.2937846573374685</v>
      </c>
      <c r="X28" s="1525">
        <v>5.473454192295236</v>
      </c>
      <c r="Y28" s="1525">
        <v>4.7134537155484963</v>
      </c>
      <c r="Z28" s="1525">
        <v>5.9926093419592661</v>
      </c>
      <c r="AA28" s="1526">
        <v>4.9523706055772436</v>
      </c>
      <c r="AB28" s="58"/>
      <c r="AC28" s="58"/>
      <c r="AD28" s="58"/>
      <c r="AE28" s="58"/>
      <c r="AF28" s="58"/>
      <c r="AG28" s="58"/>
      <c r="AH28" s="58"/>
      <c r="AI28" s="58"/>
      <c r="AJ28" s="58"/>
      <c r="AK28" s="58"/>
      <c r="AL28" s="58"/>
      <c r="AM28" s="58"/>
      <c r="AN28" s="58"/>
      <c r="AO28" s="58"/>
      <c r="AP28" s="58"/>
      <c r="AQ28" s="58"/>
      <c r="AR28" s="58"/>
      <c r="AS28" s="58"/>
      <c r="AT28" s="58"/>
      <c r="AU28" s="58"/>
      <c r="AV28" s="58"/>
      <c r="AW28" s="58"/>
      <c r="AX28" s="24"/>
      <c r="AY28" s="58"/>
      <c r="AZ28" s="58"/>
      <c r="BA28" s="58"/>
      <c r="BB28" s="58"/>
      <c r="BC28" s="58"/>
      <c r="BD28" s="58"/>
      <c r="BE28" s="58"/>
      <c r="BF28" s="58"/>
      <c r="BG28" s="58"/>
      <c r="BH28" s="58"/>
      <c r="BI28" s="58"/>
      <c r="BJ28" s="58"/>
      <c r="BK28" s="58"/>
      <c r="BL28" s="58"/>
      <c r="BM28" s="58"/>
      <c r="BN28" s="58"/>
      <c r="BO28" s="58"/>
      <c r="BP28" s="58"/>
      <c r="BQ28" s="58"/>
    </row>
    <row r="29" spans="1:69" s="77" customFormat="1" ht="12" customHeight="1" x14ac:dyDescent="0.2">
      <c r="A29" s="71"/>
      <c r="B29" s="72"/>
      <c r="C29" s="73"/>
      <c r="D29" s="3157" t="s">
        <v>72</v>
      </c>
      <c r="E29" s="2761"/>
      <c r="F29" s="68"/>
      <c r="G29" s="68"/>
      <c r="H29" s="1525">
        <v>5.8747666828933518</v>
      </c>
      <c r="I29" s="1525">
        <v>6.9628888013697434</v>
      </c>
      <c r="J29" s="1525">
        <v>4.7018424160157934</v>
      </c>
      <c r="K29" s="1525">
        <v>2.6670131474266157</v>
      </c>
      <c r="L29" s="1525">
        <v>5.2964738384637684</v>
      </c>
      <c r="M29" s="1525">
        <v>-0.60549239008739164</v>
      </c>
      <c r="N29" s="1525">
        <v>0.13191716864193381</v>
      </c>
      <c r="O29" s="1525">
        <v>1.4226712424030552</v>
      </c>
      <c r="P29" s="1525">
        <v>4.2957142512236999</v>
      </c>
      <c r="Q29" s="1525">
        <v>3.0325736585769363</v>
      </c>
      <c r="R29" s="1525">
        <v>4.9445143482691236</v>
      </c>
      <c r="S29" s="1525">
        <v>3.224837819904991</v>
      </c>
      <c r="T29" s="1525">
        <v>1.4002901485339976</v>
      </c>
      <c r="U29" s="1525">
        <v>-4.7003399360692839</v>
      </c>
      <c r="V29" s="1525">
        <v>5.1101984899436133</v>
      </c>
      <c r="W29" s="1525">
        <v>4.0446138788859258</v>
      </c>
      <c r="X29" s="1525">
        <v>4.0181738688587814</v>
      </c>
      <c r="Y29" s="1525">
        <v>1.3453624196388319</v>
      </c>
      <c r="Z29" s="1525">
        <v>2.2503164669330147</v>
      </c>
      <c r="AA29" s="1526">
        <v>2.5468699709497571</v>
      </c>
      <c r="AB29" s="58"/>
      <c r="AC29" s="58"/>
      <c r="AD29" s="58"/>
      <c r="AE29" s="58"/>
      <c r="AF29" s="58"/>
      <c r="AG29" s="58"/>
      <c r="AH29" s="58"/>
      <c r="AI29" s="58"/>
      <c r="AJ29" s="58"/>
      <c r="AK29" s="58"/>
      <c r="AL29" s="58"/>
      <c r="AM29" s="58"/>
      <c r="AN29" s="58"/>
      <c r="AO29" s="58"/>
      <c r="AP29" s="58"/>
      <c r="AQ29" s="58"/>
      <c r="AR29" s="58"/>
      <c r="AS29" s="58"/>
      <c r="AT29" s="58"/>
      <c r="AU29" s="58"/>
      <c r="AV29" s="58"/>
      <c r="AW29" s="58"/>
      <c r="AX29" s="24"/>
      <c r="AY29" s="58"/>
      <c r="AZ29" s="58"/>
      <c r="BA29" s="58"/>
      <c r="BB29" s="58"/>
      <c r="BC29" s="58"/>
      <c r="BD29" s="58"/>
      <c r="BE29" s="58"/>
      <c r="BF29" s="58"/>
      <c r="BG29" s="58"/>
      <c r="BH29" s="58"/>
      <c r="BI29" s="58"/>
      <c r="BJ29" s="58"/>
      <c r="BK29" s="58"/>
      <c r="BL29" s="58"/>
      <c r="BM29" s="58"/>
      <c r="BN29" s="58"/>
      <c r="BO29" s="58"/>
      <c r="BP29" s="58"/>
      <c r="BQ29" s="58"/>
    </row>
    <row r="30" spans="1:69" s="77" customFormat="1" ht="12" customHeight="1" x14ac:dyDescent="0.2">
      <c r="A30" s="71"/>
      <c r="B30" s="72"/>
      <c r="C30" s="73"/>
      <c r="D30" s="3157" t="s">
        <v>73</v>
      </c>
      <c r="E30" s="2761"/>
      <c r="F30" s="68"/>
      <c r="G30" s="68"/>
      <c r="H30" s="1525">
        <v>6.2389167858054577</v>
      </c>
      <c r="I30" s="1525">
        <v>7.0862805306397831</v>
      </c>
      <c r="J30" s="1525">
        <v>4.9816339462175279</v>
      </c>
      <c r="K30" s="1525">
        <v>4.5241986177153137</v>
      </c>
      <c r="L30" s="1525">
        <v>4.2598033965265643</v>
      </c>
      <c r="M30" s="1525">
        <v>1.2053016003211354</v>
      </c>
      <c r="N30" s="1525">
        <v>1.4434991925704139</v>
      </c>
      <c r="O30" s="1525">
        <v>3.5625329582346694</v>
      </c>
      <c r="P30" s="1525">
        <v>5.135655775860954</v>
      </c>
      <c r="Q30" s="1525">
        <v>3.5470578155147052</v>
      </c>
      <c r="R30" s="1525">
        <v>6.192622774055522</v>
      </c>
      <c r="S30" s="1525">
        <v>7.2017494583030128</v>
      </c>
      <c r="T30" s="1525">
        <v>3.9203887538207454</v>
      </c>
      <c r="U30" s="1525">
        <v>2.6341101477595146</v>
      </c>
      <c r="V30" s="1525">
        <v>3.6988675477421111</v>
      </c>
      <c r="W30" s="1525">
        <v>5.0085117572977538</v>
      </c>
      <c r="X30" s="1525">
        <v>1.5617067210744011</v>
      </c>
      <c r="Y30" s="1525">
        <v>1.2647051628673154</v>
      </c>
      <c r="Z30" s="1525">
        <v>3.2825380759380636</v>
      </c>
      <c r="AA30" s="1526">
        <v>3.6497191306800829</v>
      </c>
      <c r="AB30" s="58"/>
      <c r="AC30" s="58"/>
      <c r="AD30" s="58"/>
      <c r="AE30" s="58"/>
      <c r="AF30" s="58"/>
      <c r="AG30" s="58"/>
      <c r="AH30" s="58"/>
      <c r="AI30" s="58"/>
      <c r="AJ30" s="58"/>
      <c r="AK30" s="58"/>
      <c r="AL30" s="58"/>
      <c r="AM30" s="58"/>
      <c r="AN30" s="58"/>
      <c r="AO30" s="58"/>
      <c r="AP30" s="58"/>
      <c r="AQ30" s="58"/>
      <c r="AR30" s="58"/>
      <c r="AS30" s="58"/>
      <c r="AT30" s="58"/>
      <c r="AU30" s="58"/>
      <c r="AV30" s="58"/>
      <c r="AW30" s="58"/>
      <c r="AX30" s="24"/>
      <c r="AY30" s="58"/>
      <c r="AZ30" s="58"/>
      <c r="BA30" s="58"/>
      <c r="BB30" s="58"/>
      <c r="BC30" s="58"/>
      <c r="BD30" s="58"/>
      <c r="BE30" s="58"/>
      <c r="BF30" s="58"/>
      <c r="BG30" s="58"/>
      <c r="BH30" s="58"/>
      <c r="BI30" s="58"/>
      <c r="BJ30" s="58"/>
      <c r="BK30" s="58"/>
      <c r="BL30" s="58"/>
      <c r="BM30" s="58"/>
      <c r="BN30" s="58"/>
      <c r="BO30" s="58"/>
      <c r="BP30" s="58"/>
      <c r="BQ30" s="58"/>
    </row>
    <row r="31" spans="1:69" s="77" customFormat="1" ht="12" customHeight="1" x14ac:dyDescent="0.2">
      <c r="A31" s="71"/>
      <c r="B31" s="72"/>
      <c r="C31" s="73"/>
      <c r="D31" s="3157" t="s">
        <v>74</v>
      </c>
      <c r="E31" s="2761"/>
      <c r="F31" s="68"/>
      <c r="G31" s="68"/>
      <c r="H31" s="1525">
        <v>3.4966836415800486</v>
      </c>
      <c r="I31" s="1525">
        <v>4.4262103249614597</v>
      </c>
      <c r="J31" s="1525">
        <v>4.7917715122897135</v>
      </c>
      <c r="K31" s="1525">
        <v>3.8882133294657848</v>
      </c>
      <c r="L31" s="1525">
        <v>3.787494615078586</v>
      </c>
      <c r="M31" s="1525">
        <v>1.9433052615944035</v>
      </c>
      <c r="N31" s="1525">
        <v>0.76879505943286119</v>
      </c>
      <c r="O31" s="1525">
        <v>-0.93420573285227704</v>
      </c>
      <c r="P31" s="1525">
        <v>1.8115836552832718</v>
      </c>
      <c r="Q31" s="1525">
        <v>0.76678616279957623</v>
      </c>
      <c r="R31" s="1525">
        <v>1.5530521004706941</v>
      </c>
      <c r="S31" s="1525">
        <v>2.4920018767610372</v>
      </c>
      <c r="T31" s="1525">
        <v>0.1992733762539558</v>
      </c>
      <c r="U31" s="1525">
        <v>-2.9781058634188184</v>
      </c>
      <c r="V31" s="1525">
        <v>1.8986917526870144</v>
      </c>
      <c r="W31" s="1525">
        <v>-1.8268529063988552</v>
      </c>
      <c r="X31" s="1525">
        <v>-4.0282567144459165</v>
      </c>
      <c r="Y31" s="1525">
        <v>-1.130155828882323</v>
      </c>
      <c r="Z31" s="1525">
        <v>0.90579422470911197</v>
      </c>
      <c r="AA31" s="1526">
        <v>1.4544638045427547</v>
      </c>
      <c r="AB31" s="58"/>
      <c r="AC31" s="58"/>
      <c r="AD31" s="58"/>
      <c r="AE31" s="58"/>
      <c r="AF31" s="58"/>
      <c r="AG31" s="58"/>
      <c r="AH31" s="58"/>
      <c r="AI31" s="58"/>
      <c r="AJ31" s="58"/>
      <c r="AK31" s="58"/>
      <c r="AL31" s="58"/>
      <c r="AM31" s="58"/>
      <c r="AN31" s="58"/>
      <c r="AO31" s="58"/>
      <c r="AP31" s="58"/>
      <c r="AQ31" s="58"/>
      <c r="AR31" s="58"/>
      <c r="AS31" s="58"/>
      <c r="AT31" s="58"/>
      <c r="AU31" s="58"/>
      <c r="AV31" s="58"/>
      <c r="AW31" s="58"/>
      <c r="AX31" s="24"/>
      <c r="AY31" s="58"/>
      <c r="AZ31" s="58"/>
      <c r="BA31" s="58"/>
      <c r="BB31" s="58"/>
      <c r="BC31" s="58"/>
      <c r="BD31" s="58"/>
      <c r="BE31" s="58"/>
      <c r="BF31" s="58"/>
      <c r="BG31" s="58"/>
      <c r="BH31" s="58"/>
      <c r="BI31" s="58"/>
      <c r="BJ31" s="58"/>
      <c r="BK31" s="58"/>
      <c r="BL31" s="58"/>
      <c r="BM31" s="58"/>
      <c r="BN31" s="58"/>
      <c r="BO31" s="58"/>
      <c r="BP31" s="58"/>
      <c r="BQ31" s="58"/>
    </row>
    <row r="32" spans="1:69" s="77" customFormat="1" ht="12" customHeight="1" x14ac:dyDescent="0.2">
      <c r="A32" s="71"/>
      <c r="B32" s="72"/>
      <c r="C32" s="73"/>
      <c r="D32" s="3157" t="s">
        <v>75</v>
      </c>
      <c r="E32" s="2761"/>
      <c r="F32" s="68"/>
      <c r="G32" s="68"/>
      <c r="H32" s="1525">
        <v>6.7571472342307572</v>
      </c>
      <c r="I32" s="1525">
        <v>6.0601353846557515</v>
      </c>
      <c r="J32" s="1525">
        <v>3.9941463826670685</v>
      </c>
      <c r="K32" s="1525">
        <v>-0.20167270549762861</v>
      </c>
      <c r="L32" s="1525">
        <v>1.2131430131908019</v>
      </c>
      <c r="M32" s="1525">
        <v>3.3233534473220629</v>
      </c>
      <c r="N32" s="1525">
        <v>4.5227906561965625</v>
      </c>
      <c r="O32" s="1525">
        <v>5.4114294418585303</v>
      </c>
      <c r="P32" s="1525">
        <v>5.2588381168517913</v>
      </c>
      <c r="Q32" s="1525">
        <v>6.3972862362782621</v>
      </c>
      <c r="R32" s="1525">
        <v>8.4855095035850638</v>
      </c>
      <c r="S32" s="1525">
        <v>10.83443581429502</v>
      </c>
      <c r="T32" s="1525">
        <v>5.6527220089285635</v>
      </c>
      <c r="U32" s="1525">
        <v>-5.4913167953359476</v>
      </c>
      <c r="V32" s="1525">
        <v>5.0818516658817998</v>
      </c>
      <c r="W32" s="1525">
        <v>2.8419385906204582</v>
      </c>
      <c r="X32" s="1525">
        <v>1.5233282637492067</v>
      </c>
      <c r="Y32" s="1525">
        <v>1.4279846328557397</v>
      </c>
      <c r="Z32" s="1525">
        <v>2.5219092353697619</v>
      </c>
      <c r="AA32" s="1526">
        <v>3.5950209329121776</v>
      </c>
      <c r="AB32" s="58"/>
      <c r="AC32" s="58"/>
      <c r="AD32" s="58"/>
      <c r="AE32" s="58"/>
      <c r="AF32" s="58"/>
      <c r="AG32" s="58"/>
      <c r="AH32" s="58"/>
      <c r="AI32" s="58"/>
      <c r="AJ32" s="58"/>
      <c r="AK32" s="58"/>
      <c r="AL32" s="58"/>
      <c r="AM32" s="58"/>
      <c r="AN32" s="58"/>
      <c r="AO32" s="58"/>
      <c r="AP32" s="58"/>
      <c r="AQ32" s="58"/>
      <c r="AR32" s="58"/>
      <c r="AS32" s="58"/>
      <c r="AT32" s="58"/>
      <c r="AU32" s="58"/>
      <c r="AV32" s="58"/>
      <c r="AW32" s="58"/>
      <c r="AX32" s="24"/>
      <c r="AY32" s="58"/>
      <c r="AZ32" s="58"/>
      <c r="BA32" s="58"/>
      <c r="BB32" s="58"/>
      <c r="BC32" s="58"/>
      <c r="BD32" s="58"/>
      <c r="BE32" s="58"/>
      <c r="BF32" s="58"/>
      <c r="BG32" s="58"/>
      <c r="BH32" s="58"/>
      <c r="BI32" s="58"/>
      <c r="BJ32" s="58"/>
      <c r="BK32" s="58"/>
      <c r="BL32" s="58"/>
      <c r="BM32" s="58"/>
      <c r="BN32" s="58"/>
      <c r="BO32" s="58"/>
      <c r="BP32" s="58"/>
      <c r="BQ32" s="58"/>
    </row>
    <row r="33" spans="1:69" s="77" customFormat="1" ht="12" customHeight="1" x14ac:dyDescent="0.2">
      <c r="A33" s="71"/>
      <c r="B33" s="72"/>
      <c r="C33" s="73"/>
      <c r="D33" s="3158" t="s">
        <v>76</v>
      </c>
      <c r="E33" s="2762"/>
      <c r="F33" s="79"/>
      <c r="G33" s="79"/>
      <c r="H33" s="1527">
        <v>2.6746390672966811</v>
      </c>
      <c r="I33" s="1527">
        <v>3.6896139984344387</v>
      </c>
      <c r="J33" s="1527">
        <v>4.3059784469708546</v>
      </c>
      <c r="K33" s="1527">
        <v>4.4849011833659489</v>
      </c>
      <c r="L33" s="1527">
        <v>5.2890931787329833</v>
      </c>
      <c r="M33" s="1527">
        <v>4.0010692254337243</v>
      </c>
      <c r="N33" s="1527">
        <v>2.8797621210576949</v>
      </c>
      <c r="O33" s="1527">
        <v>3.1875714756449725</v>
      </c>
      <c r="P33" s="1527">
        <v>3.1667465006120636</v>
      </c>
      <c r="Q33" s="1527">
        <v>3.7231029431995779</v>
      </c>
      <c r="R33" s="1527">
        <v>4.1741191156535535</v>
      </c>
      <c r="S33" s="1527">
        <v>3.7688952631130519</v>
      </c>
      <c r="T33" s="1527">
        <v>1.1159727547476166</v>
      </c>
      <c r="U33" s="1527">
        <v>-3.5738120304776828</v>
      </c>
      <c r="V33" s="1527">
        <v>1.3786543593226952E-2</v>
      </c>
      <c r="W33" s="1527">
        <v>-1.0000804875137987</v>
      </c>
      <c r="X33" s="1527">
        <v>-2.6203085123581644</v>
      </c>
      <c r="Y33" s="1527">
        <v>-1.671971848151216</v>
      </c>
      <c r="Z33" s="1527">
        <v>1.3606730168644674</v>
      </c>
      <c r="AA33" s="1528">
        <v>3.2142864020366204</v>
      </c>
      <c r="AB33" s="58"/>
      <c r="AC33" s="58"/>
      <c r="AD33" s="58"/>
      <c r="AE33" s="58"/>
      <c r="AF33" s="58"/>
      <c r="AG33" s="58"/>
      <c r="AH33" s="58"/>
      <c r="AI33" s="58"/>
      <c r="AJ33" s="58"/>
      <c r="AK33" s="58"/>
      <c r="AL33" s="58"/>
      <c r="AM33" s="58"/>
      <c r="AN33" s="58"/>
      <c r="AO33" s="58"/>
      <c r="AP33" s="58"/>
      <c r="AQ33" s="58"/>
      <c r="AR33" s="58"/>
      <c r="AS33" s="58"/>
      <c r="AT33" s="58"/>
      <c r="AU33" s="58"/>
      <c r="AV33" s="58"/>
      <c r="AW33" s="58"/>
      <c r="AX33" s="24"/>
      <c r="AY33" s="58"/>
      <c r="AZ33" s="58"/>
      <c r="BA33" s="58"/>
      <c r="BB33" s="58"/>
      <c r="BC33" s="58"/>
      <c r="BD33" s="58"/>
      <c r="BE33" s="58"/>
      <c r="BF33" s="58"/>
      <c r="BG33" s="58"/>
      <c r="BH33" s="58"/>
      <c r="BI33" s="58"/>
      <c r="BJ33" s="58"/>
      <c r="BK33" s="58"/>
      <c r="BL33" s="58"/>
      <c r="BM33" s="58"/>
      <c r="BN33" s="58"/>
      <c r="BO33" s="58"/>
      <c r="BP33" s="58"/>
      <c r="BQ33" s="58"/>
    </row>
    <row r="34" spans="1:69" x14ac:dyDescent="0.25">
      <c r="D34" s="63"/>
      <c r="E34" s="63"/>
      <c r="F34" s="68"/>
      <c r="G34" s="68"/>
      <c r="H34" s="68"/>
      <c r="I34" s="68"/>
      <c r="J34" s="69"/>
      <c r="K34" s="68"/>
      <c r="L34" s="68"/>
      <c r="M34" s="68"/>
      <c r="N34" s="68"/>
      <c r="O34" s="68"/>
      <c r="P34" s="68"/>
      <c r="Q34" s="68"/>
      <c r="R34" s="68"/>
      <c r="S34" s="68"/>
      <c r="T34" s="68"/>
      <c r="U34" s="68"/>
      <c r="V34" s="68"/>
      <c r="W34" s="68"/>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24"/>
      <c r="AY34" s="59"/>
      <c r="AZ34" s="59"/>
      <c r="BA34" s="59"/>
      <c r="BB34" s="59"/>
      <c r="BC34" s="59"/>
      <c r="BD34" s="59"/>
      <c r="BE34" s="59"/>
      <c r="BF34" s="59"/>
      <c r="BG34" s="59"/>
      <c r="BH34" s="59"/>
      <c r="BI34" s="59"/>
      <c r="BJ34" s="59"/>
      <c r="BK34" s="59"/>
      <c r="BL34" s="59"/>
      <c r="BM34" s="59"/>
      <c r="BN34" s="59"/>
      <c r="BO34" s="59"/>
      <c r="BP34" s="59"/>
      <c r="BQ34" s="59"/>
    </row>
    <row r="35" spans="1:69" x14ac:dyDescent="0.25">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24"/>
      <c r="AY35" s="59"/>
      <c r="AZ35" s="59"/>
      <c r="BA35" s="59"/>
      <c r="BB35" s="59"/>
      <c r="BC35" s="59"/>
      <c r="BD35" s="59"/>
      <c r="BE35" s="59"/>
      <c r="BF35" s="59"/>
      <c r="BG35" s="59"/>
      <c r="BH35" s="59"/>
      <c r="BI35" s="59"/>
      <c r="BJ35" s="59"/>
      <c r="BK35" s="59"/>
      <c r="BL35" s="59"/>
      <c r="BM35" s="59"/>
      <c r="BN35" s="59"/>
      <c r="BO35" s="59"/>
      <c r="BP35" s="59"/>
      <c r="BQ35" s="59"/>
    </row>
    <row r="36" spans="1:69" x14ac:dyDescent="0.25">
      <c r="A36" s="52">
        <v>5</v>
      </c>
      <c r="B36" s="53" t="s">
        <v>77</v>
      </c>
      <c r="C36" s="52"/>
      <c r="F36" s="77"/>
      <c r="G36" s="77"/>
      <c r="H36" s="77"/>
      <c r="I36" s="77"/>
      <c r="J36" s="77"/>
      <c r="K36" s="77"/>
      <c r="L36" s="77"/>
      <c r="M36" s="77"/>
      <c r="N36" s="77"/>
      <c r="O36" s="77"/>
      <c r="P36" s="77"/>
      <c r="Q36" s="77"/>
      <c r="R36" s="58"/>
      <c r="S36" s="58"/>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24"/>
      <c r="AY36" s="59"/>
      <c r="AZ36" s="59"/>
      <c r="BA36" s="59"/>
      <c r="BB36" s="59"/>
      <c r="BC36" s="59"/>
      <c r="BD36" s="59"/>
      <c r="BE36" s="59"/>
      <c r="BF36" s="59"/>
      <c r="BG36" s="59"/>
      <c r="BH36" s="59"/>
      <c r="BI36" s="59"/>
      <c r="BJ36" s="59"/>
      <c r="BK36" s="59"/>
      <c r="BL36" s="59"/>
      <c r="BM36" s="59"/>
      <c r="BN36" s="59"/>
      <c r="BO36" s="59"/>
      <c r="BP36" s="59"/>
      <c r="BQ36" s="59"/>
    </row>
    <row r="37" spans="1:69" x14ac:dyDescent="0.25">
      <c r="F37" s="77"/>
      <c r="G37" s="77"/>
      <c r="H37" s="77"/>
      <c r="I37" s="77"/>
      <c r="J37" s="77"/>
      <c r="K37" s="77"/>
      <c r="L37" s="77"/>
      <c r="M37" s="77"/>
      <c r="N37" s="77"/>
      <c r="O37" s="77"/>
      <c r="P37" s="77"/>
      <c r="Q37" s="77"/>
      <c r="R37" s="58"/>
      <c r="S37" s="58"/>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24"/>
      <c r="AY37" s="59"/>
      <c r="AZ37" s="59"/>
      <c r="BA37" s="59"/>
      <c r="BB37" s="59"/>
      <c r="BC37" s="59"/>
      <c r="BD37" s="59"/>
      <c r="BE37" s="59"/>
      <c r="BF37" s="59"/>
      <c r="BG37" s="59"/>
      <c r="BH37" s="59"/>
      <c r="BI37" s="59"/>
      <c r="BJ37" s="59"/>
      <c r="BK37" s="59"/>
      <c r="BL37" s="59"/>
      <c r="BM37" s="59"/>
      <c r="BN37" s="59"/>
      <c r="BO37" s="59"/>
      <c r="BP37" s="59"/>
      <c r="BQ37" s="59"/>
    </row>
    <row r="38" spans="1:69" x14ac:dyDescent="0.25">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24"/>
      <c r="AY38" s="59"/>
      <c r="AZ38" s="59"/>
      <c r="BA38" s="59"/>
      <c r="BB38" s="59"/>
      <c r="BC38" s="59"/>
      <c r="BD38" s="59"/>
      <c r="BE38" s="59"/>
      <c r="BF38" s="59"/>
      <c r="BG38" s="59"/>
      <c r="BH38" s="59"/>
      <c r="BI38" s="59"/>
      <c r="BJ38" s="59"/>
      <c r="BK38" s="59"/>
      <c r="BL38" s="59"/>
      <c r="BM38" s="59"/>
      <c r="BN38" s="59"/>
      <c r="BO38" s="59"/>
      <c r="BP38" s="59"/>
      <c r="BQ38" s="59"/>
    </row>
    <row r="39" spans="1:69" x14ac:dyDescent="0.25">
      <c r="F39" s="77"/>
      <c r="G39" s="77"/>
      <c r="H39" s="77"/>
      <c r="I39" s="77"/>
      <c r="J39" s="77"/>
      <c r="K39" s="77"/>
      <c r="L39" s="77"/>
      <c r="M39" s="77"/>
      <c r="N39" s="77"/>
      <c r="O39" s="77"/>
      <c r="P39" s="77"/>
      <c r="Q39" s="77"/>
      <c r="R39" s="58"/>
      <c r="S39" s="58"/>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24"/>
      <c r="AY39" s="59"/>
      <c r="AZ39" s="59"/>
      <c r="BA39" s="59"/>
      <c r="BB39" s="59"/>
      <c r="BC39" s="59"/>
      <c r="BD39" s="59"/>
      <c r="BE39" s="59"/>
      <c r="BF39" s="59"/>
      <c r="BG39" s="59"/>
      <c r="BH39" s="59"/>
      <c r="BI39" s="59"/>
      <c r="BJ39" s="59"/>
      <c r="BK39" s="59"/>
      <c r="BL39" s="59"/>
      <c r="BM39" s="59"/>
      <c r="BN39" s="59"/>
      <c r="BO39" s="59"/>
      <c r="BP39" s="59"/>
      <c r="BQ39" s="59"/>
    </row>
    <row r="40" spans="1:69" x14ac:dyDescent="0.25">
      <c r="F40" s="77"/>
      <c r="G40" s="77"/>
      <c r="H40" s="77"/>
      <c r="I40" s="77"/>
      <c r="J40" s="77"/>
      <c r="K40" s="77"/>
      <c r="L40" s="77"/>
      <c r="M40" s="77"/>
      <c r="N40" s="77"/>
      <c r="O40" s="80"/>
      <c r="Q40" s="77"/>
      <c r="R40" s="77"/>
      <c r="S40" s="77"/>
      <c r="AX40" s="24"/>
    </row>
    <row r="41" spans="1:69" x14ac:dyDescent="0.25">
      <c r="F41" s="77"/>
      <c r="G41" s="77"/>
      <c r="H41" s="77"/>
      <c r="I41" s="77"/>
      <c r="J41" s="77"/>
      <c r="K41" s="77"/>
      <c r="L41" s="77"/>
      <c r="M41" s="77"/>
      <c r="N41" s="77"/>
      <c r="O41" s="80"/>
      <c r="P41" s="77"/>
      <c r="Q41" s="77"/>
      <c r="R41" s="77"/>
      <c r="S41" s="77"/>
      <c r="AX41" s="24"/>
    </row>
    <row r="42" spans="1:69" x14ac:dyDescent="0.25">
      <c r="F42" s="77"/>
      <c r="G42" s="77"/>
      <c r="H42" s="77"/>
      <c r="I42" s="77"/>
      <c r="J42" s="77"/>
      <c r="K42" s="77"/>
      <c r="L42" s="77"/>
      <c r="M42" s="77"/>
      <c r="N42" s="77"/>
      <c r="O42" s="77"/>
      <c r="P42" s="77"/>
      <c r="Q42" s="77"/>
      <c r="R42" s="77"/>
      <c r="S42" s="77"/>
      <c r="AX42" s="24"/>
    </row>
    <row r="43" spans="1:69" x14ac:dyDescent="0.25">
      <c r="F43" s="77"/>
      <c r="G43" s="77"/>
      <c r="H43" s="77"/>
      <c r="I43" s="77"/>
      <c r="J43" s="77"/>
      <c r="K43" s="77"/>
      <c r="L43" s="77"/>
      <c r="M43" s="77"/>
      <c r="N43" s="77"/>
      <c r="O43" s="77"/>
      <c r="P43" s="77"/>
      <c r="Q43" s="77"/>
      <c r="R43" s="77"/>
      <c r="S43" s="77"/>
      <c r="AX43" s="24"/>
    </row>
    <row r="44" spans="1:69" x14ac:dyDescent="0.25">
      <c r="F44" s="77"/>
      <c r="G44" s="77"/>
      <c r="H44" s="77"/>
      <c r="I44" s="77"/>
      <c r="J44" s="77"/>
      <c r="K44" s="77"/>
      <c r="L44" s="77"/>
      <c r="M44" s="77"/>
      <c r="N44" s="77"/>
      <c r="O44" s="77"/>
      <c r="P44" s="77"/>
      <c r="Q44" s="77"/>
      <c r="R44" s="77"/>
      <c r="S44" s="77"/>
      <c r="AX44" s="24"/>
    </row>
    <row r="45" spans="1:69" x14ac:dyDescent="0.25">
      <c r="F45" s="77"/>
      <c r="G45" s="77"/>
      <c r="H45" s="77"/>
      <c r="I45" s="77"/>
      <c r="J45" s="77"/>
      <c r="K45" s="77"/>
      <c r="L45" s="77"/>
      <c r="M45" s="77"/>
      <c r="N45" s="77"/>
      <c r="O45" s="77"/>
      <c r="P45" s="77"/>
      <c r="Q45" s="77"/>
      <c r="R45" s="77"/>
      <c r="S45" s="77"/>
      <c r="AX45" s="24"/>
    </row>
    <row r="46" spans="1:69" x14ac:dyDescent="0.25">
      <c r="AX46" s="24"/>
    </row>
    <row r="47" spans="1:69" x14ac:dyDescent="0.25">
      <c r="AX47" s="24"/>
    </row>
    <row r="48" spans="1:69" x14ac:dyDescent="0.25">
      <c r="AX48" s="24"/>
    </row>
    <row r="49" spans="1:91" x14ac:dyDescent="0.25">
      <c r="X49" s="51" t="s">
        <v>17</v>
      </c>
      <c r="Y49" s="51" t="s">
        <v>17</v>
      </c>
    </row>
    <row r="53" spans="1:91" x14ac:dyDescent="0.25">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row>
    <row r="54" spans="1:91" ht="10.5" customHeight="1" x14ac:dyDescent="0.25">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row>
    <row r="55" spans="1:91" ht="15" customHeight="1" x14ac:dyDescent="0.25">
      <c r="A55" s="52">
        <v>6</v>
      </c>
      <c r="B55" s="53" t="s">
        <v>78</v>
      </c>
      <c r="C55" s="52"/>
      <c r="D55" s="3529" t="s">
        <v>79</v>
      </c>
      <c r="E55" s="3530"/>
      <c r="F55" s="3530"/>
      <c r="G55" s="3530"/>
      <c r="H55" s="3530"/>
      <c r="I55" s="3530"/>
      <c r="J55" s="3530"/>
      <c r="K55" s="3530"/>
      <c r="L55" s="3530"/>
      <c r="M55" s="3530"/>
      <c r="N55" s="3530"/>
      <c r="O55" s="3530"/>
      <c r="P55" s="3530"/>
      <c r="Q55" s="3530"/>
      <c r="R55" s="3530"/>
      <c r="S55" s="3530"/>
      <c r="T55" s="3530"/>
      <c r="U55" s="3530"/>
      <c r="V55" s="3530"/>
      <c r="W55" s="3530"/>
      <c r="X55" s="3530"/>
      <c r="Y55" s="3530"/>
      <c r="Z55" s="3530"/>
      <c r="AA55" s="3531"/>
      <c r="AB55" s="1464"/>
      <c r="AC55" s="1464"/>
      <c r="AD55" s="1464"/>
      <c r="AE55" s="1464"/>
      <c r="AF55" s="1464"/>
      <c r="AG55" s="1464"/>
      <c r="AH55" s="1464"/>
      <c r="AI55" s="1464"/>
      <c r="AJ55" s="1464"/>
      <c r="AK55" s="1464"/>
      <c r="AL55" s="59"/>
      <c r="AM55" s="59"/>
      <c r="AN55" s="59"/>
      <c r="AO55" s="59"/>
      <c r="AP55" s="59"/>
      <c r="AQ55" s="59"/>
      <c r="AR55" s="59"/>
      <c r="AS55" s="59"/>
      <c r="AT55" s="59"/>
      <c r="AU55" s="59"/>
      <c r="AV55" s="59"/>
    </row>
    <row r="56" spans="1:91" ht="13.5" customHeight="1" x14ac:dyDescent="0.25">
      <c r="A56" s="81">
        <v>7</v>
      </c>
      <c r="B56" s="82" t="s">
        <v>80</v>
      </c>
      <c r="C56" s="81"/>
      <c r="D56" s="3532" t="s">
        <v>81</v>
      </c>
      <c r="E56" s="3533"/>
      <c r="F56" s="3533"/>
      <c r="G56" s="3533"/>
      <c r="H56" s="3533"/>
      <c r="I56" s="3533"/>
      <c r="J56" s="3533"/>
      <c r="K56" s="3533"/>
      <c r="L56" s="3533"/>
      <c r="M56" s="3533"/>
      <c r="N56" s="3533"/>
      <c r="O56" s="3533"/>
      <c r="P56" s="3533"/>
      <c r="Q56" s="3533"/>
      <c r="R56" s="3533"/>
      <c r="S56" s="3533"/>
      <c r="T56" s="3533"/>
      <c r="U56" s="3533"/>
      <c r="V56" s="3533"/>
      <c r="W56" s="3533"/>
      <c r="X56" s="3533"/>
      <c r="Y56" s="3533"/>
      <c r="Z56" s="3533"/>
      <c r="AA56" s="3534"/>
      <c r="AB56" s="83"/>
      <c r="AC56" s="83"/>
      <c r="AD56" s="84"/>
      <c r="AE56" s="84"/>
      <c r="AF56" s="84"/>
      <c r="AG56" s="84"/>
      <c r="AH56" s="84"/>
      <c r="AI56" s="84"/>
      <c r="AJ56" s="84"/>
      <c r="AK56" s="84"/>
      <c r="AL56" s="59"/>
      <c r="AM56" s="59"/>
      <c r="AN56" s="59"/>
      <c r="AO56" s="59"/>
      <c r="AP56" s="59"/>
      <c r="AQ56" s="59"/>
      <c r="AR56" s="59"/>
      <c r="AS56" s="59"/>
      <c r="AT56" s="59"/>
      <c r="AU56" s="59"/>
      <c r="AV56" s="59"/>
    </row>
    <row r="57" spans="1:91" ht="33.6" customHeight="1" x14ac:dyDescent="0.25">
      <c r="A57" s="52">
        <v>8</v>
      </c>
      <c r="B57" s="53" t="s">
        <v>20</v>
      </c>
      <c r="C57" s="52"/>
      <c r="D57" s="3529" t="s">
        <v>82</v>
      </c>
      <c r="E57" s="3530"/>
      <c r="F57" s="3530"/>
      <c r="G57" s="3530"/>
      <c r="H57" s="3530"/>
      <c r="I57" s="3530"/>
      <c r="J57" s="3530"/>
      <c r="K57" s="3530"/>
      <c r="L57" s="3530"/>
      <c r="M57" s="3530"/>
      <c r="N57" s="3530"/>
      <c r="O57" s="3530"/>
      <c r="P57" s="3530"/>
      <c r="Q57" s="3530"/>
      <c r="R57" s="3530"/>
      <c r="S57" s="3530"/>
      <c r="T57" s="3530"/>
      <c r="U57" s="3530"/>
      <c r="V57" s="3530"/>
      <c r="W57" s="3530"/>
      <c r="X57" s="3530"/>
      <c r="Y57" s="3530"/>
      <c r="Z57" s="3530"/>
      <c r="AA57" s="3531"/>
      <c r="AB57" s="1464"/>
      <c r="AC57" s="1464"/>
      <c r="AD57" s="84"/>
      <c r="AE57" s="84"/>
      <c r="AF57" s="84"/>
      <c r="AG57" s="84"/>
      <c r="AH57" s="84"/>
      <c r="AI57" s="84"/>
      <c r="AJ57" s="84"/>
      <c r="AK57" s="84"/>
      <c r="AL57" s="59"/>
      <c r="AM57" s="59"/>
      <c r="AN57" s="59"/>
      <c r="AO57" s="59"/>
      <c r="AP57" s="59"/>
      <c r="AQ57" s="59"/>
      <c r="AR57" s="59"/>
      <c r="AS57" s="59"/>
      <c r="AT57" s="59"/>
      <c r="AU57" s="59"/>
      <c r="AV57" s="59"/>
    </row>
    <row r="58" spans="1:91" ht="30.75" customHeight="1" x14ac:dyDescent="0.25">
      <c r="A58" s="52">
        <v>9</v>
      </c>
      <c r="B58" s="53" t="s">
        <v>83</v>
      </c>
      <c r="C58" s="52"/>
      <c r="D58" s="3529" t="s">
        <v>84</v>
      </c>
      <c r="E58" s="3530"/>
      <c r="F58" s="3530"/>
      <c r="G58" s="3530"/>
      <c r="H58" s="3530"/>
      <c r="I58" s="3530"/>
      <c r="J58" s="3530"/>
      <c r="K58" s="3530"/>
      <c r="L58" s="3530"/>
      <c r="M58" s="3530"/>
      <c r="N58" s="3530"/>
      <c r="O58" s="3530"/>
      <c r="P58" s="3530"/>
      <c r="Q58" s="3530"/>
      <c r="R58" s="3530"/>
      <c r="S58" s="3530"/>
      <c r="T58" s="3530"/>
      <c r="U58" s="3530"/>
      <c r="V58" s="3530"/>
      <c r="W58" s="3530"/>
      <c r="X58" s="3530"/>
      <c r="Y58" s="3530"/>
      <c r="Z58" s="3530"/>
      <c r="AA58" s="3531"/>
      <c r="AB58" s="59"/>
      <c r="AC58" s="59"/>
      <c r="AD58" s="59"/>
      <c r="AE58" s="59"/>
      <c r="AF58" s="59"/>
      <c r="AG58" s="59"/>
      <c r="AH58" s="59"/>
      <c r="AI58" s="59"/>
      <c r="AJ58" s="59"/>
      <c r="AK58" s="59"/>
      <c r="AL58" s="59"/>
      <c r="AM58" s="59"/>
      <c r="AN58" s="59"/>
      <c r="AO58" s="59"/>
      <c r="AP58" s="59"/>
      <c r="AQ58" s="59"/>
      <c r="AR58" s="59"/>
      <c r="AS58" s="59"/>
      <c r="AT58" s="59"/>
      <c r="AU58" s="59"/>
      <c r="AV58" s="59"/>
    </row>
    <row r="59" spans="1:91" ht="12.75" customHeight="1" x14ac:dyDescent="0.25">
      <c r="B59" s="53"/>
      <c r="C59" s="52"/>
      <c r="D59" s="1464"/>
      <c r="E59" s="1464"/>
      <c r="F59" s="1464"/>
      <c r="G59" s="1464"/>
      <c r="H59" s="1464"/>
      <c r="I59" s="1464"/>
      <c r="J59" s="1464"/>
      <c r="K59" s="1464"/>
      <c r="L59" s="1464"/>
      <c r="M59" s="1464"/>
      <c r="N59" s="1464"/>
      <c r="O59" s="1464"/>
      <c r="P59" s="1464"/>
      <c r="Q59" s="1464"/>
      <c r="R59" s="1464"/>
      <c r="S59" s="1464"/>
      <c r="T59" s="1464"/>
      <c r="U59" s="1464"/>
      <c r="V59" s="1464"/>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row>
    <row r="60" spans="1:91" ht="12.75" customHeight="1" x14ac:dyDescent="0.25">
      <c r="B60" s="53"/>
      <c r="C60" s="52"/>
      <c r="D60" s="1464"/>
      <c r="E60" s="1464"/>
      <c r="F60" s="1464"/>
      <c r="G60" s="1464"/>
      <c r="H60" s="1464"/>
      <c r="I60" s="1464"/>
      <c r="J60" s="1464"/>
      <c r="K60" s="1464"/>
      <c r="L60" s="1464"/>
      <c r="M60" s="1464"/>
      <c r="N60" s="1464"/>
      <c r="O60" s="1464"/>
      <c r="P60" s="1464"/>
      <c r="Q60" s="1464"/>
      <c r="R60" s="1464"/>
      <c r="S60" s="1464"/>
      <c r="T60" s="1464"/>
      <c r="U60" s="1464"/>
      <c r="V60" s="1464"/>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row>
    <row r="61" spans="1:91" ht="12.75" customHeight="1" x14ac:dyDescent="0.25">
      <c r="B61" s="53"/>
      <c r="C61" s="52"/>
      <c r="D61" s="3524">
        <v>1994</v>
      </c>
      <c r="E61" s="3525"/>
      <c r="F61" s="3525"/>
      <c r="G61" s="3526"/>
      <c r="H61" s="3524">
        <v>1995</v>
      </c>
      <c r="I61" s="3525"/>
      <c r="J61" s="3525"/>
      <c r="K61" s="3526"/>
      <c r="L61" s="3524">
        <v>1996</v>
      </c>
      <c r="M61" s="3525"/>
      <c r="N61" s="3525"/>
      <c r="O61" s="3526"/>
      <c r="P61" s="3524">
        <v>1997</v>
      </c>
      <c r="Q61" s="3525"/>
      <c r="R61" s="3525"/>
      <c r="S61" s="3526"/>
      <c r="T61" s="3524">
        <v>1998</v>
      </c>
      <c r="U61" s="3525"/>
      <c r="V61" s="3525"/>
      <c r="W61" s="3526"/>
      <c r="X61" s="3524">
        <v>1999</v>
      </c>
      <c r="Y61" s="3525"/>
      <c r="Z61" s="3525"/>
      <c r="AA61" s="3526"/>
      <c r="AB61" s="3524">
        <v>2000</v>
      </c>
      <c r="AC61" s="3525"/>
      <c r="AD61" s="3525"/>
      <c r="AE61" s="3526"/>
      <c r="AF61" s="3524">
        <v>2001</v>
      </c>
      <c r="AG61" s="3525"/>
      <c r="AH61" s="3525"/>
      <c r="AI61" s="3526"/>
      <c r="AJ61" s="3524">
        <v>2002</v>
      </c>
      <c r="AK61" s="3525"/>
      <c r="AL61" s="3525"/>
      <c r="AM61" s="3526"/>
      <c r="AN61" s="3524">
        <v>2003</v>
      </c>
      <c r="AO61" s="3525"/>
      <c r="AP61" s="3525"/>
      <c r="AQ61" s="3526"/>
      <c r="AR61" s="3524">
        <v>2004</v>
      </c>
      <c r="AS61" s="3525"/>
      <c r="AT61" s="3525"/>
      <c r="AU61" s="3526"/>
      <c r="AV61" s="3524">
        <v>2005</v>
      </c>
      <c r="AW61" s="3525"/>
      <c r="AX61" s="3525"/>
      <c r="AY61" s="3526"/>
      <c r="AZ61" s="3524">
        <v>2006</v>
      </c>
      <c r="BA61" s="3525"/>
      <c r="BB61" s="3525"/>
      <c r="BC61" s="3526"/>
      <c r="BD61" s="3524">
        <v>2007</v>
      </c>
      <c r="BE61" s="3525"/>
      <c r="BF61" s="3525"/>
      <c r="BG61" s="3526"/>
      <c r="BH61" s="3524">
        <v>2008</v>
      </c>
      <c r="BI61" s="3525"/>
      <c r="BJ61" s="3525"/>
      <c r="BK61" s="3526"/>
      <c r="BL61" s="3524">
        <v>2009</v>
      </c>
      <c r="BM61" s="3525"/>
      <c r="BN61" s="3525"/>
      <c r="BO61" s="3526"/>
      <c r="BP61" s="3524">
        <v>2010</v>
      </c>
      <c r="BQ61" s="3525"/>
      <c r="BR61" s="3525"/>
      <c r="BS61" s="3526"/>
      <c r="BT61" s="3524">
        <v>2011</v>
      </c>
      <c r="BU61" s="3525"/>
      <c r="BV61" s="3525"/>
      <c r="BW61" s="3526"/>
      <c r="BX61" s="3524">
        <v>2012</v>
      </c>
      <c r="BY61" s="3525"/>
      <c r="BZ61" s="3525"/>
      <c r="CA61" s="3526"/>
      <c r="CB61" s="3524">
        <v>2013</v>
      </c>
      <c r="CC61" s="3525"/>
      <c r="CD61" s="3525"/>
      <c r="CE61" s="3526"/>
      <c r="CF61" s="3524">
        <v>2014</v>
      </c>
      <c r="CG61" s="3525"/>
      <c r="CH61" s="3525"/>
      <c r="CI61" s="3526"/>
      <c r="CJ61" s="3524">
        <v>2015</v>
      </c>
      <c r="CK61" s="3525"/>
      <c r="CL61" s="3525"/>
      <c r="CM61" s="3526"/>
    </row>
    <row r="62" spans="1:91" ht="32.25" customHeight="1" x14ac:dyDescent="0.25">
      <c r="B62" s="3527" t="str">
        <f>+D2</f>
        <v xml:space="preserve">Gross Domestic Product (GDP) growth </v>
      </c>
      <c r="C62" s="3527"/>
      <c r="D62" s="85" t="s">
        <v>85</v>
      </c>
      <c r="E62" s="86" t="s">
        <v>86</v>
      </c>
      <c r="F62" s="86" t="s">
        <v>87</v>
      </c>
      <c r="G62" s="87" t="s">
        <v>88</v>
      </c>
      <c r="H62" s="85" t="s">
        <v>85</v>
      </c>
      <c r="I62" s="86" t="s">
        <v>86</v>
      </c>
      <c r="J62" s="86" t="s">
        <v>87</v>
      </c>
      <c r="K62" s="87" t="s">
        <v>88</v>
      </c>
      <c r="L62" s="85" t="s">
        <v>85</v>
      </c>
      <c r="M62" s="86" t="s">
        <v>86</v>
      </c>
      <c r="N62" s="86" t="s">
        <v>87</v>
      </c>
      <c r="O62" s="87" t="s">
        <v>88</v>
      </c>
      <c r="P62" s="85" t="s">
        <v>85</v>
      </c>
      <c r="Q62" s="86" t="s">
        <v>86</v>
      </c>
      <c r="R62" s="86" t="s">
        <v>87</v>
      </c>
      <c r="S62" s="87" t="s">
        <v>88</v>
      </c>
      <c r="T62" s="85" t="s">
        <v>85</v>
      </c>
      <c r="U62" s="86" t="s">
        <v>86</v>
      </c>
      <c r="V62" s="86" t="s">
        <v>87</v>
      </c>
      <c r="W62" s="87" t="s">
        <v>88</v>
      </c>
      <c r="X62" s="85" t="s">
        <v>85</v>
      </c>
      <c r="Y62" s="86" t="s">
        <v>86</v>
      </c>
      <c r="Z62" s="86" t="s">
        <v>87</v>
      </c>
      <c r="AA62" s="87" t="s">
        <v>88</v>
      </c>
      <c r="AB62" s="85" t="s">
        <v>85</v>
      </c>
      <c r="AC62" s="86" t="s">
        <v>86</v>
      </c>
      <c r="AD62" s="86" t="s">
        <v>87</v>
      </c>
      <c r="AE62" s="87" t="s">
        <v>88</v>
      </c>
      <c r="AF62" s="85" t="s">
        <v>85</v>
      </c>
      <c r="AG62" s="86" t="s">
        <v>86</v>
      </c>
      <c r="AH62" s="86" t="s">
        <v>87</v>
      </c>
      <c r="AI62" s="87" t="s">
        <v>88</v>
      </c>
      <c r="AJ62" s="85" t="s">
        <v>85</v>
      </c>
      <c r="AK62" s="86" t="s">
        <v>86</v>
      </c>
      <c r="AL62" s="86" t="s">
        <v>87</v>
      </c>
      <c r="AM62" s="87" t="s">
        <v>88</v>
      </c>
      <c r="AN62" s="85" t="s">
        <v>85</v>
      </c>
      <c r="AO62" s="86" t="s">
        <v>86</v>
      </c>
      <c r="AP62" s="86" t="s">
        <v>87</v>
      </c>
      <c r="AQ62" s="87" t="s">
        <v>88</v>
      </c>
      <c r="AR62" s="85" t="s">
        <v>85</v>
      </c>
      <c r="AS62" s="86" t="s">
        <v>86</v>
      </c>
      <c r="AT62" s="86" t="s">
        <v>87</v>
      </c>
      <c r="AU62" s="87" t="s">
        <v>88</v>
      </c>
      <c r="AV62" s="85" t="s">
        <v>85</v>
      </c>
      <c r="AW62" s="86" t="s">
        <v>86</v>
      </c>
      <c r="AX62" s="86" t="s">
        <v>87</v>
      </c>
      <c r="AY62" s="87" t="s">
        <v>88</v>
      </c>
      <c r="AZ62" s="85" t="s">
        <v>85</v>
      </c>
      <c r="BA62" s="86" t="s">
        <v>86</v>
      </c>
      <c r="BB62" s="86" t="s">
        <v>87</v>
      </c>
      <c r="BC62" s="87" t="s">
        <v>88</v>
      </c>
      <c r="BD62" s="85" t="s">
        <v>85</v>
      </c>
      <c r="BE62" s="86" t="s">
        <v>86</v>
      </c>
      <c r="BF62" s="86" t="s">
        <v>87</v>
      </c>
      <c r="BG62" s="87" t="s">
        <v>88</v>
      </c>
      <c r="BH62" s="85" t="s">
        <v>85</v>
      </c>
      <c r="BI62" s="86" t="s">
        <v>86</v>
      </c>
      <c r="BJ62" s="86" t="s">
        <v>87</v>
      </c>
      <c r="BK62" s="87" t="s">
        <v>88</v>
      </c>
      <c r="BL62" s="85" t="s">
        <v>85</v>
      </c>
      <c r="BM62" s="86" t="s">
        <v>86</v>
      </c>
      <c r="BN62" s="86" t="s">
        <v>87</v>
      </c>
      <c r="BO62" s="87" t="s">
        <v>88</v>
      </c>
      <c r="BP62" s="85" t="s">
        <v>85</v>
      </c>
      <c r="BQ62" s="86" t="s">
        <v>86</v>
      </c>
      <c r="BR62" s="86" t="s">
        <v>87</v>
      </c>
      <c r="BS62" s="87" t="s">
        <v>88</v>
      </c>
      <c r="BT62" s="85" t="s">
        <v>85</v>
      </c>
      <c r="BU62" s="86" t="s">
        <v>86</v>
      </c>
      <c r="BV62" s="86" t="s">
        <v>87</v>
      </c>
      <c r="BW62" s="87" t="s">
        <v>88</v>
      </c>
      <c r="BX62" s="85" t="s">
        <v>85</v>
      </c>
      <c r="BY62" s="86" t="s">
        <v>86</v>
      </c>
      <c r="BZ62" s="86" t="s">
        <v>87</v>
      </c>
      <c r="CA62" s="87" t="s">
        <v>88</v>
      </c>
      <c r="CB62" s="85" t="s">
        <v>85</v>
      </c>
      <c r="CC62" s="86" t="s">
        <v>86</v>
      </c>
      <c r="CD62" s="86" t="s">
        <v>87</v>
      </c>
      <c r="CE62" s="87" t="s">
        <v>88</v>
      </c>
      <c r="CF62" s="85" t="s">
        <v>85</v>
      </c>
      <c r="CG62" s="88" t="s">
        <v>86</v>
      </c>
      <c r="CH62" s="86" t="s">
        <v>87</v>
      </c>
      <c r="CI62" s="2763" t="s">
        <v>88</v>
      </c>
      <c r="CJ62" s="85" t="s">
        <v>85</v>
      </c>
      <c r="CK62" s="88" t="s">
        <v>86</v>
      </c>
      <c r="CL62" s="86" t="s">
        <v>87</v>
      </c>
      <c r="CM62" s="2763" t="s">
        <v>88</v>
      </c>
    </row>
    <row r="63" spans="1:91" x14ac:dyDescent="0.25">
      <c r="B63" s="51"/>
      <c r="C63" s="89"/>
      <c r="D63" s="90">
        <v>-0.56882299978329165</v>
      </c>
      <c r="E63" s="91">
        <v>4.4104514770248127</v>
      </c>
      <c r="F63" s="91">
        <v>4.5755211153102104</v>
      </c>
      <c r="G63" s="92">
        <v>6.8455482249596855</v>
      </c>
      <c r="H63" s="90">
        <v>1.4526669020042515</v>
      </c>
      <c r="I63" s="91">
        <v>1.7879948352484298</v>
      </c>
      <c r="J63" s="91">
        <v>1.7378476026035594</v>
      </c>
      <c r="K63" s="92">
        <v>1.5880303373726701</v>
      </c>
      <c r="L63" s="90">
        <v>5.7321595371055745</v>
      </c>
      <c r="M63" s="91">
        <v>7.7052022605754944</v>
      </c>
      <c r="N63" s="91">
        <v>4.6170729815531164</v>
      </c>
      <c r="O63" s="92">
        <v>3.8480044584029871</v>
      </c>
      <c r="P63" s="90">
        <v>1.1541025640912084</v>
      </c>
      <c r="Q63" s="91">
        <v>2.469329522299879</v>
      </c>
      <c r="R63" s="91">
        <v>0.83825604314000657</v>
      </c>
      <c r="S63" s="92">
        <v>0.60528963769586053</v>
      </c>
      <c r="T63" s="90">
        <v>0.50652649384492765</v>
      </c>
      <c r="U63" s="91">
        <v>0.5667910380350305</v>
      </c>
      <c r="V63" s="91">
        <v>-0.87372637708889034</v>
      </c>
      <c r="W63" s="92">
        <v>0.38708722146880703</v>
      </c>
      <c r="X63" s="90">
        <v>3.7293234295857625</v>
      </c>
      <c r="Y63" s="91">
        <v>3.2216411057017558</v>
      </c>
      <c r="Z63" s="91">
        <v>4.4404269358685688</v>
      </c>
      <c r="AA63" s="92">
        <v>4.4718969599649272</v>
      </c>
      <c r="AB63" s="90">
        <v>4.5758022715120417</v>
      </c>
      <c r="AC63" s="91">
        <v>3.7315457274831543</v>
      </c>
      <c r="AD63" s="91">
        <v>4.0207206604008006</v>
      </c>
      <c r="AE63" s="92">
        <v>3.446709698974848</v>
      </c>
      <c r="AF63" s="90">
        <v>2.6230856866677144</v>
      </c>
      <c r="AG63" s="91">
        <v>2.0146632087566063</v>
      </c>
      <c r="AH63" s="91">
        <v>1.0666361289954462</v>
      </c>
      <c r="AI63" s="92">
        <v>3.1110855135721316</v>
      </c>
      <c r="AJ63" s="90">
        <v>5.2924284098060603</v>
      </c>
      <c r="AK63" s="91">
        <v>4.9325000418816378</v>
      </c>
      <c r="AL63" s="91">
        <v>3.3216503268672648</v>
      </c>
      <c r="AM63" s="92">
        <v>2.6991500495235021</v>
      </c>
      <c r="AN63" s="90">
        <v>3.7531764032818993</v>
      </c>
      <c r="AO63" s="91">
        <v>1.9677572605739213</v>
      </c>
      <c r="AP63" s="91">
        <v>2.188320445632419</v>
      </c>
      <c r="AQ63" s="92">
        <v>2.327483203645353</v>
      </c>
      <c r="AR63" s="90">
        <v>6.1944683527078492</v>
      </c>
      <c r="AS63" s="91">
        <v>5.7078837294311624</v>
      </c>
      <c r="AT63" s="91">
        <v>6.7026886167146138</v>
      </c>
      <c r="AU63" s="92">
        <v>4.3404056280374359</v>
      </c>
      <c r="AV63" s="90">
        <v>4.1289585309853605</v>
      </c>
      <c r="AW63" s="91">
        <v>7.3737951776069011</v>
      </c>
      <c r="AX63" s="91">
        <v>5.5671463307113367</v>
      </c>
      <c r="AY63" s="92">
        <v>2.7053484122573801</v>
      </c>
      <c r="AZ63" s="90">
        <v>7.2147199226530567</v>
      </c>
      <c r="BA63" s="91">
        <v>5.8033950109959154</v>
      </c>
      <c r="BB63" s="91">
        <v>5.6400423927502885</v>
      </c>
      <c r="BC63" s="92">
        <v>5.646861823647753</v>
      </c>
      <c r="BD63" s="90">
        <v>6.6550968043899372</v>
      </c>
      <c r="BE63" s="91">
        <v>3.3185540413170012</v>
      </c>
      <c r="BF63" s="91">
        <v>4.770772853431815</v>
      </c>
      <c r="BG63" s="92">
        <v>5.7889758122643853</v>
      </c>
      <c r="BH63" s="90">
        <v>1.6914714233666972</v>
      </c>
      <c r="BI63" s="91">
        <v>4.9736319432639009</v>
      </c>
      <c r="BJ63" s="91">
        <v>0.95933734197808374</v>
      </c>
      <c r="BK63" s="92">
        <v>-2.2579336248711779</v>
      </c>
      <c r="BL63" s="90">
        <v>-6.0782800497366622</v>
      </c>
      <c r="BM63" s="91">
        <v>-1.3656485490968429</v>
      </c>
      <c r="BN63" s="91">
        <v>0.93084880933691494</v>
      </c>
      <c r="BO63" s="92">
        <v>2.6938677703393088</v>
      </c>
      <c r="BP63" s="90">
        <v>4.800123095448483</v>
      </c>
      <c r="BQ63" s="91">
        <v>2.4730446755976132</v>
      </c>
      <c r="BR63" s="91">
        <v>4.5599305427149961</v>
      </c>
      <c r="BS63" s="92">
        <v>4.470945145674321</v>
      </c>
      <c r="BT63" s="90">
        <v>3.732716238755307</v>
      </c>
      <c r="BU63" s="91">
        <v>2.1349992664698503</v>
      </c>
      <c r="BV63" s="91">
        <v>1.0514533241010593</v>
      </c>
      <c r="BW63" s="92">
        <v>3.1354710753329629</v>
      </c>
      <c r="BX63" s="90">
        <v>1.6642899696322599</v>
      </c>
      <c r="BY63" s="91">
        <v>3.6993530234988192</v>
      </c>
      <c r="BZ63" s="91">
        <v>1.200714604255726</v>
      </c>
      <c r="CA63" s="92">
        <v>1.7879127297799391</v>
      </c>
      <c r="CB63" s="93">
        <v>1.5</v>
      </c>
      <c r="CC63" s="94">
        <v>4</v>
      </c>
      <c r="CD63" s="94">
        <v>1.6</v>
      </c>
      <c r="CE63" s="95">
        <v>4.9000000000000004</v>
      </c>
      <c r="CF63" s="93">
        <v>-1.5555437996301436</v>
      </c>
      <c r="CG63" s="94">
        <v>0.8</v>
      </c>
      <c r="CH63" s="94">
        <v>2.2000000000000002</v>
      </c>
      <c r="CI63" s="95">
        <v>4.0999999999999996</v>
      </c>
      <c r="CJ63" s="93">
        <v>2</v>
      </c>
      <c r="CK63" s="94">
        <v>-2</v>
      </c>
      <c r="CL63" s="94">
        <v>0.3</v>
      </c>
      <c r="CM63" s="95">
        <v>0.4</v>
      </c>
    </row>
    <row r="64" spans="1:91" x14ac:dyDescent="0.25">
      <c r="D64" s="96"/>
      <c r="E64" s="96"/>
      <c r="F64" s="96"/>
      <c r="G64" s="96"/>
      <c r="H64" s="96"/>
      <c r="I64" s="96"/>
      <c r="J64" s="96"/>
      <c r="K64" s="96"/>
      <c r="L64" s="96"/>
      <c r="M64" s="96"/>
      <c r="N64" s="96"/>
      <c r="O64" s="96"/>
      <c r="P64" s="96"/>
      <c r="Q64" s="96"/>
      <c r="R64" s="96"/>
      <c r="S64" s="96"/>
      <c r="T64" s="96"/>
      <c r="U64" s="96"/>
      <c r="V64" s="96"/>
      <c r="W64" s="97"/>
      <c r="X64" s="98"/>
      <c r="Y64" s="99"/>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row>
    <row r="65" spans="2:87" x14ac:dyDescent="0.25">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row>
    <row r="66" spans="2:87" x14ac:dyDescent="0.25">
      <c r="Y66" s="100"/>
      <c r="Z66" s="101"/>
      <c r="AA66" s="102"/>
    </row>
    <row r="68" spans="2:87" x14ac:dyDescent="0.25">
      <c r="B68" s="53"/>
      <c r="C68" s="52"/>
      <c r="G68" s="77"/>
      <c r="H68" s="77"/>
      <c r="I68" s="77"/>
      <c r="J68" s="77"/>
      <c r="K68" s="77"/>
      <c r="L68" s="77"/>
      <c r="M68" s="77"/>
      <c r="N68" s="77"/>
      <c r="O68" s="77"/>
      <c r="P68" s="77"/>
      <c r="Q68" s="77"/>
      <c r="R68" s="77"/>
      <c r="S68" s="77"/>
      <c r="T68" s="77"/>
      <c r="U68" s="77"/>
      <c r="V68" s="77"/>
    </row>
    <row r="69" spans="2:87" x14ac:dyDescent="0.25">
      <c r="B69" s="53"/>
      <c r="C69" s="52"/>
      <c r="G69" s="77"/>
      <c r="H69" s="77"/>
      <c r="I69" s="77"/>
      <c r="J69" s="77"/>
      <c r="K69" s="77"/>
      <c r="L69" s="77"/>
      <c r="M69" s="77"/>
      <c r="N69" s="77"/>
      <c r="O69" s="77"/>
      <c r="P69" s="77"/>
      <c r="Q69" s="77"/>
      <c r="R69" s="77"/>
      <c r="S69" s="77"/>
      <c r="T69" s="77"/>
      <c r="U69" s="77"/>
      <c r="V69" s="77"/>
    </row>
    <row r="70" spans="2:87" x14ac:dyDescent="0.25">
      <c r="B70" s="53"/>
      <c r="C70" s="52"/>
      <c r="G70" s="77"/>
      <c r="H70" s="77"/>
      <c r="I70" s="77"/>
      <c r="J70" s="77"/>
      <c r="K70" s="77"/>
      <c r="L70" s="77"/>
      <c r="M70" s="77"/>
      <c r="N70" s="77"/>
      <c r="O70" s="77"/>
      <c r="P70" s="80"/>
      <c r="R70" s="77"/>
      <c r="S70" s="77"/>
      <c r="T70" s="77"/>
      <c r="U70" s="77"/>
      <c r="V70" s="77"/>
    </row>
    <row r="71" spans="2:87" x14ac:dyDescent="0.25">
      <c r="B71" s="53"/>
      <c r="C71" s="52"/>
      <c r="G71" s="77"/>
      <c r="H71" s="77"/>
      <c r="I71" s="77"/>
      <c r="J71" s="77"/>
      <c r="K71" s="77"/>
      <c r="L71" s="77"/>
      <c r="M71" s="77"/>
      <c r="N71" s="77"/>
      <c r="O71" s="77"/>
      <c r="P71" s="80"/>
      <c r="Q71" s="77"/>
      <c r="R71" s="77"/>
      <c r="S71" s="77"/>
      <c r="T71" s="77"/>
      <c r="U71" s="77"/>
      <c r="V71" s="77"/>
    </row>
    <row r="72" spans="2:87" x14ac:dyDescent="0.25">
      <c r="B72" s="53"/>
      <c r="C72" s="52"/>
      <c r="G72" s="77"/>
      <c r="H72" s="77"/>
      <c r="I72" s="77"/>
      <c r="J72" s="77"/>
      <c r="K72" s="77"/>
      <c r="L72" s="77"/>
      <c r="M72" s="77"/>
      <c r="N72" s="77"/>
      <c r="O72" s="77"/>
      <c r="P72" s="77"/>
      <c r="Q72" s="77"/>
      <c r="R72" s="77"/>
      <c r="S72" s="77"/>
      <c r="T72" s="77"/>
      <c r="U72" s="77"/>
      <c r="V72" s="77"/>
    </row>
    <row r="73" spans="2:87" x14ac:dyDescent="0.25">
      <c r="B73" s="53"/>
      <c r="C73" s="52"/>
      <c r="G73" s="77"/>
      <c r="H73" s="77"/>
      <c r="I73" s="77"/>
      <c r="J73" s="77"/>
      <c r="K73" s="77"/>
      <c r="L73" s="77"/>
      <c r="M73" s="77"/>
      <c r="N73" s="77"/>
      <c r="O73" s="77"/>
      <c r="P73" s="77"/>
      <c r="Q73" s="77"/>
      <c r="R73" s="77"/>
      <c r="S73" s="77"/>
      <c r="T73" s="77"/>
      <c r="U73" s="77"/>
      <c r="V73" s="77"/>
    </row>
    <row r="74" spans="2:87" x14ac:dyDescent="0.25">
      <c r="B74" s="53"/>
      <c r="C74" s="52"/>
      <c r="G74" s="77"/>
      <c r="H74" s="77"/>
      <c r="I74" s="77"/>
      <c r="J74" s="77"/>
      <c r="K74" s="77"/>
      <c r="L74" s="77"/>
      <c r="M74" s="77"/>
      <c r="N74" s="77"/>
      <c r="O74" s="77"/>
      <c r="P74" s="77"/>
      <c r="Q74" s="77"/>
      <c r="R74" s="77"/>
      <c r="S74" s="77"/>
      <c r="T74" s="77"/>
      <c r="U74" s="77"/>
      <c r="V74" s="77"/>
    </row>
    <row r="75" spans="2:87" x14ac:dyDescent="0.25">
      <c r="B75" s="53"/>
      <c r="C75" s="52"/>
      <c r="G75" s="77"/>
      <c r="H75" s="77"/>
      <c r="I75" s="77"/>
      <c r="J75" s="77"/>
      <c r="K75" s="77"/>
      <c r="L75" s="77"/>
      <c r="M75" s="77"/>
      <c r="N75" s="77"/>
      <c r="O75" s="77"/>
      <c r="P75" s="77"/>
      <c r="Q75" s="77"/>
      <c r="R75" s="77"/>
      <c r="S75" s="77"/>
      <c r="T75" s="77"/>
      <c r="U75" s="77"/>
      <c r="V75" s="77"/>
    </row>
    <row r="76" spans="2:87" x14ac:dyDescent="0.25">
      <c r="B76" s="53"/>
      <c r="C76" s="52"/>
    </row>
    <row r="77" spans="2:87" x14ac:dyDescent="0.25">
      <c r="B77" s="53"/>
      <c r="C77" s="52"/>
    </row>
    <row r="78" spans="2:87" x14ac:dyDescent="0.25">
      <c r="B78" s="53"/>
      <c r="C78" s="52"/>
    </row>
    <row r="79" spans="2:87" x14ac:dyDescent="0.25">
      <c r="B79" s="53"/>
      <c r="C79" s="52"/>
    </row>
    <row r="80" spans="2:87" x14ac:dyDescent="0.25">
      <c r="B80" s="53"/>
      <c r="C80" s="52"/>
    </row>
    <row r="81" spans="2:38" x14ac:dyDescent="0.25">
      <c r="B81" s="53"/>
      <c r="C81" s="52"/>
    </row>
    <row r="82" spans="2:38" x14ac:dyDescent="0.25">
      <c r="B82" s="53"/>
      <c r="C82" s="52"/>
    </row>
    <row r="83" spans="2:38" x14ac:dyDescent="0.25">
      <c r="B83" s="53"/>
      <c r="C83" s="52"/>
    </row>
    <row r="84" spans="2:38" x14ac:dyDescent="0.25">
      <c r="B84" s="53"/>
      <c r="C84" s="52"/>
    </row>
    <row r="85" spans="2:38" x14ac:dyDescent="0.25">
      <c r="B85" s="53"/>
      <c r="C85" s="52"/>
      <c r="E85" s="100"/>
      <c r="F85" s="3522"/>
      <c r="G85" s="3523"/>
      <c r="H85" s="3523"/>
      <c r="I85" s="3523"/>
      <c r="J85" s="3523"/>
      <c r="K85" s="3523"/>
      <c r="L85" s="3523"/>
      <c r="M85" s="3523"/>
      <c r="N85" s="3523"/>
      <c r="O85" s="3523"/>
      <c r="P85" s="3523"/>
      <c r="Q85" s="3523"/>
      <c r="R85" s="3523"/>
      <c r="S85" s="3523"/>
      <c r="T85" s="3523"/>
      <c r="U85" s="3523"/>
      <c r="V85" s="3523"/>
      <c r="W85" s="3523"/>
      <c r="X85" s="3523"/>
      <c r="Y85" s="3523"/>
      <c r="Z85" s="3523"/>
      <c r="AA85" s="3523"/>
      <c r="AB85" s="3523"/>
      <c r="AC85" s="3523"/>
      <c r="AD85" s="3523"/>
      <c r="AE85" s="3523"/>
      <c r="AF85" s="3523"/>
      <c r="AG85" s="3523"/>
      <c r="AH85" s="3523"/>
      <c r="AI85" s="3523"/>
      <c r="AJ85" s="3523"/>
      <c r="AK85" s="3523"/>
      <c r="AL85" s="3528"/>
    </row>
    <row r="86" spans="2:38" x14ac:dyDescent="0.25">
      <c r="B86" s="103"/>
      <c r="C86" s="104"/>
      <c r="D86" s="100"/>
      <c r="E86" s="101"/>
      <c r="F86" s="3520"/>
      <c r="G86" s="3521"/>
      <c r="H86" s="3521"/>
      <c r="I86" s="3521"/>
      <c r="J86" s="3521"/>
      <c r="K86" s="3521"/>
      <c r="L86" s="3521"/>
      <c r="M86" s="3521"/>
      <c r="N86" s="3521"/>
      <c r="O86" s="3521"/>
      <c r="P86" s="3521"/>
      <c r="Q86" s="3521"/>
      <c r="R86" s="3521"/>
      <c r="S86" s="3521"/>
      <c r="T86" s="3521"/>
      <c r="U86" s="3521"/>
      <c r="V86" s="3521"/>
      <c r="W86" s="3521"/>
      <c r="X86" s="3521"/>
      <c r="Y86" s="3521"/>
      <c r="Z86" s="3521"/>
      <c r="AA86" s="3521"/>
      <c r="AB86" s="3521"/>
      <c r="AC86" s="3521"/>
      <c r="AD86" s="3521"/>
      <c r="AE86" s="105"/>
      <c r="AF86" s="105"/>
      <c r="AG86" s="105"/>
      <c r="AH86" s="105"/>
      <c r="AI86" s="105"/>
      <c r="AJ86" s="105"/>
      <c r="AK86" s="105"/>
      <c r="AL86" s="106"/>
    </row>
    <row r="87" spans="2:38" x14ac:dyDescent="0.25">
      <c r="B87" s="107"/>
      <c r="C87" s="108"/>
      <c r="D87" s="101"/>
      <c r="E87" s="102"/>
      <c r="F87" s="3522"/>
      <c r="G87" s="3523"/>
      <c r="H87" s="3523"/>
      <c r="I87" s="3523"/>
      <c r="J87" s="3523"/>
      <c r="K87" s="3523"/>
      <c r="L87" s="3523"/>
      <c r="M87" s="3523"/>
      <c r="N87" s="3523"/>
      <c r="O87" s="3523"/>
      <c r="P87" s="3523"/>
      <c r="Q87" s="3523"/>
      <c r="R87" s="3523"/>
      <c r="S87" s="3523"/>
      <c r="T87" s="3523"/>
      <c r="U87" s="3523"/>
      <c r="V87" s="3523"/>
      <c r="W87" s="3523"/>
      <c r="X87" s="3523"/>
      <c r="Y87" s="3523"/>
      <c r="Z87" s="3523"/>
      <c r="AA87" s="3523"/>
      <c r="AB87" s="3523"/>
      <c r="AC87" s="3523"/>
      <c r="AD87" s="3523"/>
      <c r="AE87" s="105"/>
      <c r="AF87" s="105"/>
      <c r="AG87" s="105"/>
      <c r="AH87" s="105"/>
      <c r="AI87" s="105"/>
      <c r="AJ87" s="105"/>
      <c r="AK87" s="105"/>
      <c r="AL87" s="106"/>
    </row>
    <row r="88" spans="2:38" x14ac:dyDescent="0.25">
      <c r="D88" s="102"/>
    </row>
  </sheetData>
  <mergeCells count="33">
    <mergeCell ref="D56:AA56"/>
    <mergeCell ref="D2:AA2"/>
    <mergeCell ref="D3:AA3"/>
    <mergeCell ref="D4:AA4"/>
    <mergeCell ref="D55:AA55"/>
    <mergeCell ref="D57:AA57"/>
    <mergeCell ref="D58:AA58"/>
    <mergeCell ref="D61:G61"/>
    <mergeCell ref="H61:K61"/>
    <mergeCell ref="L61:O61"/>
    <mergeCell ref="P61:S61"/>
    <mergeCell ref="T61:W61"/>
    <mergeCell ref="X61:AA61"/>
    <mergeCell ref="CJ61:CM61"/>
    <mergeCell ref="B62:C62"/>
    <mergeCell ref="F85:AL85"/>
    <mergeCell ref="AZ61:BC61"/>
    <mergeCell ref="BD61:BG61"/>
    <mergeCell ref="BH61:BK61"/>
    <mergeCell ref="BL61:BO61"/>
    <mergeCell ref="BP61:BS61"/>
    <mergeCell ref="BT61:BW61"/>
    <mergeCell ref="AB61:AE61"/>
    <mergeCell ref="AF61:AI61"/>
    <mergeCell ref="AJ61:AM61"/>
    <mergeCell ref="AN61:AQ61"/>
    <mergeCell ref="AR61:AU61"/>
    <mergeCell ref="AV61:AY61"/>
    <mergeCell ref="F86:AD86"/>
    <mergeCell ref="F87:AD87"/>
    <mergeCell ref="BX61:CA61"/>
    <mergeCell ref="CB61:CE61"/>
    <mergeCell ref="CF61:CI61"/>
  </mergeCells>
  <pageMargins left="0.74803149606299213" right="0.74803149606299213" top="0.98425196850393704" bottom="0.98425196850393704" header="0.51181102362204722" footer="0.51181102362204722"/>
  <pageSetup paperSize="9" scale="55" orientation="landscape" r:id="rId1"/>
  <headerFooter alignWithMargins="0">
    <oddHeader>&amp;C&amp;"-,Bold"DEVELOPMENT INDICATORS 2014</oddHeader>
    <oddFooter>&amp;LDepartment of Planning, Monitoring and Evaluation (DPME). &amp;CPage &amp;P of &amp;N&amp;R&amp;D</oddFooter>
  </headerFooter>
  <colBreaks count="1" manualBreakCount="1">
    <brk id="26" max="59"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M45"/>
  <sheetViews>
    <sheetView showGridLines="0" view="pageBreakPreview" topLeftCell="A25" zoomScaleNormal="100" zoomScaleSheetLayoutView="100" workbookViewId="0">
      <selection activeCell="B19" sqref="B19"/>
    </sheetView>
  </sheetViews>
  <sheetFormatPr defaultColWidth="9.140625" defaultRowHeight="15" x14ac:dyDescent="0.25"/>
  <cols>
    <col min="1" max="1" width="3.7109375" style="685" customWidth="1"/>
    <col min="2" max="2" width="14.42578125" style="165" customWidth="1"/>
    <col min="3" max="3" width="3.7109375" style="454" customWidth="1"/>
    <col min="4" max="4" width="21.85546875" style="179" bestFit="1" customWidth="1"/>
    <col min="5" max="5" width="10.28515625" style="179" customWidth="1"/>
    <col min="6" max="10" width="13" style="179" customWidth="1"/>
    <col min="11" max="12" width="13" style="51" customWidth="1"/>
    <col min="13" max="14" width="11.140625" style="59" customWidth="1"/>
    <col min="15" max="15" width="11.42578125" style="59" customWidth="1"/>
    <col min="16" max="16" width="9.85546875" style="59" bestFit="1" customWidth="1"/>
    <col min="17" max="16384" width="9.140625" style="59"/>
  </cols>
  <sheetData>
    <row r="1" spans="1:21" x14ac:dyDescent="0.25">
      <c r="D1" s="1177"/>
      <c r="E1" s="1177"/>
      <c r="F1" s="1177"/>
      <c r="G1" s="1177"/>
      <c r="H1" s="1177"/>
      <c r="I1" s="1177"/>
      <c r="J1" s="1177"/>
      <c r="K1" s="112"/>
      <c r="L1" s="112"/>
      <c r="M1" s="122"/>
      <c r="N1" s="122"/>
      <c r="O1" s="122"/>
      <c r="P1" s="122"/>
      <c r="Q1" s="122"/>
      <c r="R1" s="122"/>
      <c r="S1" s="122"/>
    </row>
    <row r="2" spans="1:21" ht="12.75" customHeight="1" x14ac:dyDescent="0.25">
      <c r="A2" s="686">
        <v>1</v>
      </c>
      <c r="B2" s="650" t="s">
        <v>24</v>
      </c>
      <c r="C2" s="453">
        <v>19</v>
      </c>
      <c r="D2" s="3623" t="s">
        <v>463</v>
      </c>
      <c r="E2" s="3624"/>
      <c r="F2" s="3624"/>
      <c r="G2" s="3624"/>
      <c r="H2" s="3624"/>
      <c r="I2" s="3624"/>
      <c r="J2" s="3624"/>
      <c r="K2" s="3624"/>
      <c r="L2" s="3624"/>
      <c r="M2" s="3624"/>
      <c r="N2" s="3624"/>
      <c r="O2" s="3625"/>
      <c r="P2" s="597"/>
      <c r="Q2" s="597"/>
      <c r="R2" s="597"/>
      <c r="S2" s="597"/>
      <c r="T2" s="3641"/>
      <c r="U2" s="3642"/>
    </row>
    <row r="3" spans="1:21" x14ac:dyDescent="0.25">
      <c r="A3" s="686">
        <v>2</v>
      </c>
      <c r="B3" s="650" t="s">
        <v>26</v>
      </c>
      <c r="C3" s="453"/>
      <c r="D3" s="3623" t="s">
        <v>464</v>
      </c>
      <c r="E3" s="3624"/>
      <c r="F3" s="3624"/>
      <c r="G3" s="3624"/>
      <c r="H3" s="3624"/>
      <c r="I3" s="3624"/>
      <c r="J3" s="3624"/>
      <c r="K3" s="3624"/>
      <c r="L3" s="3624"/>
      <c r="M3" s="3624"/>
      <c r="N3" s="3624"/>
      <c r="O3" s="3625"/>
      <c r="P3" s="597"/>
      <c r="Q3" s="597"/>
      <c r="R3" s="597"/>
      <c r="S3" s="597"/>
      <c r="T3" s="3641"/>
      <c r="U3" s="3642"/>
    </row>
    <row r="4" spans="1:21" x14ac:dyDescent="0.25">
      <c r="A4" s="686">
        <v>3</v>
      </c>
      <c r="B4" s="650" t="s">
        <v>28</v>
      </c>
      <c r="C4" s="453"/>
      <c r="D4" s="3623" t="s">
        <v>465</v>
      </c>
      <c r="E4" s="3624"/>
      <c r="F4" s="3624"/>
      <c r="G4" s="3624"/>
      <c r="H4" s="3624"/>
      <c r="I4" s="3624"/>
      <c r="J4" s="3624"/>
      <c r="K4" s="3624"/>
      <c r="L4" s="3624"/>
      <c r="M4" s="3624"/>
      <c r="N4" s="3624"/>
      <c r="O4" s="3625"/>
      <c r="P4" s="597"/>
      <c r="Q4" s="597"/>
      <c r="R4" s="597"/>
      <c r="S4" s="597"/>
      <c r="T4" s="3641"/>
      <c r="U4" s="3642"/>
    </row>
    <row r="5" spans="1:21" x14ac:dyDescent="0.25">
      <c r="A5" s="2624"/>
      <c r="B5" s="768"/>
      <c r="C5" s="1950"/>
      <c r="D5" s="77"/>
      <c r="E5" s="77"/>
      <c r="F5" s="77"/>
      <c r="G5" s="77"/>
      <c r="H5" s="77"/>
      <c r="I5" s="77"/>
      <c r="J5" s="77"/>
      <c r="K5" s="77"/>
      <c r="L5" s="77"/>
      <c r="M5" s="58"/>
      <c r="N5" s="58"/>
      <c r="O5" s="58"/>
      <c r="P5" s="58"/>
      <c r="Q5" s="58"/>
      <c r="R5" s="58"/>
      <c r="S5" s="58"/>
      <c r="T5" s="58"/>
      <c r="U5" s="58"/>
    </row>
    <row r="6" spans="1:21" x14ac:dyDescent="0.25">
      <c r="A6" s="686">
        <v>4</v>
      </c>
      <c r="B6" s="650" t="s">
        <v>93</v>
      </c>
      <c r="C6" s="650"/>
      <c r="D6" s="167" t="s">
        <v>31</v>
      </c>
      <c r="E6" s="167" t="s">
        <v>466</v>
      </c>
      <c r="F6" s="130"/>
      <c r="G6" s="130"/>
      <c r="H6" s="130"/>
      <c r="I6" s="130"/>
      <c r="J6" s="130"/>
      <c r="K6" s="130"/>
      <c r="L6" s="133"/>
      <c r="M6" s="133"/>
      <c r="N6" s="133"/>
      <c r="O6" s="133"/>
      <c r="P6" s="133"/>
      <c r="Q6" s="133"/>
      <c r="R6" s="133"/>
      <c r="S6" s="133"/>
      <c r="T6" s="58"/>
      <c r="U6" s="58"/>
    </row>
    <row r="7" spans="1:21" ht="26.25" customHeight="1" x14ac:dyDescent="0.25">
      <c r="A7" s="2624"/>
      <c r="B7" s="768"/>
      <c r="C7" s="1950"/>
      <c r="D7" s="3430"/>
      <c r="E7" s="2625" t="s">
        <v>135</v>
      </c>
      <c r="F7" s="2626" t="s">
        <v>136</v>
      </c>
      <c r="G7" s="598" t="s">
        <v>137</v>
      </c>
      <c r="H7" s="598" t="s">
        <v>138</v>
      </c>
      <c r="I7" s="474" t="s">
        <v>139</v>
      </c>
      <c r="J7" s="474" t="s">
        <v>140</v>
      </c>
      <c r="K7" s="474" t="s">
        <v>141</v>
      </c>
      <c r="L7" s="474" t="s">
        <v>142</v>
      </c>
      <c r="M7" s="474" t="s">
        <v>143</v>
      </c>
      <c r="N7" s="474" t="s">
        <v>144</v>
      </c>
      <c r="O7" s="599" t="s">
        <v>145</v>
      </c>
      <c r="P7" s="133"/>
      <c r="Q7" s="133"/>
      <c r="R7" s="133"/>
      <c r="S7" s="58"/>
      <c r="T7" s="58"/>
    </row>
    <row r="8" spans="1:21" ht="13.5" customHeight="1" x14ac:dyDescent="0.25">
      <c r="A8" s="2624"/>
      <c r="B8" s="768"/>
      <c r="C8" s="1950"/>
      <c r="D8" s="3431" t="s">
        <v>217</v>
      </c>
      <c r="E8" s="2627">
        <v>158277</v>
      </c>
      <c r="F8" s="600">
        <v>103343</v>
      </c>
      <c r="G8" s="600">
        <v>136035</v>
      </c>
      <c r="H8" s="601">
        <v>236951</v>
      </c>
      <c r="I8" s="602">
        <v>377356</v>
      </c>
      <c r="J8" s="602">
        <v>263457</v>
      </c>
      <c r="K8" s="602">
        <v>277100</v>
      </c>
      <c r="L8" s="602">
        <v>374591</v>
      </c>
      <c r="M8" s="602">
        <v>340676</v>
      </c>
      <c r="N8" s="602">
        <v>391555</v>
      </c>
      <c r="O8" s="603">
        <v>409209</v>
      </c>
      <c r="P8" s="133"/>
      <c r="Q8" s="133"/>
      <c r="R8" s="133"/>
      <c r="S8" s="58"/>
      <c r="T8" s="58"/>
    </row>
    <row r="9" spans="1:21" ht="14.25" customHeight="1" x14ac:dyDescent="0.25">
      <c r="A9" s="2624"/>
      <c r="B9" s="768"/>
      <c r="C9" s="1950"/>
      <c r="D9" s="3431" t="s">
        <v>467</v>
      </c>
      <c r="E9" s="2627">
        <v>58796</v>
      </c>
      <c r="F9" s="600">
        <v>78855</v>
      </c>
      <c r="G9" s="600">
        <v>117503</v>
      </c>
      <c r="H9" s="601">
        <v>115686</v>
      </c>
      <c r="I9" s="602">
        <v>96882</v>
      </c>
      <c r="J9" s="602">
        <v>95942</v>
      </c>
      <c r="K9" s="602">
        <v>107189</v>
      </c>
      <c r="L9" s="602">
        <v>164475</v>
      </c>
      <c r="M9" s="602">
        <v>244112</v>
      </c>
      <c r="N9" s="602">
        <v>205870</v>
      </c>
      <c r="O9" s="603">
        <v>221090</v>
      </c>
      <c r="P9" s="133"/>
      <c r="Q9" s="133"/>
      <c r="R9" s="133"/>
      <c r="S9" s="58"/>
      <c r="T9" s="58"/>
    </row>
    <row r="10" spans="1:21" ht="14.45" customHeight="1" x14ac:dyDescent="0.25">
      <c r="A10" s="2624"/>
      <c r="B10" s="768"/>
      <c r="C10" s="1950"/>
      <c r="D10" s="3431" t="s">
        <v>468</v>
      </c>
      <c r="E10" s="2627">
        <v>1650</v>
      </c>
      <c r="F10" s="600">
        <v>17858</v>
      </c>
      <c r="G10" s="600">
        <v>34332</v>
      </c>
      <c r="H10" s="601">
        <v>61018</v>
      </c>
      <c r="I10" s="602">
        <v>59508</v>
      </c>
      <c r="J10" s="602">
        <v>206421</v>
      </c>
      <c r="K10" s="602">
        <v>131979</v>
      </c>
      <c r="L10" s="602">
        <v>164662</v>
      </c>
      <c r="M10" s="602">
        <v>171668</v>
      </c>
      <c r="N10" s="602">
        <v>191516</v>
      </c>
      <c r="O10" s="603">
        <v>224606</v>
      </c>
      <c r="P10" s="133"/>
      <c r="Q10" s="133"/>
      <c r="R10" s="133"/>
      <c r="S10" s="58"/>
      <c r="T10" s="58"/>
    </row>
    <row r="11" spans="1:21" ht="14.45" customHeight="1" x14ac:dyDescent="0.25">
      <c r="A11" s="2624"/>
      <c r="B11" s="768"/>
      <c r="C11" s="1950"/>
      <c r="D11" s="3431" t="s">
        <v>469</v>
      </c>
      <c r="E11" s="2627">
        <v>4687</v>
      </c>
      <c r="F11" s="604">
        <v>1833</v>
      </c>
      <c r="G11" s="604">
        <v>3231</v>
      </c>
      <c r="H11" s="601">
        <v>3697</v>
      </c>
      <c r="I11" s="602">
        <v>6930</v>
      </c>
      <c r="J11" s="602"/>
      <c r="K11" s="602"/>
      <c r="L11" s="602"/>
      <c r="M11" s="602"/>
      <c r="N11" s="602"/>
      <c r="O11" s="603"/>
      <c r="P11" s="133"/>
      <c r="Q11" s="122"/>
      <c r="R11" s="133"/>
      <c r="S11" s="58"/>
      <c r="T11" s="58"/>
    </row>
    <row r="12" spans="1:21" ht="14.45" customHeight="1" x14ac:dyDescent="0.25">
      <c r="A12" s="2624"/>
      <c r="B12" s="768"/>
      <c r="C12" s="1950"/>
      <c r="D12" s="3431" t="s">
        <v>470</v>
      </c>
      <c r="E12" s="2627"/>
      <c r="F12" s="604"/>
      <c r="G12" s="604"/>
      <c r="H12" s="601"/>
      <c r="I12" s="602"/>
      <c r="J12" s="602">
        <v>60039</v>
      </c>
      <c r="K12" s="602">
        <v>126848</v>
      </c>
      <c r="L12" s="602">
        <v>139731</v>
      </c>
      <c r="M12" s="602">
        <v>185137</v>
      </c>
      <c r="N12" s="602">
        <v>228324</v>
      </c>
      <c r="O12" s="603">
        <f>SUM(O13:O14)</f>
        <v>249078</v>
      </c>
      <c r="P12" s="133"/>
      <c r="Q12" s="122"/>
      <c r="R12" s="133"/>
      <c r="S12" s="58"/>
      <c r="T12" s="58"/>
    </row>
    <row r="13" spans="1:21" ht="14.45" customHeight="1" x14ac:dyDescent="0.25">
      <c r="A13" s="2624"/>
      <c r="B13" s="768"/>
      <c r="C13" s="1950"/>
      <c r="D13" s="3431" t="s">
        <v>471</v>
      </c>
      <c r="E13" s="2627"/>
      <c r="F13" s="604"/>
      <c r="G13" s="604"/>
      <c r="H13" s="601"/>
      <c r="I13" s="602"/>
      <c r="J13" s="602"/>
      <c r="K13" s="602"/>
      <c r="L13" s="602"/>
      <c r="M13" s="602"/>
      <c r="N13" s="602"/>
      <c r="O13" s="603">
        <v>198707</v>
      </c>
      <c r="P13" s="133"/>
      <c r="Q13" s="122"/>
      <c r="R13" s="133"/>
      <c r="S13" s="58"/>
      <c r="T13" s="58"/>
    </row>
    <row r="14" spans="1:21" ht="14.45" customHeight="1" x14ac:dyDescent="0.25">
      <c r="A14" s="2624"/>
      <c r="B14" s="768"/>
      <c r="C14" s="1950"/>
      <c r="D14" s="3431" t="s">
        <v>472</v>
      </c>
      <c r="E14" s="2627"/>
      <c r="F14" s="604"/>
      <c r="G14" s="604"/>
      <c r="H14" s="601"/>
      <c r="I14" s="602"/>
      <c r="J14" s="602"/>
      <c r="K14" s="602"/>
      <c r="L14" s="602"/>
      <c r="M14" s="602"/>
      <c r="N14" s="602"/>
      <c r="O14" s="605">
        <v>50371</v>
      </c>
      <c r="P14" s="133"/>
      <c r="Q14" s="122"/>
      <c r="R14" s="133"/>
      <c r="S14" s="58"/>
      <c r="T14" s="58"/>
    </row>
    <row r="15" spans="1:21" x14ac:dyDescent="0.25">
      <c r="A15" s="2624"/>
      <c r="B15" s="768"/>
      <c r="C15" s="1950"/>
      <c r="D15" s="3432" t="s">
        <v>473</v>
      </c>
      <c r="E15" s="2628">
        <f>SUM(E8:E11)</f>
        <v>223410</v>
      </c>
      <c r="F15" s="606">
        <f>SUM(F8:F11)</f>
        <v>201889</v>
      </c>
      <c r="G15" s="606">
        <f>SUM(G8:G11)</f>
        <v>291101</v>
      </c>
      <c r="H15" s="607">
        <f>SUM(H8:H11)</f>
        <v>417352</v>
      </c>
      <c r="I15" s="608">
        <f>SUM(I8:I11)</f>
        <v>540676</v>
      </c>
      <c r="J15" s="608">
        <f t="shared" ref="J15:O15" si="0">SUM(J8:J12)</f>
        <v>625859</v>
      </c>
      <c r="K15" s="608">
        <f t="shared" si="0"/>
        <v>643116</v>
      </c>
      <c r="L15" s="608">
        <f t="shared" si="0"/>
        <v>843459</v>
      </c>
      <c r="M15" s="608">
        <f t="shared" si="0"/>
        <v>941593</v>
      </c>
      <c r="N15" s="608">
        <f t="shared" si="0"/>
        <v>1017265</v>
      </c>
      <c r="O15" s="608">
        <f t="shared" si="0"/>
        <v>1103983</v>
      </c>
      <c r="P15" s="133"/>
      <c r="Q15" s="133"/>
      <c r="R15" s="133"/>
      <c r="S15" s="58"/>
      <c r="T15" s="58"/>
    </row>
    <row r="16" spans="1:21" x14ac:dyDescent="0.25">
      <c r="A16" s="2624"/>
      <c r="B16" s="768"/>
      <c r="C16" s="1950"/>
      <c r="D16" s="3433" t="s">
        <v>474</v>
      </c>
      <c r="E16" s="2629">
        <f>E15</f>
        <v>223410</v>
      </c>
      <c r="F16" s="609">
        <f>E16+F15</f>
        <v>425299</v>
      </c>
      <c r="G16" s="609">
        <f>G15+F16</f>
        <v>716400</v>
      </c>
      <c r="H16" s="610">
        <f>H15+G16</f>
        <v>1133752</v>
      </c>
      <c r="I16" s="611">
        <f>H16+I15</f>
        <v>1674428</v>
      </c>
      <c r="J16" s="611">
        <f t="shared" ref="J16:O16" si="1">I16+J15</f>
        <v>2300287</v>
      </c>
      <c r="K16" s="611">
        <f t="shared" si="1"/>
        <v>2943403</v>
      </c>
      <c r="L16" s="611">
        <f t="shared" si="1"/>
        <v>3786862</v>
      </c>
      <c r="M16" s="611">
        <f t="shared" si="1"/>
        <v>4728455</v>
      </c>
      <c r="N16" s="611">
        <f t="shared" si="1"/>
        <v>5745720</v>
      </c>
      <c r="O16" s="611">
        <f t="shared" si="1"/>
        <v>6849703</v>
      </c>
      <c r="P16" s="133"/>
      <c r="Q16" s="133"/>
      <c r="R16" s="133"/>
      <c r="S16" s="58"/>
      <c r="T16" s="58"/>
    </row>
    <row r="17" spans="1:247" x14ac:dyDescent="0.25">
      <c r="A17" s="2624"/>
      <c r="B17" s="768"/>
      <c r="C17" s="1950"/>
      <c r="D17" s="133"/>
      <c r="E17" s="604"/>
      <c r="F17" s="604"/>
      <c r="G17" s="604"/>
      <c r="H17" s="612"/>
      <c r="I17" s="613"/>
      <c r="J17" s="613"/>
      <c r="K17" s="613"/>
      <c r="L17" s="613"/>
      <c r="M17" s="613"/>
      <c r="N17" s="613"/>
      <c r="O17" s="613"/>
      <c r="P17" s="133"/>
      <c r="Q17" s="133"/>
      <c r="R17" s="133"/>
      <c r="S17" s="58"/>
      <c r="T17" s="58"/>
    </row>
    <row r="18" spans="1:247" x14ac:dyDescent="0.25">
      <c r="A18" s="2624"/>
      <c r="B18" s="768"/>
      <c r="C18" s="1950"/>
      <c r="D18" s="277" t="s">
        <v>55</v>
      </c>
      <c r="E18" s="614" t="s">
        <v>475</v>
      </c>
      <c r="F18" s="133"/>
      <c r="G18" s="275"/>
      <c r="H18" s="275"/>
      <c r="I18" s="275"/>
      <c r="J18" s="133"/>
      <c r="K18" s="133"/>
      <c r="L18" s="58"/>
    </row>
    <row r="19" spans="1:247" s="77" customFormat="1" ht="48.75" customHeight="1" x14ac:dyDescent="0.2">
      <c r="A19" s="751"/>
      <c r="B19" s="737"/>
      <c r="C19" s="1173"/>
      <c r="D19" s="3434"/>
      <c r="E19" s="615" t="s">
        <v>476</v>
      </c>
      <c r="F19" s="615" t="s">
        <v>477</v>
      </c>
      <c r="G19" s="615" t="s">
        <v>478</v>
      </c>
      <c r="H19" s="615" t="s">
        <v>479</v>
      </c>
      <c r="I19" s="615" t="s">
        <v>480</v>
      </c>
      <c r="J19" s="615" t="s">
        <v>481</v>
      </c>
      <c r="K19" s="3438" t="s">
        <v>482</v>
      </c>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row>
    <row r="20" spans="1:247" s="77" customFormat="1" ht="13.5" customHeight="1" x14ac:dyDescent="0.2">
      <c r="A20" s="751"/>
      <c r="B20" s="737"/>
      <c r="C20" s="1173"/>
      <c r="D20" s="3154" t="s">
        <v>483</v>
      </c>
      <c r="E20" s="616">
        <v>7035</v>
      </c>
      <c r="F20" s="616">
        <v>123442</v>
      </c>
      <c r="G20" s="616">
        <v>1303</v>
      </c>
      <c r="H20" s="616">
        <v>409209</v>
      </c>
      <c r="I20" s="617">
        <v>49</v>
      </c>
      <c r="J20" s="617">
        <v>50</v>
      </c>
      <c r="K20" s="3439">
        <v>0.18</v>
      </c>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row>
    <row r="21" spans="1:247" s="77" customFormat="1" ht="13.5" customHeight="1" x14ac:dyDescent="0.2">
      <c r="A21" s="751"/>
      <c r="B21" s="737"/>
      <c r="C21" s="1173"/>
      <c r="D21" s="3154" t="s">
        <v>484</v>
      </c>
      <c r="E21" s="616">
        <v>3377</v>
      </c>
      <c r="F21" s="616">
        <v>77169</v>
      </c>
      <c r="G21" s="616">
        <v>2808</v>
      </c>
      <c r="H21" s="616">
        <v>221090</v>
      </c>
      <c r="I21" s="617">
        <v>62</v>
      </c>
      <c r="J21" s="617">
        <v>56</v>
      </c>
      <c r="K21" s="3439">
        <v>0.8</v>
      </c>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row>
    <row r="22" spans="1:247" s="77" customFormat="1" ht="13.5" customHeight="1" x14ac:dyDescent="0.2">
      <c r="A22" s="751"/>
      <c r="B22" s="737"/>
      <c r="C22" s="1173"/>
      <c r="D22" s="3154" t="s">
        <v>485</v>
      </c>
      <c r="E22" s="616">
        <v>4927</v>
      </c>
      <c r="F22" s="616">
        <v>92202</v>
      </c>
      <c r="G22" s="616">
        <v>653</v>
      </c>
      <c r="H22" s="616">
        <v>224606</v>
      </c>
      <c r="I22" s="617">
        <v>51</v>
      </c>
      <c r="J22" s="617">
        <v>81</v>
      </c>
      <c r="K22" s="3439">
        <v>0.53</v>
      </c>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row>
    <row r="23" spans="1:247" s="77" customFormat="1" ht="13.5" customHeight="1" x14ac:dyDescent="0.2">
      <c r="A23" s="751"/>
      <c r="B23" s="737"/>
      <c r="C23" s="1173"/>
      <c r="D23" s="3435" t="s">
        <v>470</v>
      </c>
      <c r="E23" s="618"/>
      <c r="F23" s="618"/>
      <c r="G23" s="618"/>
      <c r="H23" s="618"/>
      <c r="I23" s="618"/>
      <c r="J23" s="618"/>
      <c r="K23" s="3440"/>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row>
    <row r="24" spans="1:247" s="77" customFormat="1" ht="13.5" customHeight="1" x14ac:dyDescent="0.2">
      <c r="A24" s="751"/>
      <c r="B24" s="737"/>
      <c r="C24" s="1173"/>
      <c r="D24" s="3436" t="s">
        <v>471</v>
      </c>
      <c r="E24" s="616">
        <v>171</v>
      </c>
      <c r="F24" s="616">
        <v>74578</v>
      </c>
      <c r="G24" s="616">
        <v>154</v>
      </c>
      <c r="H24" s="616">
        <v>198707</v>
      </c>
      <c r="I24" s="616">
        <v>44</v>
      </c>
      <c r="J24" s="616">
        <v>75</v>
      </c>
      <c r="K24" s="3439">
        <v>1.1000000000000001</v>
      </c>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row>
    <row r="25" spans="1:247" s="77" customFormat="1" ht="13.5" customHeight="1" x14ac:dyDescent="0.2">
      <c r="A25" s="751"/>
      <c r="B25" s="737"/>
      <c r="C25" s="1173"/>
      <c r="D25" s="3437" t="s">
        <v>472</v>
      </c>
      <c r="E25" s="619">
        <v>326</v>
      </c>
      <c r="F25" s="619">
        <v>19887</v>
      </c>
      <c r="G25" s="619">
        <v>2</v>
      </c>
      <c r="H25" s="619">
        <v>50371</v>
      </c>
      <c r="I25" s="619">
        <v>53</v>
      </c>
      <c r="J25" s="619">
        <v>74</v>
      </c>
      <c r="K25" s="3020">
        <v>3.89</v>
      </c>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row>
    <row r="26" spans="1:247" s="77" customFormat="1" ht="11.25" x14ac:dyDescent="0.2">
      <c r="A26" s="751"/>
      <c r="B26" s="737"/>
      <c r="C26" s="1173"/>
      <c r="E26" s="621">
        <f>SUM(E20:E25)</f>
        <v>15836</v>
      </c>
      <c r="F26" s="621">
        <f>SUM(F20:F25)</f>
        <v>387278</v>
      </c>
      <c r="G26" s="621">
        <f>SUM(G20:G25)</f>
        <v>4920</v>
      </c>
      <c r="H26" s="621">
        <f>SUM(H20:H25)</f>
        <v>1103983</v>
      </c>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row>
    <row r="27" spans="1:247" s="77" customFormat="1" ht="11.25" x14ac:dyDescent="0.2">
      <c r="A27" s="751"/>
      <c r="B27" s="737"/>
      <c r="C27" s="1173"/>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row>
    <row r="28" spans="1:247" x14ac:dyDescent="0.25">
      <c r="D28" s="277" t="s">
        <v>262</v>
      </c>
      <c r="E28" s="614" t="s">
        <v>486</v>
      </c>
      <c r="F28" s="133"/>
      <c r="G28" s="275"/>
      <c r="H28" s="275"/>
      <c r="I28" s="275"/>
      <c r="J28" s="133"/>
      <c r="K28" s="133"/>
      <c r="L28" s="59"/>
    </row>
    <row r="29" spans="1:247" ht="49.5" customHeight="1" x14ac:dyDescent="0.25">
      <c r="D29" s="3434"/>
      <c r="E29" s="622" t="s">
        <v>476</v>
      </c>
      <c r="F29" s="622" t="s">
        <v>487</v>
      </c>
      <c r="G29" s="622" t="s">
        <v>478</v>
      </c>
      <c r="H29" s="622" t="s">
        <v>479</v>
      </c>
      <c r="I29" s="622" t="s">
        <v>480</v>
      </c>
      <c r="J29" s="622" t="s">
        <v>488</v>
      </c>
      <c r="K29" s="3428" t="s">
        <v>482</v>
      </c>
      <c r="L29" s="59"/>
    </row>
    <row r="30" spans="1:247" x14ac:dyDescent="0.25">
      <c r="D30" s="3154" t="s">
        <v>415</v>
      </c>
      <c r="E30" s="616">
        <v>1751</v>
      </c>
      <c r="F30" s="616">
        <v>66437</v>
      </c>
      <c r="G30" s="623">
        <v>414</v>
      </c>
      <c r="H30" s="616">
        <v>181956</v>
      </c>
      <c r="I30" s="617">
        <v>42</v>
      </c>
      <c r="J30" s="617">
        <v>64</v>
      </c>
      <c r="K30" s="3439">
        <v>1.04</v>
      </c>
      <c r="L30" s="59"/>
    </row>
    <row r="31" spans="1:247" x14ac:dyDescent="0.25">
      <c r="D31" s="3154" t="s">
        <v>489</v>
      </c>
      <c r="E31" s="616">
        <v>806</v>
      </c>
      <c r="F31" s="616">
        <v>23653</v>
      </c>
      <c r="G31" s="623">
        <v>381</v>
      </c>
      <c r="H31" s="616">
        <v>68298</v>
      </c>
      <c r="I31" s="617">
        <v>58</v>
      </c>
      <c r="J31" s="617">
        <v>62</v>
      </c>
      <c r="K31" s="3439">
        <v>0.76</v>
      </c>
      <c r="L31" s="59"/>
    </row>
    <row r="32" spans="1:247" x14ac:dyDescent="0.25">
      <c r="D32" s="3154" t="s">
        <v>420</v>
      </c>
      <c r="E32" s="616">
        <v>1257</v>
      </c>
      <c r="F32" s="616">
        <v>57105</v>
      </c>
      <c r="G32" s="623">
        <v>977</v>
      </c>
      <c r="H32" s="616">
        <v>167439</v>
      </c>
      <c r="I32" s="617">
        <v>61</v>
      </c>
      <c r="J32" s="617">
        <v>59</v>
      </c>
      <c r="K32" s="3439">
        <v>0.46</v>
      </c>
      <c r="L32" s="59"/>
    </row>
    <row r="33" spans="1:21" x14ac:dyDescent="0.25">
      <c r="D33" s="3154" t="s">
        <v>418</v>
      </c>
      <c r="E33" s="616">
        <v>2753</v>
      </c>
      <c r="F33" s="616">
        <v>90763</v>
      </c>
      <c r="G33" s="623">
        <v>1375</v>
      </c>
      <c r="H33" s="616">
        <v>238642</v>
      </c>
      <c r="I33" s="617">
        <v>43</v>
      </c>
      <c r="J33" s="617">
        <v>69</v>
      </c>
      <c r="K33" s="3439">
        <v>0.51</v>
      </c>
      <c r="L33" s="59"/>
    </row>
    <row r="34" spans="1:21" x14ac:dyDescent="0.25">
      <c r="D34" s="3154" t="s">
        <v>422</v>
      </c>
      <c r="E34" s="616">
        <v>1518</v>
      </c>
      <c r="F34" s="616">
        <v>32301</v>
      </c>
      <c r="G34" s="623">
        <v>249</v>
      </c>
      <c r="H34" s="616">
        <v>119351</v>
      </c>
      <c r="I34" s="617">
        <v>46</v>
      </c>
      <c r="J34" s="617">
        <v>65</v>
      </c>
      <c r="K34" s="3439">
        <v>0.53</v>
      </c>
      <c r="L34" s="59"/>
    </row>
    <row r="35" spans="1:21" x14ac:dyDescent="0.25">
      <c r="D35" s="3154" t="s">
        <v>421</v>
      </c>
      <c r="E35" s="616">
        <v>2794</v>
      </c>
      <c r="F35" s="616">
        <v>37754</v>
      </c>
      <c r="G35" s="623">
        <v>224</v>
      </c>
      <c r="H35" s="616">
        <v>91329</v>
      </c>
      <c r="I35" s="617">
        <v>55</v>
      </c>
      <c r="J35" s="617">
        <v>68</v>
      </c>
      <c r="K35" s="3439">
        <v>0.92</v>
      </c>
      <c r="L35" s="59"/>
    </row>
    <row r="36" spans="1:21" x14ac:dyDescent="0.25">
      <c r="D36" s="3154" t="s">
        <v>419</v>
      </c>
      <c r="E36" s="616">
        <v>1870</v>
      </c>
      <c r="F36" s="616">
        <v>35168</v>
      </c>
      <c r="G36" s="623">
        <v>433</v>
      </c>
      <c r="H36" s="616">
        <v>85671</v>
      </c>
      <c r="I36" s="617">
        <v>58</v>
      </c>
      <c r="J36" s="617">
        <v>64</v>
      </c>
      <c r="K36" s="3439">
        <v>0.69</v>
      </c>
      <c r="L36" s="59"/>
    </row>
    <row r="37" spans="1:21" x14ac:dyDescent="0.25">
      <c r="D37" s="3154" t="s">
        <v>416</v>
      </c>
      <c r="E37" s="616">
        <v>545</v>
      </c>
      <c r="F37" s="616">
        <v>12913</v>
      </c>
      <c r="G37" s="623">
        <v>68</v>
      </c>
      <c r="H37" s="616">
        <v>39259</v>
      </c>
      <c r="I37" s="617">
        <v>56</v>
      </c>
      <c r="J37" s="617">
        <v>63</v>
      </c>
      <c r="K37" s="3439">
        <v>1.36</v>
      </c>
      <c r="L37" s="59"/>
    </row>
    <row r="38" spans="1:21" x14ac:dyDescent="0.25">
      <c r="D38" s="3441" t="s">
        <v>414</v>
      </c>
      <c r="E38" s="619">
        <v>2542</v>
      </c>
      <c r="F38" s="619">
        <v>31186</v>
      </c>
      <c r="G38" s="624">
        <v>799</v>
      </c>
      <c r="H38" s="619">
        <v>112038</v>
      </c>
      <c r="I38" s="620">
        <v>59</v>
      </c>
      <c r="J38" s="620">
        <v>53</v>
      </c>
      <c r="K38" s="3020">
        <v>0.73</v>
      </c>
      <c r="L38" s="59"/>
    </row>
    <row r="39" spans="1:21" x14ac:dyDescent="0.25">
      <c r="D39" s="3443" t="s">
        <v>0</v>
      </c>
      <c r="E39" s="625">
        <f>SUM(E30:E38)</f>
        <v>15836</v>
      </c>
      <c r="F39" s="625">
        <f>SUM(F30:F38)</f>
        <v>387280</v>
      </c>
      <c r="G39" s="625">
        <f>SUM(G30:G38)</f>
        <v>4920</v>
      </c>
      <c r="H39" s="625">
        <f>SUM(H30:H38)</f>
        <v>1103983</v>
      </c>
      <c r="I39" s="626"/>
      <c r="J39" s="626"/>
      <c r="K39" s="3442"/>
      <c r="L39" s="59"/>
    </row>
    <row r="40" spans="1:21" x14ac:dyDescent="0.25">
      <c r="D40" s="74"/>
      <c r="E40" s="618"/>
      <c r="F40" s="618"/>
      <c r="G40" s="618"/>
      <c r="H40" s="618"/>
      <c r="I40" s="627"/>
      <c r="J40" s="627"/>
      <c r="K40" s="627"/>
      <c r="L40" s="59"/>
    </row>
    <row r="41" spans="1:21" ht="12.75" customHeight="1" x14ac:dyDescent="0.25">
      <c r="A41" s="686">
        <v>5</v>
      </c>
      <c r="B41" s="650" t="s">
        <v>78</v>
      </c>
      <c r="C41" s="453"/>
      <c r="D41" s="3553" t="s">
        <v>490</v>
      </c>
      <c r="E41" s="3554"/>
      <c r="F41" s="3554"/>
      <c r="G41" s="3554"/>
      <c r="H41" s="3554"/>
      <c r="I41" s="3554"/>
      <c r="J41" s="3554"/>
      <c r="K41" s="3554"/>
      <c r="L41" s="3554"/>
      <c r="M41" s="3554"/>
      <c r="N41" s="3554"/>
      <c r="O41" s="3555"/>
      <c r="P41" s="138"/>
      <c r="Q41" s="138"/>
      <c r="R41" s="138"/>
      <c r="S41" s="138"/>
      <c r="T41" s="3641"/>
      <c r="U41" s="3642"/>
    </row>
    <row r="42" spans="1:21" ht="44.25" customHeight="1" x14ac:dyDescent="0.25">
      <c r="A42" s="2630">
        <v>6</v>
      </c>
      <c r="B42" s="687" t="s">
        <v>80</v>
      </c>
      <c r="C42" s="472"/>
      <c r="D42" s="3553" t="s">
        <v>491</v>
      </c>
      <c r="E42" s="3554"/>
      <c r="F42" s="3554"/>
      <c r="G42" s="3554"/>
      <c r="H42" s="3554"/>
      <c r="I42" s="3554"/>
      <c r="J42" s="3554"/>
      <c r="K42" s="3554"/>
      <c r="L42" s="3554"/>
      <c r="M42" s="3554"/>
      <c r="N42" s="3554"/>
      <c r="O42" s="3555"/>
      <c r="P42" s="138"/>
      <c r="Q42" s="138"/>
      <c r="R42" s="138"/>
      <c r="S42" s="138"/>
      <c r="T42" s="3641"/>
      <c r="U42" s="3642"/>
    </row>
    <row r="43" spans="1:21" ht="29.45" customHeight="1" x14ac:dyDescent="0.25">
      <c r="A43" s="686">
        <v>7</v>
      </c>
      <c r="B43" s="650" t="s">
        <v>20</v>
      </c>
      <c r="C43" s="453"/>
      <c r="D43" s="3553" t="s">
        <v>492</v>
      </c>
      <c r="E43" s="3554"/>
      <c r="F43" s="3554"/>
      <c r="G43" s="3554"/>
      <c r="H43" s="3554"/>
      <c r="I43" s="3554"/>
      <c r="J43" s="3554"/>
      <c r="K43" s="3554"/>
      <c r="L43" s="3554"/>
      <c r="M43" s="3554"/>
      <c r="N43" s="3554"/>
      <c r="O43" s="3555"/>
      <c r="P43" s="195"/>
      <c r="Q43" s="195"/>
      <c r="R43" s="195"/>
      <c r="S43" s="195"/>
      <c r="T43" s="3641"/>
      <c r="U43" s="3642"/>
    </row>
    <row r="44" spans="1:21" ht="15" customHeight="1" x14ac:dyDescent="0.25">
      <c r="A44" s="2630">
        <v>8</v>
      </c>
      <c r="B44" s="687" t="s">
        <v>83</v>
      </c>
      <c r="C44" s="472"/>
      <c r="D44" s="3553" t="s">
        <v>493</v>
      </c>
      <c r="E44" s="3554"/>
      <c r="F44" s="3554"/>
      <c r="G44" s="3554"/>
      <c r="H44" s="3554"/>
      <c r="I44" s="3554"/>
      <c r="J44" s="3554"/>
      <c r="K44" s="3554"/>
      <c r="L44" s="3554"/>
      <c r="M44" s="3554"/>
      <c r="N44" s="3554"/>
      <c r="O44" s="3555"/>
      <c r="P44" s="138"/>
      <c r="Q44" s="138"/>
      <c r="R44" s="138"/>
      <c r="S44" s="138"/>
      <c r="T44" s="1464"/>
      <c r="U44" s="1465"/>
    </row>
    <row r="45" spans="1:21" ht="14.25" customHeight="1" x14ac:dyDescent="0.25"/>
  </sheetData>
  <mergeCells count="13">
    <mergeCell ref="D2:O2"/>
    <mergeCell ref="T2:U2"/>
    <mergeCell ref="D3:O3"/>
    <mergeCell ref="T3:U3"/>
    <mergeCell ref="D4:O4"/>
    <mergeCell ref="T4:U4"/>
    <mergeCell ref="D43:O43"/>
    <mergeCell ref="T43:U43"/>
    <mergeCell ref="D44:O44"/>
    <mergeCell ref="D41:O41"/>
    <mergeCell ref="T41:U41"/>
    <mergeCell ref="D42:O42"/>
    <mergeCell ref="T42:U42"/>
  </mergeCells>
  <pageMargins left="0.74803149606299213" right="0.74803149606299213" top="0.98425196850393704" bottom="0.98425196850393704" header="0.51181102362204722" footer="0.51181102362204722"/>
  <pageSetup paperSize="9" scale="60" orientation="landscape" r:id="rId1"/>
  <headerFooter alignWithMargins="0">
    <oddHeader>&amp;C&amp;"-,Bold"DEVELOPMENT INDICATORS 2014</oddHeader>
    <oddFooter>&amp;LDepartment of Planning, Monitoring and Evaluation (DPME). &amp;CPage &amp;P of &amp;N&amp;R&amp;D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34"/>
  <sheetViews>
    <sheetView showGridLines="0" view="pageBreakPreview" zoomScaleNormal="100" zoomScaleSheetLayoutView="100" workbookViewId="0">
      <selection activeCell="O9" sqref="O9"/>
    </sheetView>
  </sheetViews>
  <sheetFormatPr defaultColWidth="9.140625" defaultRowHeight="11.25" x14ac:dyDescent="0.2"/>
  <cols>
    <col min="1" max="1" width="3.7109375" style="1224" customWidth="1"/>
    <col min="2" max="2" width="14.42578125" style="1222" customWidth="1"/>
    <col min="3" max="3" width="3.7109375" style="1222" customWidth="1"/>
    <col min="4" max="4" width="25.28515625" style="401" customWidth="1"/>
    <col min="5" max="6" width="9.85546875" style="633" customWidth="1"/>
    <col min="7" max="15" width="9.85546875" style="401" customWidth="1"/>
    <col min="16" max="16384" width="9.140625" style="401"/>
  </cols>
  <sheetData>
    <row r="1" spans="1:15" s="628" customFormat="1" ht="12.75" x14ac:dyDescent="0.2">
      <c r="A1" s="835"/>
      <c r="B1" s="1791"/>
      <c r="C1" s="1791"/>
      <c r="E1" s="1769"/>
      <c r="F1" s="1769"/>
    </row>
    <row r="2" spans="1:15" s="628" customFormat="1" ht="15" customHeight="1" x14ac:dyDescent="0.2">
      <c r="A2" s="835">
        <v>1</v>
      </c>
      <c r="B2" s="835" t="s">
        <v>24</v>
      </c>
      <c r="C2" s="835">
        <v>20</v>
      </c>
      <c r="D2" s="3623" t="s">
        <v>494</v>
      </c>
      <c r="E2" s="3624"/>
      <c r="F2" s="3624"/>
      <c r="G2" s="3624"/>
      <c r="H2" s="3624"/>
      <c r="I2" s="3624"/>
      <c r="J2" s="3624"/>
      <c r="K2" s="3624"/>
      <c r="L2" s="3624"/>
      <c r="M2" s="3624"/>
      <c r="N2" s="3624"/>
      <c r="O2" s="3625"/>
    </row>
    <row r="3" spans="1:15" s="628" customFormat="1" ht="12.75" customHeight="1" x14ac:dyDescent="0.2">
      <c r="A3" s="835">
        <v>2</v>
      </c>
      <c r="B3" s="835" t="s">
        <v>26</v>
      </c>
      <c r="C3" s="835"/>
      <c r="D3" s="3632" t="s">
        <v>408</v>
      </c>
      <c r="E3" s="3633"/>
      <c r="F3" s="3633"/>
      <c r="G3" s="3633"/>
      <c r="H3" s="3633"/>
      <c r="I3" s="3633"/>
      <c r="J3" s="3633"/>
      <c r="K3" s="3633"/>
      <c r="L3" s="3633"/>
      <c r="M3" s="3633"/>
      <c r="N3" s="3633"/>
      <c r="O3" s="3634"/>
    </row>
    <row r="4" spans="1:15" s="628" customFormat="1" ht="12.75" customHeight="1" x14ac:dyDescent="0.2">
      <c r="A4" s="835">
        <v>3</v>
      </c>
      <c r="B4" s="835" t="s">
        <v>28</v>
      </c>
      <c r="C4" s="835"/>
      <c r="D4" s="3632" t="s">
        <v>495</v>
      </c>
      <c r="E4" s="3633"/>
      <c r="F4" s="3633"/>
      <c r="G4" s="3633"/>
      <c r="H4" s="3633"/>
      <c r="I4" s="3633"/>
      <c r="J4" s="3633"/>
      <c r="K4" s="3633"/>
      <c r="L4" s="3633"/>
      <c r="M4" s="3633"/>
      <c r="N4" s="3633"/>
      <c r="O4" s="3634"/>
    </row>
    <row r="5" spans="1:15" x14ac:dyDescent="0.2">
      <c r="D5" s="629"/>
      <c r="E5" s="630"/>
      <c r="F5" s="630"/>
      <c r="G5" s="630"/>
      <c r="H5" s="2615"/>
      <c r="I5" s="631"/>
      <c r="J5" s="631"/>
      <c r="K5" s="631"/>
      <c r="L5" s="631"/>
      <c r="M5" s="631"/>
    </row>
    <row r="6" spans="1:15" ht="12.75" x14ac:dyDescent="0.2">
      <c r="A6" s="835">
        <v>4</v>
      </c>
      <c r="B6" s="418" t="s">
        <v>1</v>
      </c>
      <c r="D6" s="425" t="s">
        <v>93</v>
      </c>
      <c r="E6" s="632" t="s">
        <v>496</v>
      </c>
      <c r="G6" s="633"/>
      <c r="H6" s="2616"/>
      <c r="I6" s="634"/>
      <c r="J6" s="2617" t="s">
        <v>497</v>
      </c>
      <c r="K6" s="436"/>
      <c r="L6" s="436"/>
      <c r="M6" s="436"/>
    </row>
    <row r="7" spans="1:15" ht="32.25" customHeight="1" x14ac:dyDescent="0.2">
      <c r="D7" s="2995"/>
      <c r="E7" s="2618" t="s">
        <v>140</v>
      </c>
      <c r="F7" s="2618" t="s">
        <v>141</v>
      </c>
      <c r="G7" s="1912" t="s">
        <v>142</v>
      </c>
      <c r="H7" s="2619" t="s">
        <v>143</v>
      </c>
      <c r="I7" s="2620" t="s">
        <v>144</v>
      </c>
      <c r="J7" s="2621" t="s">
        <v>145</v>
      </c>
      <c r="K7" s="2622" t="s">
        <v>480</v>
      </c>
      <c r="L7" s="2622" t="s">
        <v>488</v>
      </c>
      <c r="M7" s="3428" t="s">
        <v>482</v>
      </c>
    </row>
    <row r="8" spans="1:15" ht="13.15" customHeight="1" x14ac:dyDescent="0.2">
      <c r="D8" s="2948" t="s">
        <v>415</v>
      </c>
      <c r="E8" s="797">
        <v>20344</v>
      </c>
      <c r="F8" s="797">
        <v>23070</v>
      </c>
      <c r="G8" s="797">
        <v>18350</v>
      </c>
      <c r="H8" s="919">
        <v>32206</v>
      </c>
      <c r="I8" s="1575">
        <v>42904</v>
      </c>
      <c r="J8" s="1575">
        <v>40594</v>
      </c>
      <c r="K8" s="1576">
        <v>47</v>
      </c>
      <c r="L8" s="1576">
        <v>62</v>
      </c>
      <c r="M8" s="2787">
        <v>0.63</v>
      </c>
    </row>
    <row r="9" spans="1:15" ht="13.15" customHeight="1" x14ac:dyDescent="0.2">
      <c r="D9" s="2948" t="s">
        <v>417</v>
      </c>
      <c r="E9" s="797">
        <v>5634</v>
      </c>
      <c r="F9" s="797">
        <v>8863</v>
      </c>
      <c r="G9" s="797">
        <v>9064</v>
      </c>
      <c r="H9" s="919">
        <v>18525</v>
      </c>
      <c r="I9" s="1575">
        <v>21535</v>
      </c>
      <c r="J9" s="1575">
        <v>20561</v>
      </c>
      <c r="K9" s="1576">
        <v>60</v>
      </c>
      <c r="L9" s="1576">
        <v>71</v>
      </c>
      <c r="M9" s="2787">
        <v>0.41</v>
      </c>
    </row>
    <row r="10" spans="1:15" ht="13.15" customHeight="1" x14ac:dyDescent="0.2">
      <c r="D10" s="2948" t="s">
        <v>420</v>
      </c>
      <c r="E10" s="797">
        <v>1842</v>
      </c>
      <c r="F10" s="797">
        <v>25966</v>
      </c>
      <c r="G10" s="797">
        <v>25758</v>
      </c>
      <c r="H10" s="919">
        <v>17815</v>
      </c>
      <c r="I10" s="1575">
        <v>9363</v>
      </c>
      <c r="J10" s="1575">
        <v>21252</v>
      </c>
      <c r="K10" s="1576">
        <v>52</v>
      </c>
      <c r="L10" s="1576">
        <v>70</v>
      </c>
      <c r="M10" s="2787">
        <v>1.03</v>
      </c>
    </row>
    <row r="11" spans="1:15" ht="13.15" customHeight="1" x14ac:dyDescent="0.2">
      <c r="D11" s="2948" t="s">
        <v>418</v>
      </c>
      <c r="E11" s="797">
        <v>3590</v>
      </c>
      <c r="F11" s="797">
        <v>10437</v>
      </c>
      <c r="G11" s="797">
        <v>14101</v>
      </c>
      <c r="H11" s="919">
        <v>25379</v>
      </c>
      <c r="I11" s="1575">
        <v>38952</v>
      </c>
      <c r="J11" s="1575">
        <v>33692</v>
      </c>
      <c r="K11" s="1576">
        <v>51</v>
      </c>
      <c r="L11" s="1576">
        <v>70</v>
      </c>
      <c r="M11" s="2787">
        <v>0.28999999999999998</v>
      </c>
    </row>
    <row r="12" spans="1:15" ht="13.15" customHeight="1" x14ac:dyDescent="0.2">
      <c r="A12" s="1222"/>
      <c r="D12" s="2948" t="s">
        <v>422</v>
      </c>
      <c r="E12" s="797">
        <v>2684</v>
      </c>
      <c r="F12" s="797">
        <v>4783</v>
      </c>
      <c r="G12" s="797">
        <v>5499</v>
      </c>
      <c r="H12" s="919">
        <v>12259</v>
      </c>
      <c r="I12" s="1575">
        <v>10593</v>
      </c>
      <c r="J12" s="1575">
        <v>23008</v>
      </c>
      <c r="K12" s="1576">
        <v>51</v>
      </c>
      <c r="L12" s="1576">
        <v>74</v>
      </c>
      <c r="M12" s="2787">
        <v>0.5</v>
      </c>
    </row>
    <row r="13" spans="1:15" ht="13.15" customHeight="1" x14ac:dyDescent="0.2">
      <c r="A13" s="1222"/>
      <c r="D13" s="2948" t="s">
        <v>421</v>
      </c>
      <c r="E13" s="797">
        <v>9656</v>
      </c>
      <c r="F13" s="797">
        <v>5965</v>
      </c>
      <c r="G13" s="797">
        <v>8062</v>
      </c>
      <c r="H13" s="919">
        <v>9582</v>
      </c>
      <c r="I13" s="1575">
        <v>6972</v>
      </c>
      <c r="J13" s="1575">
        <v>19785</v>
      </c>
      <c r="K13" s="1576">
        <v>52</v>
      </c>
      <c r="L13" s="1576">
        <v>70</v>
      </c>
      <c r="M13" s="2787">
        <v>0.52</v>
      </c>
    </row>
    <row r="14" spans="1:15" ht="13.15" customHeight="1" x14ac:dyDescent="0.2">
      <c r="A14" s="1222"/>
      <c r="D14" s="2948" t="s">
        <v>419</v>
      </c>
      <c r="E14" s="797">
        <v>1350</v>
      </c>
      <c r="F14" s="797">
        <v>8096</v>
      </c>
      <c r="G14" s="797">
        <v>7320</v>
      </c>
      <c r="H14" s="919">
        <v>13776</v>
      </c>
      <c r="I14" s="1575">
        <v>22300</v>
      </c>
      <c r="J14" s="1575">
        <v>18020</v>
      </c>
      <c r="K14" s="1576">
        <v>56</v>
      </c>
      <c r="L14" s="1576">
        <v>69</v>
      </c>
      <c r="M14" s="2787">
        <v>0.51</v>
      </c>
    </row>
    <row r="15" spans="1:15" ht="13.15" customHeight="1" x14ac:dyDescent="0.2">
      <c r="D15" s="2948" t="s">
        <v>416</v>
      </c>
      <c r="F15" s="633">
        <v>2660</v>
      </c>
      <c r="G15" s="401">
        <v>4091</v>
      </c>
      <c r="H15" s="401">
        <v>5164</v>
      </c>
      <c r="I15" s="634">
        <v>13997</v>
      </c>
      <c r="J15" s="1576">
        <v>11418</v>
      </c>
      <c r="K15" s="1576">
        <v>51</v>
      </c>
      <c r="L15" s="1576">
        <v>68</v>
      </c>
      <c r="M15" s="2787">
        <v>1.77</v>
      </c>
    </row>
    <row r="16" spans="1:15" ht="13.15" customHeight="1" x14ac:dyDescent="0.2">
      <c r="D16" s="2205" t="s">
        <v>414</v>
      </c>
      <c r="E16" s="2081">
        <v>1293</v>
      </c>
      <c r="F16" s="2081">
        <v>2296</v>
      </c>
      <c r="G16" s="2081">
        <v>7934</v>
      </c>
      <c r="H16" s="2623">
        <v>9832</v>
      </c>
      <c r="I16" s="1577">
        <v>10063</v>
      </c>
      <c r="J16" s="1577">
        <v>10377</v>
      </c>
      <c r="K16" s="1578">
        <v>52</v>
      </c>
      <c r="L16" s="1578">
        <v>64</v>
      </c>
      <c r="M16" s="2281">
        <v>1.2</v>
      </c>
    </row>
    <row r="17" spans="1:15" s="425" customFormat="1" ht="11.45" customHeight="1" x14ac:dyDescent="0.2">
      <c r="A17" s="1224"/>
      <c r="B17" s="1327"/>
      <c r="C17" s="1327"/>
      <c r="D17" s="3322" t="s">
        <v>0</v>
      </c>
      <c r="E17" s="3429">
        <f>SUM(E8:E16)</f>
        <v>46393</v>
      </c>
      <c r="F17" s="3429">
        <f>SUM(F8:F16)</f>
        <v>92136</v>
      </c>
      <c r="G17" s="3429">
        <f>SUM(G8:G16)</f>
        <v>100179</v>
      </c>
      <c r="H17" s="3429">
        <f>SUM(H8:H16)</f>
        <v>144538</v>
      </c>
      <c r="I17" s="3429">
        <f>SUM(I8:I16)</f>
        <v>176679</v>
      </c>
      <c r="J17" s="3429">
        <v>198707</v>
      </c>
      <c r="K17" s="423"/>
      <c r="L17" s="423"/>
      <c r="M17" s="3237"/>
    </row>
    <row r="19" spans="1:15" s="628" customFormat="1" ht="12.75" customHeight="1" x14ac:dyDescent="0.2">
      <c r="A19" s="835">
        <v>5</v>
      </c>
      <c r="B19" s="835" t="s">
        <v>78</v>
      </c>
      <c r="C19" s="835"/>
      <c r="D19" s="3615" t="s">
        <v>490</v>
      </c>
      <c r="E19" s="3616"/>
      <c r="F19" s="3616"/>
      <c r="G19" s="3616"/>
      <c r="H19" s="3616"/>
      <c r="I19" s="3616"/>
      <c r="J19" s="3616"/>
      <c r="K19" s="3616"/>
      <c r="L19" s="3616"/>
      <c r="M19" s="3616"/>
      <c r="N19" s="3616"/>
      <c r="O19" s="3617"/>
    </row>
    <row r="20" spans="1:15" s="628" customFormat="1" ht="12.75" customHeight="1" x14ac:dyDescent="0.2">
      <c r="A20" s="835">
        <v>6</v>
      </c>
      <c r="B20" s="835" t="s">
        <v>20</v>
      </c>
      <c r="C20" s="835"/>
      <c r="D20" s="3615" t="s">
        <v>498</v>
      </c>
      <c r="E20" s="3616"/>
      <c r="F20" s="3616"/>
      <c r="G20" s="3616"/>
      <c r="H20" s="3616"/>
      <c r="I20" s="3616"/>
      <c r="J20" s="3616"/>
      <c r="K20" s="3616"/>
      <c r="L20" s="3616"/>
      <c r="M20" s="3616"/>
      <c r="N20" s="3616"/>
      <c r="O20" s="3617"/>
    </row>
    <row r="21" spans="1:15" s="628" customFormat="1" ht="30" customHeight="1" x14ac:dyDescent="0.2">
      <c r="A21" s="835">
        <v>7</v>
      </c>
      <c r="B21" s="835" t="s">
        <v>80</v>
      </c>
      <c r="C21" s="835"/>
      <c r="D21" s="3615" t="s">
        <v>499</v>
      </c>
      <c r="E21" s="3616"/>
      <c r="F21" s="3616"/>
      <c r="G21" s="3616"/>
      <c r="H21" s="3616"/>
      <c r="I21" s="3616"/>
      <c r="J21" s="3616"/>
      <c r="K21" s="3616"/>
      <c r="L21" s="3616"/>
      <c r="M21" s="3616"/>
      <c r="N21" s="3616"/>
      <c r="O21" s="3617"/>
    </row>
    <row r="22" spans="1:15" s="628" customFormat="1" ht="24" customHeight="1" x14ac:dyDescent="0.2">
      <c r="A22" s="963">
        <v>8</v>
      </c>
      <c r="B22" s="963" t="s">
        <v>22</v>
      </c>
      <c r="C22" s="963"/>
      <c r="D22" s="3615" t="s">
        <v>500</v>
      </c>
      <c r="E22" s="3616"/>
      <c r="F22" s="3616"/>
      <c r="G22" s="3616"/>
      <c r="H22" s="3616"/>
      <c r="I22" s="3616"/>
      <c r="J22" s="3616"/>
      <c r="K22" s="3616"/>
      <c r="L22" s="3616"/>
      <c r="M22" s="3616"/>
      <c r="N22" s="3616"/>
      <c r="O22" s="3617"/>
    </row>
    <row r="33" spans="5:6" x14ac:dyDescent="0.2">
      <c r="E33" s="401"/>
      <c r="F33" s="401"/>
    </row>
    <row r="34" spans="5:6" x14ac:dyDescent="0.2">
      <c r="E34" s="401"/>
      <c r="F34" s="401"/>
    </row>
  </sheetData>
  <mergeCells count="7">
    <mergeCell ref="D21:O21"/>
    <mergeCell ref="D22:O22"/>
    <mergeCell ref="D2:O2"/>
    <mergeCell ref="D3:O3"/>
    <mergeCell ref="D4:O4"/>
    <mergeCell ref="D19:O19"/>
    <mergeCell ref="D20:O20"/>
  </mergeCells>
  <pageMargins left="0.74803149606299213" right="0.74803149606299213" top="0.98425196850393704" bottom="0.98425196850393704" header="0.51181102362204722" footer="0.51181102362204722"/>
  <pageSetup paperSize="9" scale="78" orientation="landscape" r:id="rId1"/>
  <headerFooter alignWithMargins="0">
    <oddHeader>&amp;C&amp;"-,Bold"DEVELOPMENT INDICATORS 2014</oddHeader>
    <oddFooter>&amp;LDepartment of Planning, Monitoring and Evaluation (DPME). &amp;CPage &amp;P of &amp;N&amp;R&amp;D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D77"/>
  <sheetViews>
    <sheetView showGridLines="0" view="pageBreakPreview" zoomScaleNormal="100" zoomScaleSheetLayoutView="100" workbookViewId="0">
      <selection activeCell="M41" sqref="M41"/>
    </sheetView>
  </sheetViews>
  <sheetFormatPr defaultColWidth="3.7109375" defaultRowHeight="15" x14ac:dyDescent="0.25"/>
  <cols>
    <col min="1" max="1" width="3.7109375" style="637" customWidth="1"/>
    <col min="2" max="2" width="16.85546875" style="636" customWidth="1"/>
    <col min="3" max="3" width="3.7109375" style="636" customWidth="1"/>
    <col min="4" max="4" width="10.85546875" style="51" customWidth="1"/>
    <col min="5" max="31" width="10.140625" style="51" customWidth="1"/>
    <col min="32" max="255" width="9.140625" style="51" customWidth="1"/>
    <col min="256" max="16384" width="3.7109375" style="51"/>
  </cols>
  <sheetData>
    <row r="1" spans="1:29" x14ac:dyDescent="0.25">
      <c r="A1" s="453"/>
      <c r="B1" s="454"/>
      <c r="C1" s="454"/>
      <c r="D1" s="112"/>
      <c r="E1" s="112"/>
      <c r="F1" s="112"/>
      <c r="G1" s="112"/>
      <c r="H1" s="112"/>
      <c r="I1" s="112"/>
      <c r="J1" s="112"/>
      <c r="K1" s="112"/>
      <c r="L1" s="112"/>
      <c r="M1" s="112"/>
      <c r="N1" s="112"/>
      <c r="O1" s="112"/>
      <c r="P1" s="112"/>
      <c r="Q1" s="112"/>
      <c r="R1" s="112"/>
      <c r="S1" s="112"/>
      <c r="T1" s="112"/>
    </row>
    <row r="2" spans="1:29" ht="12.75" customHeight="1" x14ac:dyDescent="0.25">
      <c r="A2" s="453">
        <v>1</v>
      </c>
      <c r="B2" s="453" t="s">
        <v>24</v>
      </c>
      <c r="C2" s="453">
        <f>1+[10]CWP!C2</f>
        <v>21</v>
      </c>
      <c r="D2" s="3610" t="s">
        <v>552</v>
      </c>
      <c r="E2" s="3611"/>
      <c r="F2" s="3611"/>
      <c r="G2" s="3611"/>
      <c r="H2" s="3611"/>
      <c r="I2" s="3611"/>
      <c r="J2" s="3611"/>
      <c r="K2" s="3611"/>
      <c r="L2" s="3611"/>
      <c r="M2" s="3611"/>
      <c r="N2" s="3611"/>
      <c r="O2" s="3611"/>
      <c r="P2" s="3611"/>
      <c r="Q2" s="3611"/>
      <c r="R2" s="3611"/>
      <c r="S2" s="3611"/>
      <c r="T2" s="3611"/>
      <c r="U2" s="3611"/>
      <c r="V2" s="3611"/>
      <c r="W2" s="3611"/>
      <c r="X2" s="3611"/>
      <c r="Y2" s="3611"/>
      <c r="Z2" s="3611"/>
      <c r="AA2" s="3611"/>
      <c r="AB2" s="3611"/>
      <c r="AC2" s="3612"/>
    </row>
    <row r="3" spans="1:29" ht="12.75" customHeight="1" x14ac:dyDescent="0.25">
      <c r="A3" s="453">
        <v>2</v>
      </c>
      <c r="B3" s="453" t="s">
        <v>26</v>
      </c>
      <c r="C3" s="453"/>
      <c r="D3" s="3553" t="s">
        <v>551</v>
      </c>
      <c r="E3" s="3554"/>
      <c r="F3" s="3554"/>
      <c r="G3" s="3554"/>
      <c r="H3" s="3554"/>
      <c r="I3" s="3554"/>
      <c r="J3" s="3554"/>
      <c r="K3" s="3554"/>
      <c r="L3" s="3554"/>
      <c r="M3" s="3554"/>
      <c r="N3" s="3554"/>
      <c r="O3" s="3554"/>
      <c r="P3" s="3554"/>
      <c r="Q3" s="3554"/>
      <c r="R3" s="3554"/>
      <c r="S3" s="3554"/>
      <c r="T3" s="3554"/>
      <c r="U3" s="3554"/>
      <c r="V3" s="3554"/>
      <c r="W3" s="3554"/>
      <c r="X3" s="3554"/>
      <c r="Y3" s="3554"/>
      <c r="Z3" s="3554"/>
      <c r="AA3" s="3554"/>
      <c r="AB3" s="3554"/>
      <c r="AC3" s="3555"/>
    </row>
    <row r="4" spans="1:29" ht="12.75" customHeight="1" x14ac:dyDescent="0.25">
      <c r="A4" s="453">
        <v>3</v>
      </c>
      <c r="B4" s="453" t="s">
        <v>28</v>
      </c>
      <c r="C4" s="453"/>
      <c r="D4" s="3553" t="s">
        <v>550</v>
      </c>
      <c r="E4" s="3554"/>
      <c r="F4" s="3554"/>
      <c r="G4" s="3554"/>
      <c r="H4" s="3554"/>
      <c r="I4" s="3554"/>
      <c r="J4" s="3554"/>
      <c r="K4" s="3554"/>
      <c r="L4" s="3554"/>
      <c r="M4" s="3554"/>
      <c r="N4" s="3554"/>
      <c r="O4" s="3554"/>
      <c r="P4" s="3554"/>
      <c r="Q4" s="3554"/>
      <c r="R4" s="3554"/>
      <c r="S4" s="3554"/>
      <c r="T4" s="3554"/>
      <c r="U4" s="3554"/>
      <c r="V4" s="3554"/>
      <c r="W4" s="3554"/>
      <c r="X4" s="3554"/>
      <c r="Y4" s="3554"/>
      <c r="Z4" s="3554"/>
      <c r="AA4" s="3554"/>
      <c r="AB4" s="3554"/>
      <c r="AC4" s="3555"/>
    </row>
    <row r="5" spans="1:29" ht="12.75" customHeight="1" x14ac:dyDescent="0.25">
      <c r="A5" s="453"/>
      <c r="B5" s="453"/>
      <c r="C5" s="453"/>
      <c r="D5" s="138"/>
      <c r="E5" s="138"/>
      <c r="F5" s="138"/>
      <c r="G5" s="138"/>
      <c r="H5" s="138"/>
      <c r="I5" s="138"/>
      <c r="J5" s="138"/>
      <c r="K5" s="138"/>
      <c r="L5" s="138"/>
      <c r="M5" s="138"/>
      <c r="N5" s="138"/>
      <c r="O5" s="138"/>
      <c r="P5" s="138"/>
      <c r="Q5" s="138"/>
      <c r="R5" s="138"/>
      <c r="S5" s="138"/>
      <c r="T5" s="138"/>
    </row>
    <row r="6" spans="1:29" ht="15.75" customHeight="1" x14ac:dyDescent="0.25">
      <c r="A6" s="453">
        <v>4</v>
      </c>
      <c r="B6" s="650" t="s">
        <v>1</v>
      </c>
      <c r="C6" s="650"/>
      <c r="D6" s="179"/>
      <c r="E6" s="179"/>
      <c r="F6" s="179"/>
      <c r="G6" s="179"/>
      <c r="H6" s="179"/>
      <c r="I6" s="179"/>
      <c r="J6" s="179"/>
      <c r="K6" s="179"/>
      <c r="L6" s="179"/>
      <c r="M6" s="179"/>
      <c r="N6" s="179"/>
      <c r="O6" s="179"/>
      <c r="P6" s="179"/>
      <c r="Q6" s="77"/>
    </row>
    <row r="7" spans="1:29" ht="12.75" customHeight="1" x14ac:dyDescent="0.25">
      <c r="A7" s="453"/>
      <c r="B7" s="454"/>
      <c r="C7" s="454"/>
      <c r="D7" s="424" t="s">
        <v>31</v>
      </c>
      <c r="E7" s="655" t="s">
        <v>549</v>
      </c>
      <c r="F7" s="424"/>
      <c r="G7" s="424"/>
      <c r="H7" s="424"/>
      <c r="J7" s="424" t="s">
        <v>544</v>
      </c>
      <c r="K7" s="424"/>
      <c r="L7" s="59"/>
      <c r="M7" s="424"/>
      <c r="N7" s="3643"/>
      <c r="O7" s="3643"/>
      <c r="P7" s="3643"/>
      <c r="Q7" s="3643"/>
      <c r="R7" s="3643"/>
      <c r="S7" s="3643"/>
      <c r="T7" s="3643"/>
    </row>
    <row r="8" spans="1:29" ht="7.9" customHeight="1" x14ac:dyDescent="0.25">
      <c r="A8" s="453"/>
      <c r="B8" s="454"/>
      <c r="C8" s="454"/>
      <c r="D8" s="3092"/>
      <c r="E8" s="3644" t="s">
        <v>548</v>
      </c>
      <c r="F8" s="3644"/>
      <c r="G8" s="3644"/>
      <c r="H8" s="3645"/>
      <c r="I8" s="3648" t="s">
        <v>547</v>
      </c>
      <c r="J8" s="3644"/>
      <c r="K8" s="3644"/>
      <c r="L8" s="3649"/>
      <c r="M8" s="424"/>
      <c r="N8" s="3643"/>
      <c r="O8" s="3643"/>
      <c r="P8" s="3643"/>
      <c r="Q8" s="3643"/>
      <c r="R8" s="3643"/>
      <c r="S8" s="3643"/>
      <c r="T8" s="3643"/>
    </row>
    <row r="9" spans="1:29" ht="22.15" customHeight="1" x14ac:dyDescent="0.25">
      <c r="A9" s="453"/>
      <c r="B9" s="454"/>
      <c r="C9" s="454"/>
      <c r="D9" s="3095"/>
      <c r="E9" s="3646"/>
      <c r="F9" s="3646"/>
      <c r="G9" s="3646"/>
      <c r="H9" s="3647"/>
      <c r="I9" s="3650"/>
      <c r="J9" s="3646"/>
      <c r="K9" s="3646"/>
      <c r="L9" s="3651"/>
      <c r="M9" s="424"/>
      <c r="N9" s="2540"/>
      <c r="O9" s="2540"/>
      <c r="P9" s="2540"/>
      <c r="Q9" s="2540"/>
      <c r="R9" s="2540"/>
      <c r="S9" s="2540"/>
      <c r="T9" s="2540"/>
    </row>
    <row r="10" spans="1:29" ht="22.15" customHeight="1" x14ac:dyDescent="0.25">
      <c r="A10" s="453"/>
      <c r="B10" s="454"/>
      <c r="C10" s="454"/>
      <c r="D10" s="3095"/>
      <c r="E10" s="3652">
        <v>2008</v>
      </c>
      <c r="F10" s="3652"/>
      <c r="G10" s="3652">
        <v>2010</v>
      </c>
      <c r="H10" s="3653"/>
      <c r="I10" s="3654">
        <v>2008</v>
      </c>
      <c r="J10" s="3652"/>
      <c r="K10" s="3652">
        <v>2010</v>
      </c>
      <c r="L10" s="3655"/>
      <c r="M10" s="424"/>
      <c r="N10" s="2540"/>
      <c r="O10" s="2540"/>
      <c r="P10" s="2540"/>
      <c r="Q10" s="2540"/>
      <c r="R10" s="2540"/>
      <c r="S10" s="2540"/>
      <c r="T10" s="2540"/>
    </row>
    <row r="11" spans="1:29" x14ac:dyDescent="0.25">
      <c r="A11" s="453"/>
      <c r="B11" s="454"/>
      <c r="C11" s="454"/>
      <c r="D11" s="2950"/>
      <c r="E11" s="2541" t="s">
        <v>546</v>
      </c>
      <c r="F11" s="2541" t="s">
        <v>54</v>
      </c>
      <c r="G11" s="2541" t="s">
        <v>546</v>
      </c>
      <c r="H11" s="2542" t="s">
        <v>54</v>
      </c>
      <c r="I11" s="3392" t="s">
        <v>546</v>
      </c>
      <c r="J11" s="2541" t="s">
        <v>54</v>
      </c>
      <c r="K11" s="2541" t="s">
        <v>546</v>
      </c>
      <c r="L11" s="3393" t="s">
        <v>54</v>
      </c>
      <c r="M11" s="659"/>
      <c r="N11" s="2543"/>
      <c r="O11" s="2543"/>
      <c r="P11" s="2543"/>
      <c r="Q11" s="2543"/>
      <c r="R11" s="2544"/>
      <c r="S11" s="2544"/>
      <c r="T11" s="2544"/>
    </row>
    <row r="12" spans="1:29" s="639" customFormat="1" x14ac:dyDescent="0.25">
      <c r="A12" s="643"/>
      <c r="B12" s="658"/>
      <c r="C12" s="658"/>
      <c r="D12" s="3399" t="s">
        <v>509</v>
      </c>
      <c r="E12" s="2545">
        <v>68.980660999999998</v>
      </c>
      <c r="F12" s="2546">
        <v>4.0000000000000001E-3</v>
      </c>
      <c r="G12" s="2543">
        <v>96.582997000000006</v>
      </c>
      <c r="H12" s="2547">
        <v>5.7000000000000002E-3</v>
      </c>
      <c r="I12" s="3394">
        <v>84.513114999999999</v>
      </c>
      <c r="J12" s="2544">
        <v>5.8999999999999999E-3</v>
      </c>
      <c r="K12" s="2543">
        <v>60.569246999999997</v>
      </c>
      <c r="L12" s="3395">
        <v>4.4999999999999997E-3</v>
      </c>
      <c r="M12" s="2548"/>
      <c r="N12" s="2543"/>
      <c r="O12" s="2543"/>
      <c r="P12" s="2543"/>
      <c r="Q12" s="2543"/>
      <c r="R12" s="2544"/>
      <c r="S12" s="2544"/>
      <c r="T12" s="2544"/>
    </row>
    <row r="13" spans="1:29" s="639" customFormat="1" ht="14.25" customHeight="1" x14ac:dyDescent="0.25">
      <c r="A13" s="643"/>
      <c r="B13" s="658"/>
      <c r="C13" s="658"/>
      <c r="D13" s="3399" t="s">
        <v>508</v>
      </c>
      <c r="E13" s="2545">
        <v>120.34435000000001</v>
      </c>
      <c r="F13" s="2546">
        <v>1.4E-2</v>
      </c>
      <c r="G13" s="2543">
        <v>136.82511</v>
      </c>
      <c r="H13" s="2547">
        <v>1.61E-2</v>
      </c>
      <c r="I13" s="3394">
        <v>117.44762</v>
      </c>
      <c r="J13" s="2544">
        <v>1.6299999999999999E-2</v>
      </c>
      <c r="K13" s="2543">
        <v>101.75935</v>
      </c>
      <c r="L13" s="3395">
        <v>1.5100000000000001E-2</v>
      </c>
      <c r="M13" s="2548"/>
      <c r="N13" s="2545"/>
      <c r="O13" s="2545"/>
      <c r="P13" s="2545"/>
      <c r="Q13" s="2545"/>
      <c r="R13" s="2544"/>
      <c r="S13" s="2544"/>
      <c r="T13" s="2544"/>
    </row>
    <row r="14" spans="1:29" s="639" customFormat="1" ht="14.25" customHeight="1" x14ac:dyDescent="0.25">
      <c r="A14" s="643"/>
      <c r="B14" s="658"/>
      <c r="C14" s="658"/>
      <c r="D14" s="3399" t="s">
        <v>507</v>
      </c>
      <c r="E14" s="2545">
        <v>10002.946</v>
      </c>
      <c r="F14" s="2546">
        <v>0.5827</v>
      </c>
      <c r="G14" s="2545">
        <v>9500.1654999999992</v>
      </c>
      <c r="H14" s="2547">
        <v>0.54279999999999995</v>
      </c>
      <c r="I14" s="3396">
        <v>8393.1306000000004</v>
      </c>
      <c r="J14" s="2544">
        <v>0.57920000000000005</v>
      </c>
      <c r="K14" s="2545">
        <v>8083.7039999999997</v>
      </c>
      <c r="L14" s="3395">
        <v>0.59709999999999996</v>
      </c>
      <c r="M14" s="2548"/>
      <c r="N14" s="2545"/>
      <c r="O14" s="2545"/>
      <c r="P14" s="2545"/>
      <c r="Q14" s="2545"/>
      <c r="R14" s="2544"/>
      <c r="S14" s="2544"/>
      <c r="T14" s="2544"/>
    </row>
    <row r="15" spans="1:29" s="639" customFormat="1" ht="14.25" customHeight="1" x14ac:dyDescent="0.25">
      <c r="A15" s="643"/>
      <c r="B15" s="658"/>
      <c r="C15" s="658"/>
      <c r="D15" s="3400" t="s">
        <v>506</v>
      </c>
      <c r="E15" s="2549">
        <v>6416.2160000000003</v>
      </c>
      <c r="F15" s="2550">
        <v>0.74739999999999995</v>
      </c>
      <c r="G15" s="2549">
        <v>6312.5533999999998</v>
      </c>
      <c r="H15" s="2551">
        <v>0.73040000000000005</v>
      </c>
      <c r="I15" s="3397">
        <v>5441.3752999999997</v>
      </c>
      <c r="J15" s="2552">
        <v>0.74750000000000005</v>
      </c>
      <c r="K15" s="2549">
        <v>5167.8168999999998</v>
      </c>
      <c r="L15" s="3398">
        <v>0.76759999999999995</v>
      </c>
      <c r="M15" s="2548"/>
      <c r="N15" s="2545"/>
      <c r="O15" s="2545"/>
      <c r="P15" s="2545"/>
      <c r="Q15" s="2545"/>
      <c r="R15" s="2544"/>
      <c r="S15" s="2544"/>
      <c r="T15" s="2544"/>
    </row>
    <row r="16" spans="1:29" s="639" customFormat="1" ht="14.25" customHeight="1" x14ac:dyDescent="0.25">
      <c r="A16" s="643"/>
      <c r="B16" s="658"/>
      <c r="C16" s="658"/>
      <c r="D16" s="657"/>
      <c r="E16" s="656"/>
      <c r="F16" s="656"/>
      <c r="G16" s="656"/>
      <c r="H16" s="656"/>
      <c r="I16" s="656"/>
      <c r="J16" s="656"/>
      <c r="K16" s="656"/>
      <c r="L16" s="656"/>
      <c r="M16" s="656"/>
      <c r="N16" s="2545"/>
      <c r="O16" s="2545"/>
      <c r="P16" s="2545"/>
      <c r="Q16" s="2545"/>
      <c r="R16" s="2544"/>
      <c r="S16" s="2544"/>
      <c r="T16" s="2544"/>
    </row>
    <row r="17" spans="1:24" s="639" customFormat="1" ht="14.25" customHeight="1" x14ac:dyDescent="0.25">
      <c r="A17" s="643"/>
      <c r="B17" s="642"/>
      <c r="C17" s="642"/>
      <c r="D17" s="614" t="s">
        <v>55</v>
      </c>
      <c r="E17" s="655" t="s">
        <v>545</v>
      </c>
      <c r="F17" s="119"/>
      <c r="G17" s="119"/>
      <c r="H17" s="119"/>
      <c r="I17" s="424" t="s">
        <v>544</v>
      </c>
      <c r="L17" s="119"/>
      <c r="M17" s="649"/>
      <c r="N17" s="649"/>
    </row>
    <row r="18" spans="1:24" s="639" customFormat="1" ht="27" customHeight="1" x14ac:dyDescent="0.25">
      <c r="A18" s="643"/>
      <c r="B18" s="642"/>
      <c r="C18" s="642"/>
      <c r="D18" s="3401"/>
      <c r="E18" s="654"/>
      <c r="F18" s="3656" t="s">
        <v>517</v>
      </c>
      <c r="G18" s="3657"/>
      <c r="H18" s="3658" t="s">
        <v>516</v>
      </c>
      <c r="I18" s="3659"/>
      <c r="J18" s="276"/>
      <c r="K18" s="3660"/>
      <c r="L18" s="3660"/>
      <c r="M18" s="3660"/>
      <c r="N18" s="276"/>
    </row>
    <row r="19" spans="1:24" s="639" customFormat="1" ht="13.5" customHeight="1" x14ac:dyDescent="0.25">
      <c r="A19" s="643"/>
      <c r="B19" s="642"/>
      <c r="C19" s="642"/>
      <c r="D19" s="3402"/>
      <c r="E19" s="653"/>
      <c r="F19" s="276">
        <v>2008</v>
      </c>
      <c r="G19" s="652">
        <v>2010</v>
      </c>
      <c r="H19" s="651">
        <v>2008</v>
      </c>
      <c r="I19" s="3371">
        <v>2010</v>
      </c>
      <c r="J19" s="276"/>
      <c r="K19" s="276"/>
      <c r="L19" s="2553"/>
      <c r="M19" s="2553"/>
      <c r="N19" s="2553"/>
    </row>
    <row r="20" spans="1:24" s="639" customFormat="1" ht="14.25" customHeight="1" x14ac:dyDescent="0.25">
      <c r="A20" s="453"/>
      <c r="B20" s="650"/>
      <c r="C20" s="642"/>
      <c r="D20" s="3403" t="s">
        <v>543</v>
      </c>
      <c r="E20" s="649"/>
      <c r="F20" s="648">
        <v>950.44380000000001</v>
      </c>
      <c r="G20" s="2554">
        <v>1019.14</v>
      </c>
      <c r="H20" s="2555">
        <v>766.27509999999995</v>
      </c>
      <c r="I20" s="3406">
        <v>712.17150000000004</v>
      </c>
      <c r="J20" s="2494"/>
      <c r="K20" s="2557"/>
      <c r="L20" s="2553"/>
      <c r="M20" s="2548"/>
      <c r="N20" s="2548"/>
    </row>
    <row r="21" spans="1:24" s="639" customFormat="1" ht="14.25" customHeight="1" x14ac:dyDescent="0.25">
      <c r="A21" s="643"/>
      <c r="B21" s="642"/>
      <c r="C21" s="642"/>
      <c r="D21" s="3404" t="s">
        <v>542</v>
      </c>
      <c r="E21" s="647"/>
      <c r="F21" s="646">
        <v>429.31799999999998</v>
      </c>
      <c r="G21" s="2558">
        <v>451.63630000000001</v>
      </c>
      <c r="H21" s="2559">
        <v>326.09399999999999</v>
      </c>
      <c r="I21" s="3407">
        <v>300.1755</v>
      </c>
      <c r="J21" s="2557"/>
      <c r="K21" s="2557"/>
      <c r="L21" s="2553"/>
      <c r="M21" s="2548"/>
      <c r="N21" s="2548"/>
    </row>
    <row r="22" spans="1:24" s="639" customFormat="1" ht="14.25" customHeight="1" x14ac:dyDescent="0.25">
      <c r="A22" s="643"/>
      <c r="B22" s="642"/>
      <c r="C22" s="642"/>
      <c r="D22" s="3403" t="s">
        <v>541</v>
      </c>
      <c r="E22" s="649"/>
      <c r="F22" s="648">
        <v>1627.7739999999999</v>
      </c>
      <c r="G22" s="2556">
        <v>2018.318</v>
      </c>
      <c r="H22" s="2555">
        <v>1618.6890000000001</v>
      </c>
      <c r="I22" s="3406">
        <v>1545.297</v>
      </c>
      <c r="J22" s="2560"/>
      <c r="K22" s="2557"/>
      <c r="L22" s="2553"/>
      <c r="M22" s="2548"/>
      <c r="N22" s="2548"/>
    </row>
    <row r="23" spans="1:24" s="639" customFormat="1" ht="14.25" customHeight="1" x14ac:dyDescent="0.25">
      <c r="A23" s="643"/>
      <c r="B23" s="642"/>
      <c r="C23" s="642"/>
      <c r="D23" s="3404" t="s">
        <v>540</v>
      </c>
      <c r="E23" s="647"/>
      <c r="F23" s="646">
        <v>957.95010000000002</v>
      </c>
      <c r="G23" s="2558">
        <v>919.18079999999998</v>
      </c>
      <c r="H23" s="2559">
        <v>795.58730000000003</v>
      </c>
      <c r="I23" s="3407">
        <v>614.72720000000004</v>
      </c>
      <c r="J23" s="2557"/>
      <c r="K23" s="2557"/>
      <c r="L23" s="2553"/>
      <c r="M23" s="2548"/>
      <c r="N23" s="2548"/>
    </row>
    <row r="24" spans="1:24" s="639" customFormat="1" ht="14.25" customHeight="1" x14ac:dyDescent="0.25">
      <c r="A24" s="643"/>
      <c r="B24" s="642"/>
      <c r="C24" s="642"/>
      <c r="D24" s="3403" t="s">
        <v>539</v>
      </c>
      <c r="E24" s="649"/>
      <c r="F24" s="648">
        <v>4926.2079999999996</v>
      </c>
      <c r="G24" s="2556">
        <v>4778.07</v>
      </c>
      <c r="H24" s="2555">
        <v>4018.2150000000001</v>
      </c>
      <c r="I24" s="3406">
        <v>3701.4319999999998</v>
      </c>
      <c r="J24" s="2560"/>
      <c r="K24" s="2557"/>
      <c r="L24" s="2553"/>
      <c r="M24" s="2548"/>
      <c r="N24" s="2548"/>
    </row>
    <row r="25" spans="1:24" s="639" customFormat="1" ht="14.25" customHeight="1" x14ac:dyDescent="0.25">
      <c r="A25" s="643"/>
      <c r="B25" s="642"/>
      <c r="C25" s="642"/>
      <c r="D25" s="3404" t="s">
        <v>538</v>
      </c>
      <c r="E25" s="647"/>
      <c r="F25" s="646">
        <v>2181.7800000000002</v>
      </c>
      <c r="G25" s="2558">
        <v>2837.3449999999998</v>
      </c>
      <c r="H25" s="2559">
        <v>2521.9490000000001</v>
      </c>
      <c r="I25" s="3407">
        <v>2705.268</v>
      </c>
      <c r="J25" s="2560"/>
      <c r="K25" s="2557"/>
      <c r="L25" s="2553"/>
      <c r="M25" s="2548"/>
      <c r="N25" s="2548"/>
    </row>
    <row r="26" spans="1:24" s="639" customFormat="1" ht="14.25" customHeight="1" x14ac:dyDescent="0.25">
      <c r="A26" s="643"/>
      <c r="B26" s="642"/>
      <c r="C26" s="642"/>
      <c r="D26" s="3403" t="s">
        <v>537</v>
      </c>
      <c r="E26" s="649"/>
      <c r="F26" s="648">
        <v>7450.4250000000002</v>
      </c>
      <c r="G26" s="2561">
        <v>6684.4520000000002</v>
      </c>
      <c r="H26" s="2562">
        <v>6407.7039999999997</v>
      </c>
      <c r="I26" s="3408">
        <v>6136.3130000000001</v>
      </c>
      <c r="J26" s="2560"/>
      <c r="K26" s="2557"/>
      <c r="L26" s="2553"/>
      <c r="M26" s="2548"/>
      <c r="N26" s="2548"/>
    </row>
    <row r="27" spans="1:24" s="639" customFormat="1" ht="14.25" customHeight="1" x14ac:dyDescent="0.25">
      <c r="A27" s="643"/>
      <c r="B27" s="642"/>
      <c r="C27" s="642"/>
      <c r="D27" s="3404" t="s">
        <v>536</v>
      </c>
      <c r="E27" s="647"/>
      <c r="F27" s="646">
        <v>4995.9049999999997</v>
      </c>
      <c r="G27" s="2558">
        <v>5192.95</v>
      </c>
      <c r="H27" s="2559">
        <v>4056.8090000000002</v>
      </c>
      <c r="I27" s="3407">
        <v>3940.6120000000001</v>
      </c>
      <c r="J27" s="2563"/>
      <c r="K27" s="2557"/>
      <c r="L27" s="2553"/>
      <c r="M27" s="2548"/>
      <c r="N27" s="2548"/>
    </row>
    <row r="28" spans="1:24" s="639" customFormat="1" ht="14.25" customHeight="1" x14ac:dyDescent="0.25">
      <c r="A28" s="643"/>
      <c r="B28" s="642"/>
      <c r="C28" s="642"/>
      <c r="D28" s="3232" t="s">
        <v>535</v>
      </c>
      <c r="E28" s="645"/>
      <c r="F28" s="644">
        <v>1715.1780000000001</v>
      </c>
      <c r="G28" s="2556">
        <v>1708.8979999999999</v>
      </c>
      <c r="H28" s="2555">
        <v>1448.81</v>
      </c>
      <c r="I28" s="3406">
        <v>1345.7550000000001</v>
      </c>
      <c r="J28" s="2560"/>
      <c r="K28" s="2557"/>
      <c r="L28" s="2553"/>
      <c r="M28" s="2548"/>
      <c r="N28" s="2548"/>
    </row>
    <row r="29" spans="1:24" s="639" customFormat="1" ht="14.25" customHeight="1" x14ac:dyDescent="0.25">
      <c r="A29" s="643"/>
      <c r="B29" s="642"/>
      <c r="C29" s="642"/>
      <c r="D29" s="3405" t="s">
        <v>534</v>
      </c>
      <c r="E29" s="641"/>
      <c r="F29" s="640">
        <v>528.53089999999997</v>
      </c>
      <c r="G29" s="2564">
        <v>564.04269999999997</v>
      </c>
      <c r="H29" s="2565">
        <v>431.9572</v>
      </c>
      <c r="I29" s="3409">
        <v>370.19580000000002</v>
      </c>
      <c r="J29" s="2563"/>
      <c r="K29" s="2557"/>
      <c r="L29" s="2553"/>
      <c r="M29" s="2548"/>
      <c r="N29" s="2548"/>
    </row>
    <row r="31" spans="1:24" s="2569" customFormat="1" ht="14.25" customHeight="1" x14ac:dyDescent="0.25">
      <c r="A31" s="2566"/>
      <c r="B31" s="2567"/>
      <c r="C31" s="2567"/>
      <c r="D31" s="1579" t="s">
        <v>262</v>
      </c>
      <c r="E31" s="2568" t="s">
        <v>533</v>
      </c>
      <c r="F31" s="1579"/>
      <c r="G31" s="1579"/>
      <c r="J31" s="1579" t="s">
        <v>518</v>
      </c>
      <c r="L31" s="2570"/>
      <c r="M31" s="2570"/>
      <c r="N31" s="2570"/>
      <c r="O31" s="2570"/>
      <c r="P31" s="2570"/>
      <c r="Q31" s="2570"/>
      <c r="R31" s="2570"/>
      <c r="S31" s="701"/>
      <c r="T31" s="701"/>
    </row>
    <row r="32" spans="1:24" s="2569" customFormat="1" ht="14.25" customHeight="1" x14ac:dyDescent="0.25">
      <c r="A32" s="2566"/>
      <c r="B32" s="2567"/>
      <c r="C32" s="2567"/>
      <c r="D32" s="3664" t="s">
        <v>139</v>
      </c>
      <c r="E32" s="3665"/>
      <c r="F32" s="3665"/>
      <c r="G32" s="3665"/>
      <c r="H32" s="3665"/>
      <c r="I32" s="3665"/>
      <c r="J32" s="3665"/>
      <c r="K32" s="3665"/>
      <c r="L32" s="3665"/>
      <c r="M32" s="3665"/>
      <c r="N32" s="3666"/>
      <c r="O32" s="3664" t="s">
        <v>141</v>
      </c>
      <c r="P32" s="3665"/>
      <c r="Q32" s="3665"/>
      <c r="R32" s="3665"/>
      <c r="S32" s="3665"/>
      <c r="T32" s="3665"/>
      <c r="U32" s="3665"/>
      <c r="V32" s="3665"/>
      <c r="W32" s="3665"/>
      <c r="X32" s="3666"/>
    </row>
    <row r="33" spans="1:24" s="2569" customFormat="1" ht="14.25" customHeight="1" x14ac:dyDescent="0.25">
      <c r="A33" s="2566"/>
      <c r="B33" s="2567"/>
      <c r="C33" s="2567"/>
      <c r="D33" s="3410"/>
      <c r="E33" s="3667" t="s">
        <v>517</v>
      </c>
      <c r="F33" s="3667"/>
      <c r="G33" s="3667"/>
      <c r="H33" s="3667"/>
      <c r="I33" s="3668"/>
      <c r="J33" s="3667" t="s">
        <v>516</v>
      </c>
      <c r="K33" s="3667"/>
      <c r="L33" s="3667"/>
      <c r="M33" s="3667"/>
      <c r="N33" s="3669"/>
      <c r="O33" s="3670" t="s">
        <v>517</v>
      </c>
      <c r="P33" s="3667"/>
      <c r="Q33" s="3667"/>
      <c r="R33" s="3667"/>
      <c r="S33" s="3668"/>
      <c r="T33" s="3667" t="s">
        <v>516</v>
      </c>
      <c r="U33" s="3667"/>
      <c r="V33" s="3667"/>
      <c r="W33" s="3667"/>
      <c r="X33" s="3669"/>
    </row>
    <row r="34" spans="1:24" s="2575" customFormat="1" ht="14.25" customHeight="1" x14ac:dyDescent="0.25">
      <c r="A34" s="2571"/>
      <c r="B34" s="2572"/>
      <c r="C34" s="2572"/>
      <c r="D34" s="3411"/>
      <c r="E34" s="2540" t="s">
        <v>532</v>
      </c>
      <c r="F34" s="2540" t="s">
        <v>531</v>
      </c>
      <c r="G34" s="2540" t="s">
        <v>530</v>
      </c>
      <c r="H34" s="2540" t="s">
        <v>529</v>
      </c>
      <c r="I34" s="2573" t="s">
        <v>521</v>
      </c>
      <c r="J34" s="2540" t="s">
        <v>532</v>
      </c>
      <c r="K34" s="2540" t="s">
        <v>531</v>
      </c>
      <c r="L34" s="2540" t="s">
        <v>530</v>
      </c>
      <c r="M34" s="2540" t="s">
        <v>529</v>
      </c>
      <c r="N34" s="2574" t="s">
        <v>521</v>
      </c>
      <c r="O34" s="3415" t="s">
        <v>532</v>
      </c>
      <c r="P34" s="2540" t="s">
        <v>531</v>
      </c>
      <c r="Q34" s="2540" t="s">
        <v>530</v>
      </c>
      <c r="R34" s="2540" t="s">
        <v>529</v>
      </c>
      <c r="S34" s="2573" t="s">
        <v>521</v>
      </c>
      <c r="T34" s="2540" t="s">
        <v>532</v>
      </c>
      <c r="U34" s="2540" t="s">
        <v>531</v>
      </c>
      <c r="V34" s="2540" t="s">
        <v>530</v>
      </c>
      <c r="W34" s="2540" t="s">
        <v>529</v>
      </c>
      <c r="X34" s="2574" t="s">
        <v>521</v>
      </c>
    </row>
    <row r="35" spans="1:24" s="2569" customFormat="1" ht="14.25" customHeight="1" x14ac:dyDescent="0.25">
      <c r="A35" s="2566"/>
      <c r="B35" s="2567"/>
      <c r="C35" s="2567"/>
      <c r="D35" s="3412" t="s">
        <v>509</v>
      </c>
      <c r="E35" s="1602">
        <v>1015.8250819302167</v>
      </c>
      <c r="F35" s="1602">
        <v>523.43388760613573</v>
      </c>
      <c r="G35" s="1602">
        <v>210.24362819461308</v>
      </c>
      <c r="H35" s="1602">
        <v>21.271626825338192</v>
      </c>
      <c r="I35" s="2576">
        <v>910</v>
      </c>
      <c r="J35" s="1602">
        <v>2473.9299447047347</v>
      </c>
      <c r="K35" s="1602">
        <v>2428.181115286251</v>
      </c>
      <c r="L35" s="1602">
        <v>4595.509485686629</v>
      </c>
      <c r="M35" s="1602">
        <v>3045.6351530683401</v>
      </c>
      <c r="N35" s="2577">
        <v>2474</v>
      </c>
      <c r="O35" s="3426">
        <v>1532.3788400216599</v>
      </c>
      <c r="P35" s="1602">
        <v>1537.5759120269258</v>
      </c>
      <c r="Q35" s="1602">
        <v>914.12670288841252</v>
      </c>
      <c r="R35" s="1602">
        <v>395.03828472250245</v>
      </c>
      <c r="S35" s="2576">
        <v>1508</v>
      </c>
      <c r="T35" s="1602">
        <v>2664</v>
      </c>
      <c r="U35" s="1602">
        <v>2940</v>
      </c>
      <c r="V35" s="1602">
        <v>2904</v>
      </c>
      <c r="W35" s="1602">
        <v>2592</v>
      </c>
      <c r="X35" s="2577">
        <v>2676</v>
      </c>
    </row>
    <row r="36" spans="1:24" s="2569" customFormat="1" ht="14.25" customHeight="1" x14ac:dyDescent="0.25">
      <c r="A36" s="2566"/>
      <c r="B36" s="2567"/>
      <c r="C36" s="2567"/>
      <c r="D36" s="3412" t="s">
        <v>508</v>
      </c>
      <c r="E36" s="1602">
        <v>1977.1391244245483</v>
      </c>
      <c r="F36" s="1602">
        <v>1493.0916071828844</v>
      </c>
      <c r="G36" s="1602">
        <v>711.27624841504201</v>
      </c>
      <c r="H36" s="1602">
        <v>275.19056895435261</v>
      </c>
      <c r="I36" s="2576">
        <v>1879</v>
      </c>
      <c r="J36" s="1602">
        <v>3295.5465991090332</v>
      </c>
      <c r="K36" s="1602">
        <v>3604.3388838889568</v>
      </c>
      <c r="L36" s="1602">
        <v>4595.509485686629</v>
      </c>
      <c r="M36" s="1602">
        <v>3615.6261170070593</v>
      </c>
      <c r="N36" s="2577">
        <v>3310</v>
      </c>
      <c r="O36" s="3426">
        <v>2554.1968708971017</v>
      </c>
      <c r="P36" s="1602">
        <v>2791.8673174102423</v>
      </c>
      <c r="Q36" s="1602">
        <v>1903.492460624909</v>
      </c>
      <c r="R36" s="1602">
        <v>929.50895656427372</v>
      </c>
      <c r="S36" s="2576">
        <v>2543</v>
      </c>
      <c r="T36" s="1602">
        <v>3648.2796365927775</v>
      </c>
      <c r="U36" s="1602">
        <v>3648.2796365927775</v>
      </c>
      <c r="V36" s="1602">
        <v>3648.2796365927775</v>
      </c>
      <c r="W36" s="1602">
        <v>3648.2796365927775</v>
      </c>
      <c r="X36" s="2577">
        <v>3667</v>
      </c>
    </row>
    <row r="37" spans="1:24" s="2569" customFormat="1" ht="14.25" customHeight="1" x14ac:dyDescent="0.25">
      <c r="A37" s="2566"/>
      <c r="B37" s="2567"/>
      <c r="C37" s="2567"/>
      <c r="D37" s="3412" t="s">
        <v>507</v>
      </c>
      <c r="E37" s="1602">
        <v>180065.0831890908</v>
      </c>
      <c r="F37" s="1602">
        <v>158724.91537497027</v>
      </c>
      <c r="G37" s="1602">
        <v>182859.26517402279</v>
      </c>
      <c r="H37" s="1602" t="s">
        <v>166</v>
      </c>
      <c r="I37" s="2576">
        <v>191194</v>
      </c>
      <c r="J37" s="1602">
        <v>122647.8465636472</v>
      </c>
      <c r="K37" s="1602">
        <v>119786.64776567157</v>
      </c>
      <c r="L37" s="2578" t="s">
        <v>528</v>
      </c>
      <c r="M37" s="1602">
        <v>145461.21148101156</v>
      </c>
      <c r="N37" s="2577">
        <v>139674</v>
      </c>
      <c r="O37" s="3426">
        <v>201302.4941161192</v>
      </c>
      <c r="P37" s="1602">
        <v>195036.29140775063</v>
      </c>
      <c r="Q37" s="1602">
        <v>230959.4103577598</v>
      </c>
      <c r="R37" s="1602">
        <v>247154.91154842943</v>
      </c>
      <c r="S37" s="2576">
        <v>230531</v>
      </c>
      <c r="T37" s="1602">
        <v>159000</v>
      </c>
      <c r="U37" s="1602">
        <v>144576</v>
      </c>
      <c r="V37" s="2578">
        <v>151584</v>
      </c>
      <c r="W37" s="1602">
        <v>188712</v>
      </c>
      <c r="X37" s="2577">
        <v>178369</v>
      </c>
    </row>
    <row r="38" spans="1:24" s="2584" customFormat="1" ht="14.25" customHeight="1" x14ac:dyDescent="0.25">
      <c r="A38" s="2579"/>
      <c r="B38" s="2580"/>
      <c r="C38" s="2580"/>
      <c r="D38" s="3413" t="s">
        <v>506</v>
      </c>
      <c r="E38" s="2581">
        <v>103022.11778233651</v>
      </c>
      <c r="F38" s="2581">
        <v>99318.856081532795</v>
      </c>
      <c r="G38" s="2581">
        <v>115689.07211200469</v>
      </c>
      <c r="H38" s="2581">
        <v>156120.27874706947</v>
      </c>
      <c r="I38" s="2582">
        <v>126978</v>
      </c>
      <c r="J38" s="2581">
        <v>73702.657115350987</v>
      </c>
      <c r="K38" s="2581">
        <v>72241.626243807812</v>
      </c>
      <c r="L38" s="2581">
        <v>97991.871179677968</v>
      </c>
      <c r="M38" s="2581">
        <v>114246.43337972766</v>
      </c>
      <c r="N38" s="2583">
        <v>96052</v>
      </c>
      <c r="O38" s="3427">
        <v>120071.38255726713</v>
      </c>
      <c r="P38" s="2581">
        <v>129614.65242946499</v>
      </c>
      <c r="Q38" s="2581">
        <v>144082.46234848228</v>
      </c>
      <c r="R38" s="2581">
        <v>191484.40037172273</v>
      </c>
      <c r="S38" s="2582">
        <v>155774</v>
      </c>
      <c r="T38" s="2581">
        <v>91084.431484644592</v>
      </c>
      <c r="U38" s="2581">
        <v>88705.497653451908</v>
      </c>
      <c r="V38" s="2581">
        <v>97855.394083285952</v>
      </c>
      <c r="W38" s="2581">
        <v>148122.23911708963</v>
      </c>
      <c r="X38" s="2583">
        <v>120845</v>
      </c>
    </row>
    <row r="39" spans="1:24" s="2584" customFormat="1" ht="14.25" customHeight="1" x14ac:dyDescent="0.25">
      <c r="A39" s="2579"/>
      <c r="B39" s="2580"/>
      <c r="C39" s="2580"/>
      <c r="D39" s="2585"/>
      <c r="E39" s="2545"/>
      <c r="F39" s="2545"/>
      <c r="G39" s="2545"/>
      <c r="H39" s="2545"/>
      <c r="I39" s="2545"/>
      <c r="J39" s="2545"/>
      <c r="K39" s="2545"/>
      <c r="L39" s="2545"/>
      <c r="M39" s="2570"/>
      <c r="N39" s="2570"/>
      <c r="O39" s="2570"/>
      <c r="P39" s="2570"/>
      <c r="Q39" s="2570"/>
      <c r="R39" s="2570"/>
      <c r="S39" s="701"/>
      <c r="T39" s="701"/>
    </row>
    <row r="40" spans="1:24" s="2584" customFormat="1" ht="14.25" customHeight="1" x14ac:dyDescent="0.25">
      <c r="A40" s="2579"/>
      <c r="B40" s="2580"/>
      <c r="C40" s="2580"/>
      <c r="D40" s="2585"/>
      <c r="E40" s="2545"/>
      <c r="F40" s="2545"/>
      <c r="G40" s="2545"/>
      <c r="H40" s="2545"/>
      <c r="I40" s="2545"/>
      <c r="J40" s="2545"/>
      <c r="K40" s="2545"/>
      <c r="L40" s="2545"/>
      <c r="M40" s="2570"/>
      <c r="N40" s="2570"/>
      <c r="O40" s="2570"/>
      <c r="P40" s="2570"/>
      <c r="Q40" s="2570"/>
      <c r="R40" s="2570"/>
      <c r="S40" s="701"/>
      <c r="T40" s="701"/>
    </row>
    <row r="41" spans="1:24" s="2584" customFormat="1" ht="14.25" customHeight="1" x14ac:dyDescent="0.25">
      <c r="A41" s="2579"/>
      <c r="B41" s="2580"/>
      <c r="C41" s="2580"/>
      <c r="D41" s="2585"/>
      <c r="E41" s="2545"/>
      <c r="F41" s="2545"/>
      <c r="G41" s="2545"/>
      <c r="H41" s="2545"/>
      <c r="I41" s="2545"/>
      <c r="J41" s="2545"/>
      <c r="K41" s="2545"/>
      <c r="L41" s="2545"/>
      <c r="M41" s="2570"/>
      <c r="N41" s="2570"/>
      <c r="O41" s="2570"/>
      <c r="P41" s="2570"/>
      <c r="Q41" s="2570"/>
      <c r="R41" s="2570"/>
      <c r="S41" s="701"/>
      <c r="T41" s="701"/>
    </row>
    <row r="42" spans="1:24" s="2584" customFormat="1" ht="14.25" customHeight="1" x14ac:dyDescent="0.25">
      <c r="A42" s="2579"/>
      <c r="B42" s="2580"/>
      <c r="C42" s="2580"/>
      <c r="D42" s="1579" t="s">
        <v>278</v>
      </c>
      <c r="E42" s="2568" t="s">
        <v>527</v>
      </c>
      <c r="F42" s="2545"/>
      <c r="G42" s="2545"/>
      <c r="H42" s="2545"/>
      <c r="I42" s="2545"/>
      <c r="J42" s="2545"/>
      <c r="K42" s="2545"/>
      <c r="L42" s="2545"/>
      <c r="M42" s="2570"/>
      <c r="N42" s="2570"/>
      <c r="O42" s="2570"/>
      <c r="P42" s="2570"/>
      <c r="Q42" s="2570"/>
      <c r="R42" s="2570"/>
      <c r="S42" s="701"/>
      <c r="T42" s="701"/>
    </row>
    <row r="43" spans="1:24" s="2584" customFormat="1" ht="14.25" customHeight="1" x14ac:dyDescent="0.25">
      <c r="A43" s="2579"/>
      <c r="B43" s="2580"/>
      <c r="C43" s="2580"/>
      <c r="D43" s="3414"/>
      <c r="E43" s="3689" t="s">
        <v>139</v>
      </c>
      <c r="F43" s="3689"/>
      <c r="G43" s="3689"/>
      <c r="H43" s="3689"/>
      <c r="I43" s="3689"/>
      <c r="J43" s="3689"/>
      <c r="K43" s="3689"/>
      <c r="L43" s="3689"/>
      <c r="M43" s="3690" t="s">
        <v>141</v>
      </c>
      <c r="N43" s="3690"/>
      <c r="O43" s="3690"/>
      <c r="P43" s="3690"/>
      <c r="Q43" s="3690"/>
      <c r="R43" s="3690"/>
      <c r="S43" s="3690"/>
      <c r="T43" s="3691"/>
    </row>
    <row r="44" spans="1:24" s="2588" customFormat="1" ht="14.25" customHeight="1" x14ac:dyDescent="0.25">
      <c r="A44" s="2579"/>
      <c r="B44" s="2586"/>
      <c r="C44" s="2586"/>
      <c r="D44" s="3415"/>
      <c r="E44" s="3692" t="s">
        <v>517</v>
      </c>
      <c r="F44" s="3692"/>
      <c r="G44" s="3692"/>
      <c r="H44" s="3693"/>
      <c r="I44" s="3661" t="s">
        <v>516</v>
      </c>
      <c r="J44" s="3662"/>
      <c r="K44" s="3662"/>
      <c r="L44" s="3663"/>
      <c r="M44" s="3694" t="s">
        <v>517</v>
      </c>
      <c r="N44" s="3695"/>
      <c r="O44" s="3695"/>
      <c r="P44" s="3696"/>
      <c r="Q44" s="3661" t="s">
        <v>516</v>
      </c>
      <c r="R44" s="3662"/>
      <c r="S44" s="3662"/>
      <c r="T44" s="3663"/>
      <c r="U44" s="2587"/>
    </row>
    <row r="45" spans="1:24" s="2594" customFormat="1" ht="14.25" customHeight="1" x14ac:dyDescent="0.25">
      <c r="A45" s="2579"/>
      <c r="B45" s="2589"/>
      <c r="C45" s="2589"/>
      <c r="D45" s="3415" t="s">
        <v>413</v>
      </c>
      <c r="E45" s="2590" t="s">
        <v>526</v>
      </c>
      <c r="F45" s="2590" t="s">
        <v>525</v>
      </c>
      <c r="G45" s="2590" t="s">
        <v>524</v>
      </c>
      <c r="H45" s="2591" t="s">
        <v>523</v>
      </c>
      <c r="I45" s="2592" t="s">
        <v>526</v>
      </c>
      <c r="J45" s="2590" t="s">
        <v>525</v>
      </c>
      <c r="K45" s="2590" t="s">
        <v>524</v>
      </c>
      <c r="L45" s="2591" t="s">
        <v>523</v>
      </c>
      <c r="M45" s="2592" t="s">
        <v>526</v>
      </c>
      <c r="N45" s="2590" t="s">
        <v>525</v>
      </c>
      <c r="O45" s="2590" t="s">
        <v>524</v>
      </c>
      <c r="P45" s="2591" t="s">
        <v>523</v>
      </c>
      <c r="Q45" s="2590" t="s">
        <v>526</v>
      </c>
      <c r="R45" s="2590" t="s">
        <v>525</v>
      </c>
      <c r="S45" s="2590" t="s">
        <v>524</v>
      </c>
      <c r="T45" s="2591" t="s">
        <v>523</v>
      </c>
      <c r="U45" s="2593"/>
    </row>
    <row r="46" spans="1:24" s="2594" customFormat="1" ht="14.25" customHeight="1" x14ac:dyDescent="0.25">
      <c r="A46" s="2579"/>
      <c r="B46" s="2589"/>
      <c r="C46" s="2589"/>
      <c r="D46" s="3416" t="s">
        <v>415</v>
      </c>
      <c r="E46" s="2595">
        <v>1159.4344209878229</v>
      </c>
      <c r="F46" s="2595">
        <v>2161.8402390518904</v>
      </c>
      <c r="G46" s="2595">
        <v>175929.49276903711</v>
      </c>
      <c r="H46" s="2596">
        <v>118296.35519403589</v>
      </c>
      <c r="I46" s="2597">
        <v>2474.7275038000962</v>
      </c>
      <c r="J46" s="2595">
        <v>3307.1620389995328</v>
      </c>
      <c r="K46" s="2595">
        <v>122360.50616035551</v>
      </c>
      <c r="L46" s="2596">
        <v>81510.542260775968</v>
      </c>
      <c r="M46" s="2597">
        <v>1525.8856049654059</v>
      </c>
      <c r="N46" s="2595">
        <v>2506.0891704860992</v>
      </c>
      <c r="O46" s="2595">
        <v>229475.76050908508</v>
      </c>
      <c r="P46" s="2596">
        <v>145466.73503796521</v>
      </c>
      <c r="Q46" s="2595">
        <v>2645.1506818033263</v>
      </c>
      <c r="R46" s="2595">
        <v>3588.9350753009312</v>
      </c>
      <c r="S46" s="2595">
        <v>171259.76684203325</v>
      </c>
      <c r="T46" s="2596">
        <v>107662.86556852181</v>
      </c>
      <c r="U46" s="2593"/>
    </row>
    <row r="47" spans="1:24" s="2594" customFormat="1" ht="14.25" customHeight="1" x14ac:dyDescent="0.25">
      <c r="A47" s="2579"/>
      <c r="B47" s="2589"/>
      <c r="C47" s="2589"/>
      <c r="D47" s="3416" t="s">
        <v>417</v>
      </c>
      <c r="E47" s="2595">
        <v>1068.9424774356057</v>
      </c>
      <c r="F47" s="2595">
        <v>2096.5695056906966</v>
      </c>
      <c r="G47" s="2595">
        <v>170748.87670586261</v>
      </c>
      <c r="H47" s="2596">
        <v>112948.86438354949</v>
      </c>
      <c r="I47" s="2597">
        <v>2527.9080881877776</v>
      </c>
      <c r="J47" s="2595">
        <v>3398.3124100989598</v>
      </c>
      <c r="K47" s="2595">
        <v>114565.05849461372</v>
      </c>
      <c r="L47" s="2596">
        <v>76389.973515613907</v>
      </c>
      <c r="M47" s="2597">
        <v>1625.4473616940591</v>
      </c>
      <c r="N47" s="2595">
        <v>2787.513908512924</v>
      </c>
      <c r="O47" s="2595">
        <v>219681.47219616245</v>
      </c>
      <c r="P47" s="2596">
        <v>139103.25279862332</v>
      </c>
      <c r="Q47" s="2595">
        <v>2865.7779302075751</v>
      </c>
      <c r="R47" s="2595">
        <v>3782.994473501868</v>
      </c>
      <c r="S47" s="2595">
        <v>148617.24622100353</v>
      </c>
      <c r="T47" s="2596">
        <v>94622.611359550123</v>
      </c>
      <c r="U47" s="2593"/>
    </row>
    <row r="48" spans="1:24" s="2594" customFormat="1" ht="14.25" customHeight="1" x14ac:dyDescent="0.25">
      <c r="A48" s="2579"/>
      <c r="B48" s="2589"/>
      <c r="C48" s="2589"/>
      <c r="D48" s="3416" t="s">
        <v>420</v>
      </c>
      <c r="E48" s="2595">
        <v>600.93632788448713</v>
      </c>
      <c r="F48" s="2595">
        <v>1445.7668394436414</v>
      </c>
      <c r="G48" s="2595">
        <v>207960.94926740762</v>
      </c>
      <c r="H48" s="2596">
        <v>146279.62749294212</v>
      </c>
      <c r="I48" s="2597">
        <v>2694.6580320756643</v>
      </c>
      <c r="J48" s="2595">
        <v>3542.1643180891242</v>
      </c>
      <c r="K48" s="2595">
        <v>141093.62413100954</v>
      </c>
      <c r="L48" s="2596">
        <v>102798.49652492684</v>
      </c>
      <c r="M48" s="2597">
        <v>1095.1082804797827</v>
      </c>
      <c r="N48" s="2595">
        <v>2179.4953115570088</v>
      </c>
      <c r="O48" s="2595">
        <v>236118.33287321753</v>
      </c>
      <c r="P48" s="2596">
        <v>170313.63673877093</v>
      </c>
      <c r="Q48" s="2595">
        <v>2625.2947053736279</v>
      </c>
      <c r="R48" s="2595">
        <v>3890.5332036903646</v>
      </c>
      <c r="S48" s="2595">
        <v>189050.96671186664</v>
      </c>
      <c r="T48" s="2596">
        <v>133780.81397997175</v>
      </c>
      <c r="U48" s="2593"/>
    </row>
    <row r="49" spans="1:28" s="2594" customFormat="1" ht="14.25" customHeight="1" x14ac:dyDescent="0.25">
      <c r="A49" s="2579"/>
      <c r="B49" s="2589"/>
      <c r="C49" s="2589"/>
      <c r="D49" s="3416" t="s">
        <v>522</v>
      </c>
      <c r="E49" s="2595">
        <v>1004.2505536315114</v>
      </c>
      <c r="F49" s="2595">
        <v>1891.7165202233934</v>
      </c>
      <c r="G49" s="2595">
        <v>185226.0998533997</v>
      </c>
      <c r="H49" s="2596">
        <v>112497.76216534698</v>
      </c>
      <c r="I49" s="2597">
        <v>2457.7399672175729</v>
      </c>
      <c r="J49" s="2595">
        <v>3257.66104502707</v>
      </c>
      <c r="K49" s="2595">
        <v>139342.8154045571</v>
      </c>
      <c r="L49" s="2596">
        <v>85786.057329717296</v>
      </c>
      <c r="M49" s="2597">
        <v>1638.7563015635267</v>
      </c>
      <c r="N49" s="2595">
        <v>2631.2713854369008</v>
      </c>
      <c r="O49" s="2595">
        <v>219074.68904537498</v>
      </c>
      <c r="P49" s="2596">
        <v>139466.82097197935</v>
      </c>
      <c r="Q49" s="2595">
        <v>2684.2963250564899</v>
      </c>
      <c r="R49" s="2595">
        <v>3605.5124870468876</v>
      </c>
      <c r="S49" s="2595">
        <v>182090.8110280367</v>
      </c>
      <c r="T49" s="2596">
        <v>116360.73629316012</v>
      </c>
      <c r="U49" s="2593"/>
    </row>
    <row r="50" spans="1:28" s="2594" customFormat="1" ht="14.25" customHeight="1" x14ac:dyDescent="0.25">
      <c r="A50" s="2579"/>
      <c r="B50" s="2589"/>
      <c r="C50" s="2589"/>
      <c r="D50" s="3416" t="s">
        <v>422</v>
      </c>
      <c r="E50" s="2595">
        <v>1081.6973603181677</v>
      </c>
      <c r="F50" s="2595">
        <v>2041.1454163480671</v>
      </c>
      <c r="G50" s="2595">
        <v>157384.76453707388</v>
      </c>
      <c r="H50" s="2596">
        <v>94412.283257384915</v>
      </c>
      <c r="I50" s="2597">
        <v>2404.2272436964331</v>
      </c>
      <c r="J50" s="2595">
        <v>3137.2704371276072</v>
      </c>
      <c r="K50" s="2595">
        <v>145500.97082690112</v>
      </c>
      <c r="L50" s="2596">
        <v>88544.316845805981</v>
      </c>
      <c r="M50" s="2597">
        <v>1590.0367205452199</v>
      </c>
      <c r="N50" s="2595">
        <v>2645.6083653834171</v>
      </c>
      <c r="O50" s="2595">
        <v>206113.85988192746</v>
      </c>
      <c r="P50" s="2596">
        <v>116028.90289805246</v>
      </c>
      <c r="Q50" s="2595">
        <v>2614.1630691578112</v>
      </c>
      <c r="R50" s="2595">
        <v>3528.1597209645643</v>
      </c>
      <c r="S50" s="2595">
        <v>150465.94515791966</v>
      </c>
      <c r="T50" s="2596">
        <v>92918.529667049996</v>
      </c>
      <c r="U50" s="2593"/>
    </row>
    <row r="51" spans="1:28" s="2594" customFormat="1" ht="14.25" customHeight="1" x14ac:dyDescent="0.25">
      <c r="A51" s="2579"/>
      <c r="B51" s="2589"/>
      <c r="C51" s="2589"/>
      <c r="D51" s="3416" t="s">
        <v>421</v>
      </c>
      <c r="E51" s="2595">
        <v>996.15698312577479</v>
      </c>
      <c r="F51" s="2595">
        <v>2068.1434952083596</v>
      </c>
      <c r="G51" s="2595">
        <v>176729.83873755182</v>
      </c>
      <c r="H51" s="2596">
        <v>105719.6221653461</v>
      </c>
      <c r="I51" s="2597">
        <v>2437.736235885779</v>
      </c>
      <c r="J51" s="2595">
        <v>3259.0843588228054</v>
      </c>
      <c r="K51" s="2595">
        <v>138637.72904946166</v>
      </c>
      <c r="L51" s="2596">
        <v>84314.502541173715</v>
      </c>
      <c r="M51" s="2597">
        <v>1562.1666471126805</v>
      </c>
      <c r="N51" s="2595">
        <v>2488.5855708373429</v>
      </c>
      <c r="O51" s="2595">
        <v>217893.40294566192</v>
      </c>
      <c r="P51" s="2596">
        <v>140021.69318383638</v>
      </c>
      <c r="Q51" s="2595">
        <v>2683.712165445068</v>
      </c>
      <c r="R51" s="2595">
        <v>3735.1236387313452</v>
      </c>
      <c r="S51" s="2595">
        <v>163386.41318750443</v>
      </c>
      <c r="T51" s="2596">
        <v>109634.7263145583</v>
      </c>
      <c r="U51" s="2593"/>
    </row>
    <row r="52" spans="1:28" s="2594" customFormat="1" ht="14.25" customHeight="1" x14ac:dyDescent="0.25">
      <c r="A52" s="2579"/>
      <c r="B52" s="2589"/>
      <c r="C52" s="2589"/>
      <c r="D52" s="3416" t="s">
        <v>419</v>
      </c>
      <c r="E52" s="2595">
        <v>949.27416609473926</v>
      </c>
      <c r="F52" s="2595">
        <v>1890.4685468671466</v>
      </c>
      <c r="G52" s="2595">
        <v>162615.42868619313</v>
      </c>
      <c r="H52" s="2596">
        <v>102940.13047808383</v>
      </c>
      <c r="I52" s="2597">
        <v>2389.9603078869141</v>
      </c>
      <c r="J52" s="2595">
        <v>3343.1708918419381</v>
      </c>
      <c r="K52" s="2595">
        <v>130114.86237457901</v>
      </c>
      <c r="L52" s="2596">
        <v>89653.797013611838</v>
      </c>
      <c r="M52" s="2597">
        <v>1532.3495069330338</v>
      </c>
      <c r="N52" s="2595">
        <v>2440.574818385046</v>
      </c>
      <c r="O52" s="2595">
        <v>273005.24848799035</v>
      </c>
      <c r="P52" s="2596">
        <v>173123.71675820794</v>
      </c>
      <c r="Q52" s="2595">
        <v>2662.3912659040561</v>
      </c>
      <c r="R52" s="2595">
        <v>3629.6205457818114</v>
      </c>
      <c r="S52" s="2595">
        <v>185280.40511431411</v>
      </c>
      <c r="T52" s="2596">
        <v>123293.12271633066</v>
      </c>
      <c r="U52" s="2593"/>
    </row>
    <row r="53" spans="1:28" s="2594" customFormat="1" ht="14.25" customHeight="1" x14ac:dyDescent="0.25">
      <c r="A53" s="2579"/>
      <c r="B53" s="2589"/>
      <c r="C53" s="2589"/>
      <c r="D53" s="3416" t="s">
        <v>416</v>
      </c>
      <c r="E53" s="2595">
        <v>842.5561299135295</v>
      </c>
      <c r="F53" s="2595">
        <v>1931.7255069964783</v>
      </c>
      <c r="G53" s="2595">
        <v>173982.95652726365</v>
      </c>
      <c r="H53" s="2596">
        <v>107470.30192305818</v>
      </c>
      <c r="I53" s="2597">
        <v>2475.8167875095942</v>
      </c>
      <c r="J53" s="2595">
        <v>3356.0617353874991</v>
      </c>
      <c r="K53" s="2595">
        <v>131133.58695487137</v>
      </c>
      <c r="L53" s="2596">
        <v>85211.4821771766</v>
      </c>
      <c r="M53" s="2597">
        <v>1583.9394212766765</v>
      </c>
      <c r="N53" s="2595">
        <v>2661.2993500538073</v>
      </c>
      <c r="O53" s="2595">
        <v>205122.97097568933</v>
      </c>
      <c r="P53" s="2596">
        <v>131776.42160458607</v>
      </c>
      <c r="Q53" s="2595">
        <v>2865.2688573487594</v>
      </c>
      <c r="R53" s="2595">
        <v>3768.9238372811433</v>
      </c>
      <c r="S53" s="2595">
        <v>143102.57447414065</v>
      </c>
      <c r="T53" s="2596">
        <v>92373.371230647535</v>
      </c>
      <c r="U53" s="2593"/>
    </row>
    <row r="54" spans="1:28" s="2594" customFormat="1" ht="14.25" customHeight="1" x14ac:dyDescent="0.25">
      <c r="A54" s="2579"/>
      <c r="B54" s="2589"/>
      <c r="C54" s="2589"/>
      <c r="D54" s="3416" t="s">
        <v>414</v>
      </c>
      <c r="E54" s="2595">
        <v>418.3655486258985</v>
      </c>
      <c r="F54" s="2595">
        <v>1257.0725439072507</v>
      </c>
      <c r="G54" s="2595">
        <v>185649.41293198729</v>
      </c>
      <c r="H54" s="2596">
        <v>130178.91340142586</v>
      </c>
      <c r="I54" s="2597">
        <v>2569.9987770209218</v>
      </c>
      <c r="J54" s="2595">
        <v>3597.2391040640787</v>
      </c>
      <c r="K54" s="2595">
        <v>149657.32867163719</v>
      </c>
      <c r="L54" s="2596">
        <v>107597.8024976821</v>
      </c>
      <c r="M54" s="2597">
        <v>1398.9431250347427</v>
      </c>
      <c r="N54" s="2595">
        <v>2740.4709496862852</v>
      </c>
      <c r="O54" s="2595">
        <v>222136.96545198688</v>
      </c>
      <c r="P54" s="2596">
        <v>156053.49656590517</v>
      </c>
      <c r="Q54" s="2595">
        <v>2868.9582533160624</v>
      </c>
      <c r="R54" s="2595">
        <v>4074.2545397255135</v>
      </c>
      <c r="S54" s="2595">
        <v>164693.01131912923</v>
      </c>
      <c r="T54" s="2596">
        <v>116733.48629740876</v>
      </c>
      <c r="U54" s="2593"/>
    </row>
    <row r="55" spans="1:28" s="2594" customFormat="1" ht="14.25" customHeight="1" x14ac:dyDescent="0.25">
      <c r="A55" s="2579"/>
      <c r="B55" s="2589"/>
      <c r="C55" s="2589"/>
      <c r="D55" s="3417" t="s">
        <v>521</v>
      </c>
      <c r="E55" s="2598">
        <v>910</v>
      </c>
      <c r="F55" s="2598">
        <v>1879</v>
      </c>
      <c r="G55" s="2598">
        <v>191194</v>
      </c>
      <c r="H55" s="2599">
        <v>126978</v>
      </c>
      <c r="I55" s="2600">
        <v>2474</v>
      </c>
      <c r="J55" s="2598">
        <v>3310</v>
      </c>
      <c r="K55" s="2598">
        <v>139674</v>
      </c>
      <c r="L55" s="2599">
        <v>96052</v>
      </c>
      <c r="M55" s="2600">
        <v>1508</v>
      </c>
      <c r="N55" s="2598">
        <v>2543</v>
      </c>
      <c r="O55" s="2598">
        <v>230531</v>
      </c>
      <c r="P55" s="2599">
        <v>155774</v>
      </c>
      <c r="Q55" s="2598">
        <v>2676</v>
      </c>
      <c r="R55" s="2598">
        <v>3667</v>
      </c>
      <c r="S55" s="2598">
        <v>178369</v>
      </c>
      <c r="T55" s="2599">
        <v>120845</v>
      </c>
      <c r="U55" s="2593"/>
    </row>
    <row r="56" spans="1:28" s="2584" customFormat="1" ht="14.25" customHeight="1" x14ac:dyDescent="0.25">
      <c r="A56" s="2579"/>
      <c r="B56" s="2580"/>
      <c r="C56" s="2580"/>
      <c r="D56" s="2585"/>
      <c r="E56" s="2545"/>
      <c r="F56" s="2545"/>
      <c r="G56" s="2545"/>
      <c r="H56" s="2545"/>
      <c r="I56" s="2545"/>
      <c r="J56" s="2545"/>
      <c r="K56" s="2545"/>
      <c r="L56" s="2545"/>
      <c r="M56" s="2570"/>
      <c r="N56" s="2570"/>
      <c r="O56" s="2570"/>
      <c r="P56" s="2570"/>
      <c r="Q56" s="2570"/>
      <c r="R56" s="2570"/>
      <c r="S56" s="701"/>
      <c r="T56" s="701"/>
    </row>
    <row r="57" spans="1:28" s="2584" customFormat="1" ht="14.25" customHeight="1" x14ac:dyDescent="0.25">
      <c r="A57" s="2579"/>
      <c r="B57" s="2580"/>
      <c r="C57" s="2580"/>
      <c r="D57" s="2585"/>
      <c r="E57" s="2545"/>
      <c r="F57" s="2545"/>
      <c r="G57" s="2545"/>
      <c r="H57" s="2545"/>
      <c r="I57" s="2545"/>
      <c r="J57" s="2545"/>
      <c r="K57" s="2545"/>
      <c r="L57" s="2545"/>
      <c r="M57" s="2570"/>
      <c r="N57" s="2570"/>
      <c r="O57" s="2570"/>
      <c r="P57" s="2570"/>
      <c r="Q57" s="2570"/>
      <c r="R57" s="2570"/>
      <c r="S57" s="701"/>
      <c r="T57" s="701"/>
    </row>
    <row r="58" spans="1:28" s="2569" customFormat="1" ht="14.25" customHeight="1" x14ac:dyDescent="0.25">
      <c r="A58" s="2566"/>
      <c r="B58" s="2567"/>
      <c r="C58" s="2567"/>
      <c r="D58" s="2585"/>
      <c r="E58" s="2505"/>
      <c r="F58" s="2505"/>
      <c r="G58" s="2544"/>
      <c r="H58" s="2544"/>
      <c r="I58" s="2516"/>
      <c r="J58" s="2516"/>
      <c r="K58" s="2570"/>
      <c r="L58" s="2570"/>
      <c r="M58" s="2570"/>
      <c r="N58" s="2570"/>
      <c r="O58" s="2570"/>
      <c r="P58" s="2570"/>
      <c r="Q58" s="2570"/>
      <c r="R58" s="2570"/>
      <c r="S58" s="701"/>
      <c r="T58" s="701"/>
    </row>
    <row r="59" spans="1:28" s="2569" customFormat="1" ht="14.25" customHeight="1" x14ac:dyDescent="0.25">
      <c r="A59" s="2566"/>
      <c r="B59" s="2567"/>
      <c r="C59" s="2567"/>
      <c r="D59" s="1579" t="s">
        <v>520</v>
      </c>
      <c r="E59" s="1579" t="s">
        <v>519</v>
      </c>
      <c r="F59" s="1579"/>
      <c r="G59" s="1579"/>
      <c r="H59" s="1579"/>
      <c r="I59" s="1579"/>
      <c r="J59" s="1579" t="s">
        <v>518</v>
      </c>
      <c r="K59" s="2570"/>
      <c r="N59" s="2570"/>
      <c r="O59" s="2570"/>
      <c r="P59" s="2570"/>
      <c r="Q59" s="2601"/>
      <c r="R59" s="2601"/>
      <c r="S59" s="2602"/>
      <c r="T59" s="2602"/>
      <c r="U59" s="2603"/>
      <c r="V59" s="2603"/>
      <c r="W59" s="2603"/>
      <c r="X59" s="2603"/>
      <c r="Y59" s="2603"/>
      <c r="Z59" s="2603"/>
      <c r="AA59" s="2603"/>
      <c r="AB59" s="2603"/>
    </row>
    <row r="60" spans="1:28" s="2569" customFormat="1" ht="14.25" customHeight="1" x14ac:dyDescent="0.25">
      <c r="A60" s="2566"/>
      <c r="B60" s="2567"/>
      <c r="C60" s="2567"/>
      <c r="D60" s="3664" t="s">
        <v>139</v>
      </c>
      <c r="E60" s="3679"/>
      <c r="F60" s="3679"/>
      <c r="G60" s="3679"/>
      <c r="H60" s="3679"/>
      <c r="I60" s="3679"/>
      <c r="J60" s="3679"/>
      <c r="K60" s="3679"/>
      <c r="L60" s="3679"/>
      <c r="M60" s="3679"/>
      <c r="N60" s="3679"/>
      <c r="O60" s="3679"/>
      <c r="P60" s="3680"/>
      <c r="Q60" s="3681" t="s">
        <v>141</v>
      </c>
      <c r="R60" s="3682"/>
      <c r="S60" s="3682"/>
      <c r="T60" s="3682"/>
      <c r="U60" s="3682"/>
      <c r="V60" s="3682"/>
      <c r="W60" s="3682"/>
      <c r="X60" s="3682"/>
      <c r="Y60" s="3682"/>
      <c r="Z60" s="3682"/>
      <c r="AA60" s="3682"/>
      <c r="AB60" s="3683"/>
    </row>
    <row r="61" spans="1:28" s="2605" customFormat="1" ht="14.25" x14ac:dyDescent="0.2">
      <c r="A61" s="2566"/>
      <c r="B61" s="2604"/>
      <c r="C61" s="2604"/>
      <c r="D61" s="3418"/>
      <c r="E61" s="3684" t="s">
        <v>517</v>
      </c>
      <c r="F61" s="3685"/>
      <c r="G61" s="3685"/>
      <c r="H61" s="3685"/>
      <c r="I61" s="3685"/>
      <c r="J61" s="3686"/>
      <c r="K61" s="3687" t="s">
        <v>516</v>
      </c>
      <c r="L61" s="3685"/>
      <c r="M61" s="3685"/>
      <c r="N61" s="3685"/>
      <c r="O61" s="3685"/>
      <c r="P61" s="3686"/>
      <c r="Q61" s="3687" t="s">
        <v>517</v>
      </c>
      <c r="R61" s="3685"/>
      <c r="S61" s="3685"/>
      <c r="T61" s="3685"/>
      <c r="U61" s="3685"/>
      <c r="V61" s="3686"/>
      <c r="W61" s="3687" t="s">
        <v>516</v>
      </c>
      <c r="X61" s="3685"/>
      <c r="Y61" s="3685"/>
      <c r="Z61" s="3685"/>
      <c r="AA61" s="3685"/>
      <c r="AB61" s="3688"/>
    </row>
    <row r="62" spans="1:28" s="2605" customFormat="1" ht="14.25" customHeight="1" x14ac:dyDescent="0.2">
      <c r="A62" s="2566"/>
      <c r="B62" s="2604"/>
      <c r="C62" s="2604"/>
      <c r="D62" s="3418"/>
      <c r="E62" s="3672" t="s">
        <v>515</v>
      </c>
      <c r="F62" s="3673"/>
      <c r="G62" s="3674" t="s">
        <v>514</v>
      </c>
      <c r="H62" s="3675"/>
      <c r="I62" s="3675"/>
      <c r="J62" s="3677"/>
      <c r="K62" s="3672" t="s">
        <v>515</v>
      </c>
      <c r="L62" s="3673"/>
      <c r="M62" s="3674" t="s">
        <v>514</v>
      </c>
      <c r="N62" s="3675"/>
      <c r="O62" s="3675"/>
      <c r="P62" s="3677"/>
      <c r="Q62" s="3678" t="s">
        <v>515</v>
      </c>
      <c r="R62" s="3673"/>
      <c r="S62" s="3674" t="s">
        <v>514</v>
      </c>
      <c r="T62" s="3675"/>
      <c r="U62" s="3675"/>
      <c r="V62" s="3677"/>
      <c r="W62" s="3672" t="s">
        <v>515</v>
      </c>
      <c r="X62" s="3673"/>
      <c r="Y62" s="3674" t="s">
        <v>514</v>
      </c>
      <c r="Z62" s="3675"/>
      <c r="AA62" s="3675"/>
      <c r="AB62" s="3676"/>
    </row>
    <row r="63" spans="1:28" s="2605" customFormat="1" ht="24.6" customHeight="1" x14ac:dyDescent="0.2">
      <c r="A63" s="2566"/>
      <c r="B63" s="2604"/>
      <c r="C63" s="2604"/>
      <c r="D63" s="3419"/>
      <c r="E63" s="2606" t="s">
        <v>10</v>
      </c>
      <c r="F63" s="2607" t="s">
        <v>11</v>
      </c>
      <c r="G63" s="2608" t="s">
        <v>513</v>
      </c>
      <c r="H63" s="2608" t="s">
        <v>512</v>
      </c>
      <c r="I63" s="2608" t="s">
        <v>511</v>
      </c>
      <c r="J63" s="2609" t="s">
        <v>510</v>
      </c>
      <c r="K63" s="2606" t="s">
        <v>10</v>
      </c>
      <c r="L63" s="2607" t="s">
        <v>11</v>
      </c>
      <c r="M63" s="2608" t="s">
        <v>513</v>
      </c>
      <c r="N63" s="2608" t="s">
        <v>512</v>
      </c>
      <c r="O63" s="2608" t="s">
        <v>511</v>
      </c>
      <c r="P63" s="2609" t="s">
        <v>510</v>
      </c>
      <c r="Q63" s="3420" t="s">
        <v>10</v>
      </c>
      <c r="R63" s="2607" t="s">
        <v>11</v>
      </c>
      <c r="S63" s="2608" t="s">
        <v>513</v>
      </c>
      <c r="T63" s="2608" t="s">
        <v>512</v>
      </c>
      <c r="U63" s="2608" t="s">
        <v>511</v>
      </c>
      <c r="V63" s="2609" t="s">
        <v>510</v>
      </c>
      <c r="W63" s="2606" t="s">
        <v>10</v>
      </c>
      <c r="X63" s="2607" t="s">
        <v>11</v>
      </c>
      <c r="Y63" s="2608" t="s">
        <v>513</v>
      </c>
      <c r="Z63" s="2608" t="s">
        <v>512</v>
      </c>
      <c r="AA63" s="2608" t="s">
        <v>511</v>
      </c>
      <c r="AB63" s="3421" t="s">
        <v>510</v>
      </c>
    </row>
    <row r="64" spans="1:28" s="2605" customFormat="1" ht="14.25" customHeight="1" x14ac:dyDescent="0.2">
      <c r="A64" s="2566"/>
      <c r="B64" s="2604"/>
      <c r="C64" s="2604"/>
      <c r="D64" s="3412" t="s">
        <v>509</v>
      </c>
      <c r="E64" s="2610">
        <v>730.01642529087076</v>
      </c>
      <c r="F64" s="2611">
        <v>1091.6197416986463</v>
      </c>
      <c r="G64" s="2610">
        <v>653.63032094539653</v>
      </c>
      <c r="H64" s="2610">
        <v>1113.9071650777455</v>
      </c>
      <c r="I64" s="2610">
        <v>1099.3040795176589</v>
      </c>
      <c r="J64" s="2611">
        <v>843.8441433791819</v>
      </c>
      <c r="K64" s="2610">
        <v>2487.9023013644278</v>
      </c>
      <c r="L64" s="2611">
        <v>2463.442392203508</v>
      </c>
      <c r="M64" s="2610">
        <v>2554.0494076713321</v>
      </c>
      <c r="N64" s="2610">
        <v>2513.8369466284203</v>
      </c>
      <c r="O64" s="2610">
        <v>2434.1574173685781</v>
      </c>
      <c r="P64" s="2611">
        <v>2467.6800461889902</v>
      </c>
      <c r="Q64" s="3422">
        <v>1423.2651786676968</v>
      </c>
      <c r="R64" s="2611">
        <v>1571.2522425814248</v>
      </c>
      <c r="S64" s="2610">
        <v>1303.8572827689509</v>
      </c>
      <c r="T64" s="2610">
        <v>1526.6586938347307</v>
      </c>
      <c r="U64" s="2610">
        <v>1634.2265300075933</v>
      </c>
      <c r="V64" s="2611">
        <v>1426.1906912017719</v>
      </c>
      <c r="W64" s="2610">
        <v>2640</v>
      </c>
      <c r="X64" s="2611">
        <v>2700</v>
      </c>
      <c r="Y64" s="2610">
        <v>2754.5380699417037</v>
      </c>
      <c r="Z64" s="2610">
        <v>2763.5580121352214</v>
      </c>
      <c r="AA64" s="2610">
        <v>2623.8576686204433</v>
      </c>
      <c r="AB64" s="3423">
        <v>2681.6509931581541</v>
      </c>
    </row>
    <row r="65" spans="1:30" s="2605" customFormat="1" ht="13.9" customHeight="1" x14ac:dyDescent="0.2">
      <c r="A65" s="2566"/>
      <c r="B65" s="2604"/>
      <c r="C65" s="2604"/>
      <c r="D65" s="3412" t="s">
        <v>508</v>
      </c>
      <c r="E65" s="2610">
        <v>1696.0505952891879</v>
      </c>
      <c r="F65" s="2611">
        <v>2034.2362489319989</v>
      </c>
      <c r="G65" s="2610">
        <v>1608.0000525084276</v>
      </c>
      <c r="H65" s="2610">
        <v>1938.0466246950525</v>
      </c>
      <c r="I65" s="2610">
        <v>2063.9632330747731</v>
      </c>
      <c r="J65" s="2611">
        <v>1879.4804707676951</v>
      </c>
      <c r="K65" s="2610">
        <v>3350.6608814794636</v>
      </c>
      <c r="L65" s="2611">
        <v>3276.1140184867299</v>
      </c>
      <c r="M65" s="2610">
        <v>3464.3919848876344</v>
      </c>
      <c r="N65" s="2610">
        <v>3351.4271182663474</v>
      </c>
      <c r="O65" s="2610">
        <v>3208.5366170607767</v>
      </c>
      <c r="P65" s="2611">
        <v>3457.6735895178008</v>
      </c>
      <c r="Q65" s="3422">
        <v>2481.8021114245798</v>
      </c>
      <c r="R65" s="2611">
        <v>2586.5121191699732</v>
      </c>
      <c r="S65" s="2610">
        <v>2432.9577279457367</v>
      </c>
      <c r="T65" s="2610">
        <v>2588.0337779111742</v>
      </c>
      <c r="U65" s="2610">
        <v>2607.4543382502388</v>
      </c>
      <c r="V65" s="2611">
        <v>2396.480271339311</v>
      </c>
      <c r="W65" s="2610">
        <v>3690.2021783723612</v>
      </c>
      <c r="X65" s="2611">
        <v>3647.848739917903</v>
      </c>
      <c r="Y65" s="2610">
        <v>3834.8381387984737</v>
      </c>
      <c r="Z65" s="2610">
        <v>3786.5359499740907</v>
      </c>
      <c r="AA65" s="2610">
        <v>3550.3736254824453</v>
      </c>
      <c r="AB65" s="3423">
        <v>3666.4597796901271</v>
      </c>
    </row>
    <row r="66" spans="1:30" s="2605" customFormat="1" ht="14.25" customHeight="1" x14ac:dyDescent="0.2">
      <c r="A66" s="2566"/>
      <c r="B66" s="2604"/>
      <c r="C66" s="2604"/>
      <c r="D66" s="3412" t="s">
        <v>507</v>
      </c>
      <c r="E66" s="2610">
        <v>191962.30624713664</v>
      </c>
      <c r="F66" s="2611">
        <v>188519.64889118343</v>
      </c>
      <c r="G66" s="2610">
        <v>192765.86415916329</v>
      </c>
      <c r="H66" s="2610">
        <v>157520.66970084145</v>
      </c>
      <c r="I66" s="2610">
        <v>160504.35731908205</v>
      </c>
      <c r="J66" s="2611">
        <v>186299.3166557739</v>
      </c>
      <c r="K66" s="2610">
        <v>137637.16392278456</v>
      </c>
      <c r="L66" s="2611">
        <v>145290.53108440113</v>
      </c>
      <c r="M66" s="2610">
        <v>140018.37107954416</v>
      </c>
      <c r="N66" s="2610">
        <v>106261.41923171264</v>
      </c>
      <c r="O66" s="2610">
        <v>125735.74032821458</v>
      </c>
      <c r="P66" s="2611">
        <v>142255.43626477593</v>
      </c>
      <c r="Q66" s="3422">
        <v>1031778.637325967</v>
      </c>
      <c r="R66" s="2611">
        <v>279515.91437308618</v>
      </c>
      <c r="S66" s="2610">
        <v>227228.83884211312</v>
      </c>
      <c r="T66" s="2610">
        <v>220943.93726568681</v>
      </c>
      <c r="U66" s="2610">
        <v>186903.33743903032</v>
      </c>
      <c r="V66" s="2611">
        <v>326433.25115246745</v>
      </c>
      <c r="W66" s="2610">
        <v>179004</v>
      </c>
      <c r="X66" s="2611">
        <v>176448</v>
      </c>
      <c r="Y66" s="2610">
        <v>178340.23244172844</v>
      </c>
      <c r="Z66" s="2610">
        <v>132997.58522301281</v>
      </c>
      <c r="AA66" s="2610">
        <v>128880.92352681715</v>
      </c>
      <c r="AB66" s="3423">
        <v>207592.83091687181</v>
      </c>
    </row>
    <row r="67" spans="1:30" s="2605" customFormat="1" ht="14.25" customHeight="1" x14ac:dyDescent="0.2">
      <c r="A67" s="2566"/>
      <c r="B67" s="2604"/>
      <c r="C67" s="2604"/>
      <c r="D67" s="3413" t="s">
        <v>506</v>
      </c>
      <c r="E67" s="2601">
        <v>128598.20654963999</v>
      </c>
      <c r="F67" s="2612">
        <v>121751.25977116897</v>
      </c>
      <c r="G67" s="2601">
        <v>130607.71580864271</v>
      </c>
      <c r="H67" s="2601">
        <v>78531.153309025627</v>
      </c>
      <c r="I67" s="2601">
        <v>90335.281107197428</v>
      </c>
      <c r="J67" s="2612">
        <v>123779.40107977249</v>
      </c>
      <c r="K67" s="2601">
        <v>94908.556420925772</v>
      </c>
      <c r="L67" s="2612">
        <v>99303.432244797979</v>
      </c>
      <c r="M67" s="2601">
        <v>97516.221047472573</v>
      </c>
      <c r="N67" s="2601">
        <v>62156.142857558196</v>
      </c>
      <c r="O67" s="2601">
        <v>65466.883252903972</v>
      </c>
      <c r="P67" s="2612">
        <v>105332.83611978828</v>
      </c>
      <c r="Q67" s="3424">
        <v>159225.06991113786</v>
      </c>
      <c r="R67" s="2612">
        <v>144335.47226732367</v>
      </c>
      <c r="S67" s="2601">
        <v>156883.69905400308</v>
      </c>
      <c r="T67" s="2601">
        <v>101179.07602413891</v>
      </c>
      <c r="U67" s="2601">
        <v>106549.34834987749</v>
      </c>
      <c r="V67" s="2612">
        <v>235553.44428955609</v>
      </c>
      <c r="W67" s="2601">
        <v>122232.10723195202</v>
      </c>
      <c r="X67" s="2612">
        <v>116895.56124414571</v>
      </c>
      <c r="Y67" s="2601">
        <v>121567.99877669982</v>
      </c>
      <c r="Z67" s="2601">
        <v>83492.452984514035</v>
      </c>
      <c r="AA67" s="2601">
        <v>78191.318960059449</v>
      </c>
      <c r="AB67" s="3425">
        <v>164778.34599280875</v>
      </c>
    </row>
    <row r="68" spans="1:30" s="2569" customFormat="1" ht="14.25" customHeight="1" x14ac:dyDescent="0.25">
      <c r="A68" s="2566"/>
      <c r="B68" s="2567"/>
      <c r="C68" s="2567"/>
      <c r="D68" s="2613"/>
      <c r="E68" s="2614"/>
      <c r="F68" s="2614"/>
      <c r="G68" s="2614"/>
      <c r="H68" s="2614"/>
      <c r="I68" s="2614"/>
      <c r="J68" s="2614"/>
      <c r="K68" s="2614"/>
      <c r="L68" s="2614"/>
      <c r="M68" s="2614"/>
      <c r="N68" s="2614"/>
      <c r="O68" s="2614"/>
      <c r="P68" s="2614"/>
      <c r="Q68" s="2614"/>
      <c r="R68" s="2614"/>
      <c r="S68" s="2614"/>
      <c r="T68" s="2614"/>
      <c r="U68" s="2614"/>
      <c r="V68" s="2614"/>
      <c r="W68" s="2614"/>
      <c r="X68" s="2614"/>
      <c r="Y68" s="2614"/>
      <c r="Z68" s="2614"/>
      <c r="AA68" s="2614"/>
      <c r="AB68" s="2614"/>
    </row>
    <row r="69" spans="1:30" s="2569" customFormat="1" ht="14.25" customHeight="1" x14ac:dyDescent="0.25">
      <c r="A69" s="2566"/>
      <c r="B69" s="2567"/>
      <c r="C69" s="2567"/>
      <c r="D69" s="714"/>
      <c r="E69" s="2610"/>
      <c r="F69" s="2610"/>
      <c r="G69" s="2610"/>
      <c r="H69" s="2610"/>
      <c r="I69" s="2610"/>
      <c r="J69" s="2610"/>
      <c r="K69" s="2610"/>
      <c r="L69" s="2610"/>
      <c r="M69" s="2610"/>
      <c r="N69" s="2610"/>
      <c r="O69" s="2610"/>
      <c r="P69" s="2610"/>
      <c r="Q69" s="2610"/>
      <c r="R69" s="2610"/>
      <c r="S69" s="2610"/>
      <c r="T69" s="2610"/>
    </row>
    <row r="70" spans="1:30" s="2569" customFormat="1" ht="14.25" customHeight="1" x14ac:dyDescent="0.25">
      <c r="A70" s="2566"/>
      <c r="B70" s="2567"/>
      <c r="C70" s="2567"/>
      <c r="D70" s="2585"/>
      <c r="E70" s="2505"/>
      <c r="F70" s="2505"/>
      <c r="G70" s="2544"/>
      <c r="H70" s="2544"/>
      <c r="I70" s="2516"/>
      <c r="J70" s="2516"/>
      <c r="K70" s="2570"/>
      <c r="L70" s="2570"/>
      <c r="M70" s="2570"/>
      <c r="N70" s="2570"/>
      <c r="O70" s="2570"/>
      <c r="P70" s="2570"/>
      <c r="Q70" s="2570"/>
      <c r="R70" s="2570"/>
      <c r="S70" s="701"/>
      <c r="T70" s="701"/>
    </row>
    <row r="71" spans="1:30" x14ac:dyDescent="0.25">
      <c r="A71" s="453"/>
      <c r="B71" s="454"/>
      <c r="C71" s="454"/>
      <c r="D71" s="112"/>
      <c r="E71" s="112"/>
      <c r="F71" s="112"/>
      <c r="G71" s="112"/>
      <c r="H71" s="112"/>
      <c r="I71" s="112"/>
      <c r="J71" s="112"/>
      <c r="K71" s="112"/>
      <c r="L71" s="112"/>
      <c r="M71" s="112"/>
      <c r="N71" s="112"/>
      <c r="O71" s="112"/>
      <c r="P71" s="112"/>
      <c r="Q71" s="112"/>
      <c r="R71" s="112"/>
      <c r="S71" s="112"/>
      <c r="T71" s="112"/>
      <c r="AD71" s="2605"/>
    </row>
    <row r="72" spans="1:30" ht="12.75" customHeight="1" x14ac:dyDescent="0.25">
      <c r="A72" s="453">
        <v>5</v>
      </c>
      <c r="B72" s="453" t="s">
        <v>78</v>
      </c>
      <c r="C72" s="453"/>
      <c r="D72" s="3553" t="s">
        <v>505</v>
      </c>
      <c r="E72" s="3554"/>
      <c r="F72" s="3554"/>
      <c r="G72" s="3554"/>
      <c r="H72" s="3554"/>
      <c r="I72" s="3554"/>
      <c r="J72" s="3554"/>
      <c r="K72" s="3554"/>
      <c r="L72" s="3554"/>
      <c r="M72" s="3554"/>
      <c r="N72" s="3554"/>
      <c r="O72" s="3554"/>
      <c r="P72" s="3554"/>
      <c r="Q72" s="3554"/>
      <c r="R72" s="3554"/>
      <c r="S72" s="3554"/>
      <c r="T72" s="3554"/>
      <c r="U72" s="3554"/>
      <c r="V72" s="3554"/>
      <c r="W72" s="3554"/>
      <c r="X72" s="3554"/>
      <c r="Y72" s="3554"/>
      <c r="Z72" s="3554"/>
      <c r="AA72" s="3554"/>
      <c r="AB72" s="3554"/>
      <c r="AC72" s="3555"/>
      <c r="AD72" s="2605"/>
    </row>
    <row r="73" spans="1:30" ht="34.9" customHeight="1" x14ac:dyDescent="0.25">
      <c r="A73" s="472">
        <v>6</v>
      </c>
      <c r="B73" s="472" t="s">
        <v>80</v>
      </c>
      <c r="C73" s="472"/>
      <c r="D73" s="3553" t="s">
        <v>504</v>
      </c>
      <c r="E73" s="3554"/>
      <c r="F73" s="3554"/>
      <c r="G73" s="3554"/>
      <c r="H73" s="3554"/>
      <c r="I73" s="3554"/>
      <c r="J73" s="3554"/>
      <c r="K73" s="3554"/>
      <c r="L73" s="3554"/>
      <c r="M73" s="3554"/>
      <c r="N73" s="3554"/>
      <c r="O73" s="3554"/>
      <c r="P73" s="3554"/>
      <c r="Q73" s="3554"/>
      <c r="R73" s="3554"/>
      <c r="S73" s="3554"/>
      <c r="T73" s="3554"/>
      <c r="U73" s="3554"/>
      <c r="V73" s="3554"/>
      <c r="W73" s="3554"/>
      <c r="X73" s="3554"/>
      <c r="Y73" s="3554"/>
      <c r="Z73" s="3554"/>
      <c r="AA73" s="3554"/>
      <c r="AB73" s="3554"/>
      <c r="AC73" s="3555"/>
      <c r="AD73" s="2605"/>
    </row>
    <row r="74" spans="1:30" ht="27" customHeight="1" x14ac:dyDescent="0.25">
      <c r="A74" s="453">
        <v>7</v>
      </c>
      <c r="B74" s="453" t="s">
        <v>20</v>
      </c>
      <c r="C74" s="453"/>
      <c r="D74" s="3553" t="s">
        <v>503</v>
      </c>
      <c r="E74" s="3554"/>
      <c r="F74" s="3554"/>
      <c r="G74" s="3554"/>
      <c r="H74" s="3554"/>
      <c r="I74" s="3554"/>
      <c r="J74" s="3554"/>
      <c r="K74" s="3554"/>
      <c r="L74" s="3554"/>
      <c r="M74" s="3554"/>
      <c r="N74" s="3554"/>
      <c r="O74" s="3554"/>
      <c r="P74" s="3554"/>
      <c r="Q74" s="3554"/>
      <c r="R74" s="3554"/>
      <c r="S74" s="3554"/>
      <c r="T74" s="3554"/>
      <c r="U74" s="3554"/>
      <c r="V74" s="3554"/>
      <c r="W74" s="3554"/>
      <c r="X74" s="3554"/>
      <c r="Y74" s="3554"/>
      <c r="Z74" s="3554"/>
      <c r="AA74" s="3554"/>
      <c r="AB74" s="3554"/>
      <c r="AC74" s="3555"/>
      <c r="AD74" s="2605"/>
    </row>
    <row r="75" spans="1:30" ht="190.15" customHeight="1" x14ac:dyDescent="0.25">
      <c r="A75" s="453">
        <v>8</v>
      </c>
      <c r="B75" s="453" t="s">
        <v>502</v>
      </c>
      <c r="C75" s="453"/>
      <c r="D75" s="3553" t="s">
        <v>501</v>
      </c>
      <c r="E75" s="3554"/>
      <c r="F75" s="3554"/>
      <c r="G75" s="3554"/>
      <c r="H75" s="3554"/>
      <c r="I75" s="3554"/>
      <c r="J75" s="3554"/>
      <c r="K75" s="3554"/>
      <c r="L75" s="3554"/>
      <c r="M75" s="3554"/>
      <c r="N75" s="3554"/>
      <c r="O75" s="3554"/>
      <c r="P75" s="3554"/>
      <c r="Q75" s="3554"/>
      <c r="R75" s="3554"/>
      <c r="S75" s="3554"/>
      <c r="T75" s="3554"/>
      <c r="U75" s="3554"/>
      <c r="V75" s="3554"/>
      <c r="W75" s="3554"/>
      <c r="X75" s="3554"/>
      <c r="Y75" s="3554"/>
      <c r="Z75" s="3554"/>
      <c r="AA75" s="3554"/>
      <c r="AB75" s="3554"/>
      <c r="AC75" s="3555"/>
      <c r="AD75" s="2605"/>
    </row>
    <row r="76" spans="1:30" x14ac:dyDescent="0.25">
      <c r="B76" s="638"/>
      <c r="C76" s="638"/>
      <c r="D76" s="3671"/>
      <c r="E76" s="3671"/>
      <c r="F76" s="3671"/>
      <c r="G76" s="3671"/>
      <c r="H76" s="3671"/>
      <c r="I76" s="3671"/>
      <c r="J76" s="3671"/>
      <c r="K76" s="3671"/>
      <c r="L76" s="3671"/>
      <c r="M76" s="3671"/>
      <c r="N76" s="3671"/>
      <c r="O76" s="3671"/>
      <c r="P76" s="3671"/>
      <c r="Q76" s="3671"/>
      <c r="R76" s="3671"/>
      <c r="S76" s="3671"/>
      <c r="T76" s="3671"/>
    </row>
    <row r="77" spans="1:30" x14ac:dyDescent="0.25">
      <c r="B77" s="638"/>
      <c r="C77" s="638"/>
      <c r="D77" s="638"/>
      <c r="E77" s="638"/>
      <c r="F77" s="638"/>
      <c r="G77" s="638"/>
      <c r="H77" s="638"/>
      <c r="I77" s="638"/>
      <c r="J77" s="638"/>
      <c r="K77" s="638"/>
      <c r="L77" s="638"/>
      <c r="M77" s="638"/>
      <c r="N77" s="638"/>
      <c r="O77" s="638"/>
      <c r="P77" s="638"/>
      <c r="Q77" s="638"/>
    </row>
  </sheetData>
  <mergeCells count="47">
    <mergeCell ref="D2:AC2"/>
    <mergeCell ref="D3:AC3"/>
    <mergeCell ref="D4:AC4"/>
    <mergeCell ref="D72:AC72"/>
    <mergeCell ref="D73:AC73"/>
    <mergeCell ref="D60:P60"/>
    <mergeCell ref="Q60:AB60"/>
    <mergeCell ref="E61:J61"/>
    <mergeCell ref="K61:P61"/>
    <mergeCell ref="Q61:V61"/>
    <mergeCell ref="W61:AB61"/>
    <mergeCell ref="E43:L43"/>
    <mergeCell ref="M43:T43"/>
    <mergeCell ref="E44:H44"/>
    <mergeCell ref="I44:L44"/>
    <mergeCell ref="M44:P44"/>
    <mergeCell ref="D74:AC74"/>
    <mergeCell ref="D75:AC75"/>
    <mergeCell ref="D76:T76"/>
    <mergeCell ref="W62:X62"/>
    <mergeCell ref="Y62:AB62"/>
    <mergeCell ref="E62:F62"/>
    <mergeCell ref="G62:J62"/>
    <mergeCell ref="K62:L62"/>
    <mergeCell ref="M62:P62"/>
    <mergeCell ref="Q62:R62"/>
    <mergeCell ref="S62:V62"/>
    <mergeCell ref="Q44:T44"/>
    <mergeCell ref="D32:N32"/>
    <mergeCell ref="O32:X32"/>
    <mergeCell ref="E33:I33"/>
    <mergeCell ref="J33:N33"/>
    <mergeCell ref="O33:S33"/>
    <mergeCell ref="T33:X33"/>
    <mergeCell ref="E10:F10"/>
    <mergeCell ref="G10:H10"/>
    <mergeCell ref="I10:J10"/>
    <mergeCell ref="K10:L10"/>
    <mergeCell ref="F18:G18"/>
    <mergeCell ref="H18:I18"/>
    <mergeCell ref="K18:M18"/>
    <mergeCell ref="N7:O8"/>
    <mergeCell ref="P7:Q8"/>
    <mergeCell ref="R7:S8"/>
    <mergeCell ref="T7:T8"/>
    <mergeCell ref="E8:H9"/>
    <mergeCell ref="I8:L9"/>
  </mergeCells>
  <pageMargins left="0.74803149606299213" right="0.74803149606299213" top="0.98425196850393704" bottom="0.98425196850393704" header="0.51181102362204722" footer="0.51181102362204722"/>
  <pageSetup paperSize="9" scale="35" orientation="landscape" r:id="rId1"/>
  <headerFooter alignWithMargins="0">
    <oddHeader>&amp;C&amp;"-,Bold"DEVELOPMENT INDICATORS 2014</oddHeader>
    <oddFooter>&amp;LDepartment of Planning, Monitoring and Evaluation (DPME). &amp;CPage &amp;P of &amp;N&amp;R&amp;D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97"/>
  <sheetViews>
    <sheetView showGridLines="0" view="pageBreakPreview" topLeftCell="T73" zoomScaleNormal="100" zoomScaleSheetLayoutView="100" workbookViewId="0">
      <selection activeCell="Y92" sqref="Y92"/>
    </sheetView>
  </sheetViews>
  <sheetFormatPr defaultColWidth="9.140625" defaultRowHeight="15" x14ac:dyDescent="0.2"/>
  <cols>
    <col min="1" max="1" width="3.7109375" style="637" customWidth="1"/>
    <col min="2" max="2" width="14.42578125" style="636" customWidth="1"/>
    <col min="3" max="3" width="3.7109375" style="636" customWidth="1"/>
    <col min="4" max="4" width="9.140625" style="2528"/>
    <col min="5" max="26" width="9.140625" style="2527"/>
    <col min="27" max="16384" width="9.140625" style="555"/>
  </cols>
  <sheetData>
    <row r="1" spans="1:34" x14ac:dyDescent="0.2">
      <c r="A1" s="453"/>
      <c r="B1" s="454"/>
      <c r="C1" s="454"/>
      <c r="D1" s="684"/>
      <c r="E1" s="683"/>
      <c r="F1" s="683"/>
      <c r="G1" s="683"/>
      <c r="H1" s="683"/>
      <c r="I1" s="683"/>
      <c r="J1" s="683"/>
      <c r="K1" s="683"/>
      <c r="L1" s="683"/>
      <c r="M1" s="683"/>
      <c r="N1" s="683"/>
      <c r="O1" s="683"/>
      <c r="P1" s="683"/>
    </row>
    <row r="2" spans="1:34" ht="12.75" customHeight="1" x14ac:dyDescent="0.2">
      <c r="A2" s="453">
        <v>1</v>
      </c>
      <c r="B2" s="453" t="s">
        <v>24</v>
      </c>
      <c r="C2" s="453">
        <f>1+[11]Income!C2</f>
        <v>22</v>
      </c>
      <c r="D2" s="3697" t="s">
        <v>580</v>
      </c>
      <c r="E2" s="3698"/>
      <c r="F2" s="3698"/>
      <c r="G2" s="3698"/>
      <c r="H2" s="3698"/>
      <c r="I2" s="3698"/>
      <c r="J2" s="3698"/>
      <c r="K2" s="3698"/>
      <c r="L2" s="3698"/>
      <c r="M2" s="3698"/>
      <c r="N2" s="3698"/>
      <c r="O2" s="3698"/>
      <c r="P2" s="3698"/>
      <c r="Q2" s="3698"/>
      <c r="R2" s="3698"/>
      <c r="S2" s="3698"/>
      <c r="T2" s="3698"/>
      <c r="U2" s="3698"/>
      <c r="V2" s="3698"/>
      <c r="W2" s="3698"/>
      <c r="X2" s="3698"/>
      <c r="Y2" s="3698"/>
      <c r="Z2" s="3698"/>
      <c r="AA2" s="3698"/>
      <c r="AB2" s="3698"/>
      <c r="AC2" s="3698"/>
      <c r="AD2" s="3698"/>
      <c r="AE2" s="3698"/>
      <c r="AF2" s="3698"/>
      <c r="AG2" s="3698"/>
      <c r="AH2" s="3699"/>
    </row>
    <row r="3" spans="1:34" ht="12.75" customHeight="1" x14ac:dyDescent="0.2">
      <c r="A3" s="453">
        <v>2</v>
      </c>
      <c r="B3" s="453" t="s">
        <v>26</v>
      </c>
      <c r="C3" s="453"/>
      <c r="D3" s="3697" t="s">
        <v>551</v>
      </c>
      <c r="E3" s="3698"/>
      <c r="F3" s="3698"/>
      <c r="G3" s="3698"/>
      <c r="H3" s="3698"/>
      <c r="I3" s="3698"/>
      <c r="J3" s="3698"/>
      <c r="K3" s="3698"/>
      <c r="L3" s="3698"/>
      <c r="M3" s="3698"/>
      <c r="N3" s="3698"/>
      <c r="O3" s="3698"/>
      <c r="P3" s="3698"/>
      <c r="Q3" s="3698"/>
      <c r="R3" s="3698"/>
      <c r="S3" s="3698"/>
      <c r="T3" s="3698"/>
      <c r="U3" s="3698"/>
      <c r="V3" s="3698"/>
      <c r="W3" s="3698"/>
      <c r="X3" s="3698"/>
      <c r="Y3" s="3698"/>
      <c r="Z3" s="3698"/>
      <c r="AA3" s="3698"/>
      <c r="AB3" s="3698"/>
      <c r="AC3" s="3698"/>
      <c r="AD3" s="3698"/>
      <c r="AE3" s="3698"/>
      <c r="AF3" s="3698"/>
      <c r="AG3" s="3698"/>
      <c r="AH3" s="3699"/>
    </row>
    <row r="4" spans="1:34" ht="12.75" customHeight="1" x14ac:dyDescent="0.2">
      <c r="A4" s="453">
        <v>3</v>
      </c>
      <c r="B4" s="453" t="s">
        <v>28</v>
      </c>
      <c r="C4" s="453"/>
      <c r="D4" s="3697" t="s">
        <v>579</v>
      </c>
      <c r="E4" s="3698"/>
      <c r="F4" s="3698"/>
      <c r="G4" s="3698"/>
      <c r="H4" s="3698"/>
      <c r="I4" s="3698"/>
      <c r="J4" s="3698"/>
      <c r="K4" s="3698"/>
      <c r="L4" s="3698"/>
      <c r="M4" s="3698"/>
      <c r="N4" s="3698"/>
      <c r="O4" s="3698"/>
      <c r="P4" s="3698"/>
      <c r="Q4" s="3698"/>
      <c r="R4" s="3698"/>
      <c r="S4" s="3698"/>
      <c r="T4" s="3698"/>
      <c r="U4" s="3698"/>
      <c r="V4" s="3698"/>
      <c r="W4" s="3698"/>
      <c r="X4" s="3698"/>
      <c r="Y4" s="3698"/>
      <c r="Z4" s="3698"/>
      <c r="AA4" s="3698"/>
      <c r="AB4" s="3698"/>
      <c r="AC4" s="3698"/>
      <c r="AD4" s="3698"/>
      <c r="AE4" s="3698"/>
      <c r="AF4" s="3698"/>
      <c r="AG4" s="3698"/>
      <c r="AH4" s="3699"/>
    </row>
    <row r="5" spans="1:34" ht="12.75" x14ac:dyDescent="0.2">
      <c r="A5" s="453"/>
      <c r="B5" s="650"/>
      <c r="C5" s="650"/>
    </row>
    <row r="6" spans="1:34" x14ac:dyDescent="0.2">
      <c r="A6" s="453">
        <v>4</v>
      </c>
      <c r="B6" s="682" t="s">
        <v>1</v>
      </c>
      <c r="C6" s="670"/>
      <c r="D6" s="662" t="s">
        <v>31</v>
      </c>
      <c r="E6" s="662" t="s">
        <v>578</v>
      </c>
      <c r="F6" s="680"/>
      <c r="G6" s="681"/>
      <c r="H6" s="680"/>
      <c r="I6" s="498"/>
      <c r="J6" s="680"/>
      <c r="K6" s="681"/>
      <c r="L6" s="680"/>
      <c r="M6" s="681"/>
      <c r="N6" s="680"/>
      <c r="O6" s="498"/>
      <c r="P6" s="680"/>
      <c r="Q6" s="1566"/>
      <c r="R6" s="1566"/>
      <c r="S6" s="2529"/>
      <c r="T6" s="2529"/>
      <c r="U6" s="2529"/>
      <c r="V6" s="2529"/>
      <c r="W6" s="2529"/>
      <c r="X6" s="2529"/>
    </row>
    <row r="7" spans="1:34" x14ac:dyDescent="0.2">
      <c r="A7" s="453"/>
      <c r="B7" s="670"/>
      <c r="C7" s="670"/>
      <c r="D7" s="3379"/>
      <c r="E7" s="3700" t="s">
        <v>131</v>
      </c>
      <c r="F7" s="3701"/>
      <c r="G7" s="3702" t="s">
        <v>132</v>
      </c>
      <c r="H7" s="3702"/>
      <c r="I7" s="3702" t="s">
        <v>133</v>
      </c>
      <c r="J7" s="3702"/>
      <c r="K7" s="3702" t="s">
        <v>134</v>
      </c>
      <c r="L7" s="3702"/>
      <c r="M7" s="3702" t="s">
        <v>135</v>
      </c>
      <c r="N7" s="3702"/>
      <c r="O7" s="3702" t="s">
        <v>136</v>
      </c>
      <c r="P7" s="3702"/>
      <c r="Q7" s="3702" t="s">
        <v>137</v>
      </c>
      <c r="R7" s="3702"/>
      <c r="S7" s="3702" t="s">
        <v>138</v>
      </c>
      <c r="T7" s="3702"/>
      <c r="U7" s="3703">
        <v>2009</v>
      </c>
      <c r="V7" s="3703"/>
      <c r="W7" s="3703" t="s">
        <v>49</v>
      </c>
      <c r="X7" s="3703"/>
      <c r="Y7" s="3703" t="s">
        <v>50</v>
      </c>
      <c r="Z7" s="3703"/>
      <c r="AA7" s="3703" t="s">
        <v>51</v>
      </c>
      <c r="AB7" s="3703"/>
      <c r="AC7" s="3703" t="s">
        <v>52</v>
      </c>
      <c r="AD7" s="3703"/>
      <c r="AE7" s="3703" t="s">
        <v>105</v>
      </c>
      <c r="AF7" s="3703"/>
      <c r="AG7" s="3703" t="s">
        <v>106</v>
      </c>
      <c r="AH7" s="3704"/>
    </row>
    <row r="8" spans="1:34" s="2531" customFormat="1" ht="56.25" x14ac:dyDescent="0.2">
      <c r="A8" s="643"/>
      <c r="B8" s="679"/>
      <c r="C8" s="679"/>
      <c r="D8" s="3380"/>
      <c r="E8" s="663" t="s">
        <v>577</v>
      </c>
      <c r="F8" s="2530" t="s">
        <v>567</v>
      </c>
      <c r="G8" s="663" t="s">
        <v>577</v>
      </c>
      <c r="H8" s="2530" t="s">
        <v>567</v>
      </c>
      <c r="I8" s="663" t="s">
        <v>577</v>
      </c>
      <c r="J8" s="2530" t="s">
        <v>567</v>
      </c>
      <c r="K8" s="663" t="s">
        <v>577</v>
      </c>
      <c r="L8" s="2530" t="s">
        <v>567</v>
      </c>
      <c r="M8" s="663" t="s">
        <v>577</v>
      </c>
      <c r="N8" s="2530" t="s">
        <v>567</v>
      </c>
      <c r="O8" s="663" t="s">
        <v>577</v>
      </c>
      <c r="P8" s="2530" t="s">
        <v>567</v>
      </c>
      <c r="Q8" s="663" t="s">
        <v>577</v>
      </c>
      <c r="R8" s="2530" t="s">
        <v>567</v>
      </c>
      <c r="S8" s="663" t="s">
        <v>577</v>
      </c>
      <c r="T8" s="2530" t="s">
        <v>567</v>
      </c>
      <c r="U8" s="663" t="s">
        <v>577</v>
      </c>
      <c r="V8" s="2530" t="s">
        <v>567</v>
      </c>
      <c r="W8" s="663" t="s">
        <v>577</v>
      </c>
      <c r="X8" s="2530" t="s">
        <v>576</v>
      </c>
      <c r="Y8" s="663" t="s">
        <v>577</v>
      </c>
      <c r="Z8" s="2530" t="s">
        <v>576</v>
      </c>
      <c r="AA8" s="663" t="s">
        <v>577</v>
      </c>
      <c r="AB8" s="2530" t="s">
        <v>576</v>
      </c>
      <c r="AC8" s="663" t="s">
        <v>577</v>
      </c>
      <c r="AD8" s="2530" t="s">
        <v>576</v>
      </c>
      <c r="AE8" s="663" t="s">
        <v>577</v>
      </c>
      <c r="AF8" s="2530" t="s">
        <v>576</v>
      </c>
      <c r="AG8" s="663" t="s">
        <v>577</v>
      </c>
      <c r="AH8" s="3388" t="s">
        <v>576</v>
      </c>
    </row>
    <row r="9" spans="1:34" x14ac:dyDescent="0.2">
      <c r="A9" s="643"/>
      <c r="B9" s="679"/>
      <c r="C9" s="679"/>
      <c r="D9" s="3381" t="s">
        <v>566</v>
      </c>
      <c r="E9" s="2532">
        <v>3456</v>
      </c>
      <c r="F9" s="676">
        <v>742</v>
      </c>
      <c r="G9" s="2532">
        <v>3003</v>
      </c>
      <c r="H9" s="676">
        <v>804</v>
      </c>
      <c r="I9" s="2532">
        <v>3059</v>
      </c>
      <c r="J9" s="676">
        <v>860</v>
      </c>
      <c r="K9" s="2532">
        <v>2764</v>
      </c>
      <c r="L9" s="676">
        <v>878</v>
      </c>
      <c r="M9" s="2532">
        <v>2317</v>
      </c>
      <c r="N9" s="676">
        <v>911</v>
      </c>
      <c r="O9" s="2532">
        <v>1895</v>
      </c>
      <c r="P9" s="676">
        <v>999</v>
      </c>
      <c r="Q9" s="2532">
        <v>1493</v>
      </c>
      <c r="R9" s="676">
        <v>1058.01</v>
      </c>
      <c r="S9" s="2532">
        <v>1062</v>
      </c>
      <c r="T9" s="676">
        <v>1080.45</v>
      </c>
      <c r="U9" s="2532">
        <v>1031</v>
      </c>
      <c r="V9" s="676">
        <v>1386</v>
      </c>
      <c r="W9" s="2532">
        <v>808</v>
      </c>
      <c r="X9" s="676">
        <v>1448</v>
      </c>
      <c r="Y9" s="2532">
        <v>661</v>
      </c>
      <c r="Z9" s="676">
        <v>1369</v>
      </c>
      <c r="AA9" s="2532">
        <v>575</v>
      </c>
      <c r="AB9" s="676">
        <v>1641</v>
      </c>
      <c r="AC9" s="2532">
        <v>526</v>
      </c>
      <c r="AD9" s="676">
        <v>1480</v>
      </c>
      <c r="AE9" s="2532">
        <v>591</v>
      </c>
      <c r="AF9" s="676">
        <v>2168</v>
      </c>
      <c r="AG9" s="2532">
        <v>424</v>
      </c>
      <c r="AH9" s="3389">
        <v>2225</v>
      </c>
    </row>
    <row r="10" spans="1:34" x14ac:dyDescent="0.2">
      <c r="A10" s="643"/>
      <c r="B10" s="679"/>
      <c r="C10" s="679"/>
      <c r="D10" s="3381" t="s">
        <v>565</v>
      </c>
      <c r="E10" s="2532">
        <v>3950</v>
      </c>
      <c r="F10" s="676">
        <v>883</v>
      </c>
      <c r="G10" s="2532">
        <v>4221</v>
      </c>
      <c r="H10" s="676">
        <v>963</v>
      </c>
      <c r="I10" s="2532">
        <v>3935</v>
      </c>
      <c r="J10" s="676">
        <v>1129</v>
      </c>
      <c r="K10" s="2532">
        <v>3848</v>
      </c>
      <c r="L10" s="676">
        <v>1076</v>
      </c>
      <c r="M10" s="2532">
        <v>3745</v>
      </c>
      <c r="N10" s="676">
        <v>1103</v>
      </c>
      <c r="O10" s="2532">
        <v>3784</v>
      </c>
      <c r="P10" s="676">
        <v>1214</v>
      </c>
      <c r="Q10" s="2532">
        <v>3407</v>
      </c>
      <c r="R10" s="676">
        <v>1261.1500000000001</v>
      </c>
      <c r="S10" s="2532">
        <v>2732</v>
      </c>
      <c r="T10" s="676">
        <v>1401.29</v>
      </c>
      <c r="U10" s="2532">
        <v>2436</v>
      </c>
      <c r="V10" s="676">
        <v>1564</v>
      </c>
      <c r="W10" s="2532">
        <v>1944</v>
      </c>
      <c r="X10" s="676">
        <v>1859</v>
      </c>
      <c r="Y10" s="2532">
        <v>1793</v>
      </c>
      <c r="Z10" s="676">
        <v>1952</v>
      </c>
      <c r="AA10" s="2532">
        <v>1422</v>
      </c>
      <c r="AB10" s="676">
        <v>2155</v>
      </c>
      <c r="AC10" s="2532">
        <v>1342</v>
      </c>
      <c r="AD10" s="676">
        <v>2218</v>
      </c>
      <c r="AE10" s="2532">
        <v>1125</v>
      </c>
      <c r="AF10" s="676">
        <v>2886</v>
      </c>
      <c r="AG10" s="2532">
        <v>1034</v>
      </c>
      <c r="AH10" s="3389">
        <v>3352</v>
      </c>
    </row>
    <row r="11" spans="1:34" x14ac:dyDescent="0.2">
      <c r="A11" s="643"/>
      <c r="B11" s="679"/>
      <c r="C11" s="679"/>
      <c r="D11" s="3381" t="s">
        <v>564</v>
      </c>
      <c r="E11" s="2532">
        <v>4062</v>
      </c>
      <c r="F11" s="676">
        <v>1092</v>
      </c>
      <c r="G11" s="2532">
        <v>4149</v>
      </c>
      <c r="H11" s="676">
        <v>1200</v>
      </c>
      <c r="I11" s="2532">
        <v>4257</v>
      </c>
      <c r="J11" s="676">
        <v>1355</v>
      </c>
      <c r="K11" s="2532">
        <v>4250</v>
      </c>
      <c r="L11" s="676">
        <v>1412</v>
      </c>
      <c r="M11" s="2532">
        <v>3979</v>
      </c>
      <c r="N11" s="676">
        <v>1434</v>
      </c>
      <c r="O11" s="2532">
        <v>3878</v>
      </c>
      <c r="P11" s="676">
        <v>1521</v>
      </c>
      <c r="Q11" s="2532">
        <v>3693</v>
      </c>
      <c r="R11" s="676">
        <v>1612.75</v>
      </c>
      <c r="S11" s="2532">
        <v>2953</v>
      </c>
      <c r="T11" s="676">
        <v>1794.81</v>
      </c>
      <c r="U11" s="2532">
        <v>2610</v>
      </c>
      <c r="V11" s="676">
        <v>2116</v>
      </c>
      <c r="W11" s="2532">
        <v>2394</v>
      </c>
      <c r="X11" s="676">
        <v>2153</v>
      </c>
      <c r="Y11" s="2532">
        <v>2117</v>
      </c>
      <c r="Z11" s="676">
        <v>2545</v>
      </c>
      <c r="AA11" s="2532">
        <v>2171</v>
      </c>
      <c r="AB11" s="676">
        <v>2465</v>
      </c>
      <c r="AC11" s="2532">
        <v>2140</v>
      </c>
      <c r="AD11" s="676">
        <v>2585</v>
      </c>
      <c r="AE11" s="2532">
        <v>1949</v>
      </c>
      <c r="AF11" s="676">
        <v>3307</v>
      </c>
      <c r="AG11" s="2532">
        <v>2196</v>
      </c>
      <c r="AH11" s="3389">
        <v>3357</v>
      </c>
    </row>
    <row r="12" spans="1:34" x14ac:dyDescent="0.2">
      <c r="A12" s="643"/>
      <c r="B12" s="679"/>
      <c r="C12" s="679"/>
      <c r="D12" s="3381"/>
      <c r="E12" s="2532">
        <f t="shared" ref="E12:AH12" si="0">SUM(E9:E11)</f>
        <v>11468</v>
      </c>
      <c r="F12" s="676">
        <f t="shared" si="0"/>
        <v>2717</v>
      </c>
      <c r="G12" s="2532">
        <f t="shared" si="0"/>
        <v>11373</v>
      </c>
      <c r="H12" s="676">
        <f t="shared" si="0"/>
        <v>2967</v>
      </c>
      <c r="I12" s="2532">
        <f t="shared" si="0"/>
        <v>11251</v>
      </c>
      <c r="J12" s="676">
        <f t="shared" si="0"/>
        <v>3344</v>
      </c>
      <c r="K12" s="2532">
        <f t="shared" si="0"/>
        <v>10862</v>
      </c>
      <c r="L12" s="676">
        <f t="shared" si="0"/>
        <v>3366</v>
      </c>
      <c r="M12" s="2532">
        <f t="shared" si="0"/>
        <v>10041</v>
      </c>
      <c r="N12" s="676">
        <f t="shared" si="0"/>
        <v>3448</v>
      </c>
      <c r="O12" s="2532">
        <f t="shared" si="0"/>
        <v>9557</v>
      </c>
      <c r="P12" s="676">
        <f t="shared" si="0"/>
        <v>3734</v>
      </c>
      <c r="Q12" s="2532">
        <f t="shared" si="0"/>
        <v>8593</v>
      </c>
      <c r="R12" s="676">
        <f t="shared" si="0"/>
        <v>3931.91</v>
      </c>
      <c r="S12" s="2532">
        <f t="shared" si="0"/>
        <v>6747</v>
      </c>
      <c r="T12" s="676">
        <f t="shared" si="0"/>
        <v>4276.5499999999993</v>
      </c>
      <c r="U12" s="2532">
        <f t="shared" si="0"/>
        <v>6077</v>
      </c>
      <c r="V12" s="676">
        <f t="shared" si="0"/>
        <v>5066</v>
      </c>
      <c r="W12" s="2532">
        <f t="shared" si="0"/>
        <v>5146</v>
      </c>
      <c r="X12" s="676">
        <f t="shared" si="0"/>
        <v>5460</v>
      </c>
      <c r="Y12" s="2532">
        <f t="shared" si="0"/>
        <v>4571</v>
      </c>
      <c r="Z12" s="676">
        <f t="shared" si="0"/>
        <v>5866</v>
      </c>
      <c r="AA12" s="2532">
        <f t="shared" si="0"/>
        <v>4168</v>
      </c>
      <c r="AB12" s="676">
        <f t="shared" si="0"/>
        <v>6261</v>
      </c>
      <c r="AC12" s="2532">
        <f t="shared" si="0"/>
        <v>4008</v>
      </c>
      <c r="AD12" s="676">
        <f t="shared" si="0"/>
        <v>6283</v>
      </c>
      <c r="AE12" s="2532">
        <f t="shared" si="0"/>
        <v>3665</v>
      </c>
      <c r="AF12" s="676">
        <f t="shared" si="0"/>
        <v>8361</v>
      </c>
      <c r="AG12" s="2532">
        <f t="shared" si="0"/>
        <v>3654</v>
      </c>
      <c r="AH12" s="3389">
        <f t="shared" si="0"/>
        <v>8934</v>
      </c>
    </row>
    <row r="13" spans="1:34" x14ac:dyDescent="0.2">
      <c r="A13" s="643"/>
      <c r="B13" s="679"/>
      <c r="C13" s="679"/>
      <c r="D13" s="3381" t="s">
        <v>563</v>
      </c>
      <c r="E13" s="2532">
        <v>3896</v>
      </c>
      <c r="F13" s="676">
        <v>1541</v>
      </c>
      <c r="G13" s="2532">
        <v>4066</v>
      </c>
      <c r="H13" s="676">
        <v>1596</v>
      </c>
      <c r="I13" s="2532">
        <v>4179</v>
      </c>
      <c r="J13" s="676">
        <v>1761</v>
      </c>
      <c r="K13" s="2532">
        <v>4465</v>
      </c>
      <c r="L13" s="676">
        <v>1792</v>
      </c>
      <c r="M13" s="2532">
        <v>4582</v>
      </c>
      <c r="N13" s="676">
        <v>1888</v>
      </c>
      <c r="O13" s="2532">
        <v>4603</v>
      </c>
      <c r="P13" s="676">
        <v>1940</v>
      </c>
      <c r="Q13" s="2532">
        <v>4488</v>
      </c>
      <c r="R13" s="676">
        <v>2021.99</v>
      </c>
      <c r="S13" s="2532">
        <v>4557</v>
      </c>
      <c r="T13" s="676">
        <v>2535.6799999999998</v>
      </c>
      <c r="U13" s="2532">
        <v>4641</v>
      </c>
      <c r="V13" s="676">
        <v>2580</v>
      </c>
      <c r="W13" s="2532">
        <v>4744</v>
      </c>
      <c r="X13" s="676">
        <v>2966</v>
      </c>
      <c r="Y13" s="2532">
        <v>4248</v>
      </c>
      <c r="Z13" s="676">
        <v>3141</v>
      </c>
      <c r="AA13" s="2532">
        <v>4526</v>
      </c>
      <c r="AB13" s="676">
        <v>3355</v>
      </c>
      <c r="AC13" s="2532">
        <v>4332</v>
      </c>
      <c r="AD13" s="676">
        <v>3205</v>
      </c>
      <c r="AE13" s="2532">
        <v>4642</v>
      </c>
      <c r="AF13" s="676">
        <v>4068</v>
      </c>
      <c r="AG13" s="2532">
        <v>4909</v>
      </c>
      <c r="AH13" s="3389">
        <v>4156</v>
      </c>
    </row>
    <row r="14" spans="1:34" x14ac:dyDescent="0.2">
      <c r="A14" s="643"/>
      <c r="B14" s="679"/>
      <c r="C14" s="679"/>
      <c r="D14" s="3381" t="s">
        <v>562</v>
      </c>
      <c r="E14" s="2532">
        <v>3634</v>
      </c>
      <c r="F14" s="676">
        <v>2195</v>
      </c>
      <c r="G14" s="2532">
        <v>3703</v>
      </c>
      <c r="H14" s="676">
        <v>2239</v>
      </c>
      <c r="I14" s="2532">
        <v>3725</v>
      </c>
      <c r="J14" s="676">
        <v>2421</v>
      </c>
      <c r="K14" s="2532">
        <v>3978</v>
      </c>
      <c r="L14" s="676">
        <v>2436</v>
      </c>
      <c r="M14" s="2532">
        <v>4132</v>
      </c>
      <c r="N14" s="676">
        <v>2518</v>
      </c>
      <c r="O14" s="2532">
        <v>4176</v>
      </c>
      <c r="P14" s="676">
        <v>2681</v>
      </c>
      <c r="Q14" s="2532">
        <v>4320</v>
      </c>
      <c r="R14" s="676">
        <v>2903.23</v>
      </c>
      <c r="S14" s="2532">
        <v>4843</v>
      </c>
      <c r="T14" s="676">
        <v>3122.33</v>
      </c>
      <c r="U14" s="2532">
        <v>5153</v>
      </c>
      <c r="V14" s="676">
        <v>3627</v>
      </c>
      <c r="W14" s="2532">
        <v>5636</v>
      </c>
      <c r="X14" s="676">
        <v>3965</v>
      </c>
      <c r="Y14" s="2532">
        <v>6080</v>
      </c>
      <c r="Z14" s="676">
        <v>4200</v>
      </c>
      <c r="AA14" s="2532">
        <v>5965</v>
      </c>
      <c r="AB14" s="676">
        <v>4259</v>
      </c>
      <c r="AC14" s="2532">
        <v>6087</v>
      </c>
      <c r="AD14" s="676">
        <v>4344</v>
      </c>
      <c r="AE14" s="2532">
        <v>5992</v>
      </c>
      <c r="AF14" s="676">
        <v>5016</v>
      </c>
      <c r="AG14" s="2532">
        <v>6409</v>
      </c>
      <c r="AH14" s="3389">
        <v>5636</v>
      </c>
    </row>
    <row r="15" spans="1:34" x14ac:dyDescent="0.2">
      <c r="A15" s="643"/>
      <c r="B15" s="679"/>
      <c r="C15" s="679"/>
      <c r="D15" s="3381" t="s">
        <v>561</v>
      </c>
      <c r="E15" s="2532">
        <v>3621</v>
      </c>
      <c r="F15" s="676">
        <v>3555</v>
      </c>
      <c r="G15" s="2532">
        <v>3716</v>
      </c>
      <c r="H15" s="676">
        <v>3625</v>
      </c>
      <c r="I15" s="2532">
        <v>3842</v>
      </c>
      <c r="J15" s="676">
        <v>3970</v>
      </c>
      <c r="K15" s="2532">
        <v>4246</v>
      </c>
      <c r="L15" s="676">
        <v>4057</v>
      </c>
      <c r="M15" s="2532">
        <v>4451</v>
      </c>
      <c r="N15" s="676">
        <v>4194</v>
      </c>
      <c r="O15" s="2532">
        <v>4454</v>
      </c>
      <c r="P15" s="676">
        <v>4404</v>
      </c>
      <c r="Q15" s="2532">
        <v>4976</v>
      </c>
      <c r="R15" s="676">
        <v>4723.03</v>
      </c>
      <c r="S15" s="2532">
        <v>5597</v>
      </c>
      <c r="T15" s="676">
        <v>5386</v>
      </c>
      <c r="U15" s="2532">
        <v>6086</v>
      </c>
      <c r="V15" s="676">
        <v>5990</v>
      </c>
      <c r="W15" s="2532">
        <v>6891</v>
      </c>
      <c r="X15" s="676">
        <v>6573</v>
      </c>
      <c r="Y15" s="2532">
        <v>7828</v>
      </c>
      <c r="Z15" s="676">
        <v>6454</v>
      </c>
      <c r="AA15" s="2532">
        <v>7898</v>
      </c>
      <c r="AB15" s="676">
        <v>6680</v>
      </c>
      <c r="AC15" s="2532">
        <v>8836</v>
      </c>
      <c r="AD15" s="676">
        <v>6822</v>
      </c>
      <c r="AE15" s="2532">
        <v>8893</v>
      </c>
      <c r="AF15" s="676">
        <v>7391</v>
      </c>
      <c r="AG15" s="2532">
        <v>8707</v>
      </c>
      <c r="AH15" s="3389">
        <v>7876</v>
      </c>
    </row>
    <row r="16" spans="1:34" x14ac:dyDescent="0.2">
      <c r="A16" s="643"/>
      <c r="B16" s="679"/>
      <c r="C16" s="679"/>
      <c r="D16" s="3381" t="s">
        <v>560</v>
      </c>
      <c r="E16" s="2532">
        <v>1717</v>
      </c>
      <c r="F16" s="676">
        <v>5349</v>
      </c>
      <c r="G16" s="2532">
        <v>1886</v>
      </c>
      <c r="H16" s="676">
        <v>5662</v>
      </c>
      <c r="I16" s="2532">
        <v>1886</v>
      </c>
      <c r="J16" s="676">
        <v>5991</v>
      </c>
      <c r="K16" s="2532">
        <v>1877</v>
      </c>
      <c r="L16" s="676">
        <v>6437</v>
      </c>
      <c r="M16" s="2532">
        <v>2174</v>
      </c>
      <c r="N16" s="676">
        <v>6444</v>
      </c>
      <c r="O16" s="2532">
        <v>2413</v>
      </c>
      <c r="P16" s="676">
        <v>6841</v>
      </c>
      <c r="Q16" s="2532">
        <v>2653</v>
      </c>
      <c r="R16" s="676">
        <v>7579.38</v>
      </c>
      <c r="S16" s="2532">
        <v>2957</v>
      </c>
      <c r="T16" s="676">
        <v>8677.33</v>
      </c>
      <c r="U16" s="2532">
        <v>3182</v>
      </c>
      <c r="V16" s="676">
        <v>9694</v>
      </c>
      <c r="W16" s="2532">
        <v>3621</v>
      </c>
      <c r="X16" s="676">
        <v>10081</v>
      </c>
      <c r="Y16" s="2532">
        <v>4014</v>
      </c>
      <c r="Z16" s="676">
        <v>11022</v>
      </c>
      <c r="AA16" s="2532">
        <v>4003</v>
      </c>
      <c r="AB16" s="676">
        <v>11244</v>
      </c>
      <c r="AC16" s="2532">
        <v>4572</v>
      </c>
      <c r="AD16" s="676">
        <v>11882</v>
      </c>
      <c r="AE16" s="2532">
        <v>4906</v>
      </c>
      <c r="AF16" s="676">
        <v>12949</v>
      </c>
      <c r="AG16" s="2532">
        <v>5194</v>
      </c>
      <c r="AH16" s="3389">
        <v>13311</v>
      </c>
    </row>
    <row r="17" spans="1:34" x14ac:dyDescent="0.2">
      <c r="A17" s="643"/>
      <c r="B17" s="679"/>
      <c r="C17" s="679"/>
      <c r="D17" s="3381"/>
      <c r="E17" s="2532">
        <f t="shared" ref="E17:AH17" si="1">SUM(E13:E16)</f>
        <v>12868</v>
      </c>
      <c r="F17" s="676">
        <f t="shared" si="1"/>
        <v>12640</v>
      </c>
      <c r="G17" s="2532">
        <f t="shared" si="1"/>
        <v>13371</v>
      </c>
      <c r="H17" s="676">
        <f t="shared" si="1"/>
        <v>13122</v>
      </c>
      <c r="I17" s="2532">
        <f t="shared" si="1"/>
        <v>13632</v>
      </c>
      <c r="J17" s="676">
        <f t="shared" si="1"/>
        <v>14143</v>
      </c>
      <c r="K17" s="2532">
        <f t="shared" si="1"/>
        <v>14566</v>
      </c>
      <c r="L17" s="676">
        <f t="shared" si="1"/>
        <v>14722</v>
      </c>
      <c r="M17" s="2532">
        <f t="shared" si="1"/>
        <v>15339</v>
      </c>
      <c r="N17" s="676">
        <f t="shared" si="1"/>
        <v>15044</v>
      </c>
      <c r="O17" s="2532">
        <f t="shared" si="1"/>
        <v>15646</v>
      </c>
      <c r="P17" s="676">
        <f t="shared" si="1"/>
        <v>15866</v>
      </c>
      <c r="Q17" s="2532">
        <f t="shared" si="1"/>
        <v>16437</v>
      </c>
      <c r="R17" s="676">
        <f t="shared" si="1"/>
        <v>17227.63</v>
      </c>
      <c r="S17" s="2532">
        <f t="shared" si="1"/>
        <v>17954</v>
      </c>
      <c r="T17" s="676">
        <f t="shared" si="1"/>
        <v>19721.34</v>
      </c>
      <c r="U17" s="2532">
        <f t="shared" si="1"/>
        <v>19062</v>
      </c>
      <c r="V17" s="676">
        <f t="shared" si="1"/>
        <v>21891</v>
      </c>
      <c r="W17" s="2532">
        <f t="shared" si="1"/>
        <v>20892</v>
      </c>
      <c r="X17" s="676">
        <f t="shared" si="1"/>
        <v>23585</v>
      </c>
      <c r="Y17" s="2532">
        <f t="shared" si="1"/>
        <v>22170</v>
      </c>
      <c r="Z17" s="676">
        <f t="shared" si="1"/>
        <v>24817</v>
      </c>
      <c r="AA17" s="2532">
        <f t="shared" si="1"/>
        <v>22392</v>
      </c>
      <c r="AB17" s="676">
        <f t="shared" si="1"/>
        <v>25538</v>
      </c>
      <c r="AC17" s="2532">
        <f t="shared" si="1"/>
        <v>23827</v>
      </c>
      <c r="AD17" s="676">
        <f t="shared" si="1"/>
        <v>26253</v>
      </c>
      <c r="AE17" s="2532">
        <f t="shared" si="1"/>
        <v>24433</v>
      </c>
      <c r="AF17" s="676">
        <f t="shared" si="1"/>
        <v>29424</v>
      </c>
      <c r="AG17" s="2532">
        <f t="shared" si="1"/>
        <v>25219</v>
      </c>
      <c r="AH17" s="3389">
        <f t="shared" si="1"/>
        <v>30979</v>
      </c>
    </row>
    <row r="18" spans="1:34" x14ac:dyDescent="0.2">
      <c r="A18" s="643"/>
      <c r="B18" s="679"/>
      <c r="C18" s="679"/>
      <c r="D18" s="3381" t="s">
        <v>559</v>
      </c>
      <c r="E18" s="2532">
        <v>1663</v>
      </c>
      <c r="F18" s="676">
        <v>7212</v>
      </c>
      <c r="G18" s="2532">
        <v>1705</v>
      </c>
      <c r="H18" s="676">
        <v>7537</v>
      </c>
      <c r="I18" s="2532">
        <v>1745</v>
      </c>
      <c r="J18" s="676">
        <v>8396</v>
      </c>
      <c r="K18" s="2532">
        <v>1462</v>
      </c>
      <c r="L18" s="676">
        <v>8429</v>
      </c>
      <c r="M18" s="2532">
        <v>1609</v>
      </c>
      <c r="N18" s="676">
        <v>9174</v>
      </c>
      <c r="O18" s="2532">
        <v>1759</v>
      </c>
      <c r="P18" s="676">
        <v>9252</v>
      </c>
      <c r="Q18" s="2532">
        <v>1928</v>
      </c>
      <c r="R18" s="676">
        <v>10014.94</v>
      </c>
      <c r="S18" s="2532">
        <v>2158</v>
      </c>
      <c r="T18" s="676">
        <v>12336.69</v>
      </c>
      <c r="U18" s="2532">
        <v>2449</v>
      </c>
      <c r="V18" s="676">
        <v>13188</v>
      </c>
      <c r="W18" s="2532">
        <v>2830</v>
      </c>
      <c r="X18" s="676">
        <v>13979</v>
      </c>
      <c r="Y18" s="2532">
        <v>2921</v>
      </c>
      <c r="Z18" s="676">
        <v>14877</v>
      </c>
      <c r="AA18" s="2532">
        <v>2994</v>
      </c>
      <c r="AB18" s="676">
        <v>15736</v>
      </c>
      <c r="AC18" s="2532">
        <v>3276</v>
      </c>
      <c r="AD18" s="676">
        <v>16754</v>
      </c>
      <c r="AE18" s="2532">
        <v>3321</v>
      </c>
      <c r="AF18" s="676">
        <v>17313</v>
      </c>
      <c r="AG18" s="2532">
        <v>3300</v>
      </c>
      <c r="AH18" s="3389">
        <v>19516</v>
      </c>
    </row>
    <row r="19" spans="1:34" x14ac:dyDescent="0.2">
      <c r="A19" s="643"/>
      <c r="B19" s="679"/>
      <c r="C19" s="679"/>
      <c r="D19" s="3381" t="s">
        <v>558</v>
      </c>
      <c r="E19" s="2532">
        <v>1559</v>
      </c>
      <c r="F19" s="676">
        <v>9568</v>
      </c>
      <c r="G19" s="2532">
        <v>1666</v>
      </c>
      <c r="H19" s="676">
        <v>10234</v>
      </c>
      <c r="I19" s="2532">
        <v>1699</v>
      </c>
      <c r="J19" s="676">
        <v>11561</v>
      </c>
      <c r="K19" s="2532">
        <v>1799</v>
      </c>
      <c r="L19" s="676">
        <v>11499</v>
      </c>
      <c r="M19" s="2532">
        <v>1971</v>
      </c>
      <c r="N19" s="676">
        <v>11864</v>
      </c>
      <c r="O19" s="2532">
        <v>2085</v>
      </c>
      <c r="P19" s="676">
        <v>12558</v>
      </c>
      <c r="Q19" s="2532">
        <v>2228</v>
      </c>
      <c r="R19" s="676">
        <v>13507.32</v>
      </c>
      <c r="S19" s="2532">
        <v>2546</v>
      </c>
      <c r="T19" s="676">
        <v>16296.05</v>
      </c>
      <c r="U19" s="2532">
        <v>2895</v>
      </c>
      <c r="V19" s="676">
        <v>17809</v>
      </c>
      <c r="W19" s="2532">
        <v>3038</v>
      </c>
      <c r="X19" s="676">
        <v>18860</v>
      </c>
      <c r="Y19" s="2532">
        <v>3093</v>
      </c>
      <c r="Z19" s="676">
        <v>20667</v>
      </c>
      <c r="AA19" s="2532">
        <v>3278</v>
      </c>
      <c r="AB19" s="676">
        <v>21555</v>
      </c>
      <c r="AC19" s="2532">
        <v>3703</v>
      </c>
      <c r="AD19" s="676">
        <v>23539</v>
      </c>
      <c r="AE19" s="2532">
        <v>3777</v>
      </c>
      <c r="AF19" s="676">
        <v>24716</v>
      </c>
      <c r="AG19" s="2532">
        <v>3706</v>
      </c>
      <c r="AH19" s="3389">
        <v>26957</v>
      </c>
    </row>
    <row r="20" spans="1:34" x14ac:dyDescent="0.2">
      <c r="A20" s="643"/>
      <c r="B20" s="679"/>
      <c r="C20" s="679"/>
      <c r="D20" s="3382" t="s">
        <v>557</v>
      </c>
      <c r="E20" s="2533">
        <v>1455</v>
      </c>
      <c r="F20" s="673">
        <v>13416</v>
      </c>
      <c r="G20" s="2533">
        <v>1469</v>
      </c>
      <c r="H20" s="673">
        <v>15072</v>
      </c>
      <c r="I20" s="2533">
        <v>1446</v>
      </c>
      <c r="J20" s="673">
        <v>17173</v>
      </c>
      <c r="K20" s="2533">
        <v>1621</v>
      </c>
      <c r="L20" s="673">
        <v>18643</v>
      </c>
      <c r="M20" s="2533">
        <v>1695</v>
      </c>
      <c r="N20" s="673">
        <v>18822</v>
      </c>
      <c r="O20" s="2533">
        <v>1857</v>
      </c>
      <c r="P20" s="673">
        <v>19817</v>
      </c>
      <c r="Q20" s="2533">
        <v>1923</v>
      </c>
      <c r="R20" s="673">
        <v>20278.25</v>
      </c>
      <c r="S20" s="2533">
        <v>1898</v>
      </c>
      <c r="T20" s="673">
        <v>23053.57</v>
      </c>
      <c r="U20" s="2533">
        <v>2015</v>
      </c>
      <c r="V20" s="673">
        <v>26602</v>
      </c>
      <c r="W20" s="2533">
        <v>2114</v>
      </c>
      <c r="X20" s="673">
        <v>28038</v>
      </c>
      <c r="Y20" s="2533">
        <v>2177</v>
      </c>
      <c r="Z20" s="673">
        <v>30559</v>
      </c>
      <c r="AA20" s="2533">
        <v>2102</v>
      </c>
      <c r="AB20" s="673">
        <v>31111</v>
      </c>
      <c r="AC20" s="2533">
        <v>2400</v>
      </c>
      <c r="AD20" s="673">
        <v>36883</v>
      </c>
      <c r="AE20" s="2533">
        <v>2345</v>
      </c>
      <c r="AF20" s="673">
        <v>39097</v>
      </c>
      <c r="AG20" s="2533">
        <v>2381</v>
      </c>
      <c r="AH20" s="3390">
        <v>41587</v>
      </c>
    </row>
    <row r="21" spans="1:34" x14ac:dyDescent="0.2">
      <c r="A21" s="643"/>
      <c r="B21" s="679"/>
      <c r="C21" s="679"/>
      <c r="D21" s="661"/>
      <c r="E21" s="2534">
        <f t="shared" ref="E21:AH21" si="2">SUM(E18:E20)</f>
        <v>4677</v>
      </c>
      <c r="F21" s="2534">
        <f t="shared" si="2"/>
        <v>30196</v>
      </c>
      <c r="G21" s="2534">
        <f t="shared" si="2"/>
        <v>4840</v>
      </c>
      <c r="H21" s="2534">
        <f t="shared" si="2"/>
        <v>32843</v>
      </c>
      <c r="I21" s="2534">
        <f t="shared" si="2"/>
        <v>4890</v>
      </c>
      <c r="J21" s="2534">
        <f t="shared" si="2"/>
        <v>37130</v>
      </c>
      <c r="K21" s="2534">
        <f t="shared" si="2"/>
        <v>4882</v>
      </c>
      <c r="L21" s="2534">
        <f t="shared" si="2"/>
        <v>38571</v>
      </c>
      <c r="M21" s="2534">
        <f t="shared" si="2"/>
        <v>5275</v>
      </c>
      <c r="N21" s="2534">
        <f t="shared" si="2"/>
        <v>39860</v>
      </c>
      <c r="O21" s="2534">
        <f t="shared" si="2"/>
        <v>5701</v>
      </c>
      <c r="P21" s="2534">
        <f t="shared" si="2"/>
        <v>41627</v>
      </c>
      <c r="Q21" s="2534">
        <f t="shared" si="2"/>
        <v>6079</v>
      </c>
      <c r="R21" s="2534">
        <f t="shared" si="2"/>
        <v>43800.51</v>
      </c>
      <c r="S21" s="2534">
        <f t="shared" si="2"/>
        <v>6602</v>
      </c>
      <c r="T21" s="2534">
        <f t="shared" si="2"/>
        <v>51686.31</v>
      </c>
      <c r="U21" s="2534">
        <f t="shared" si="2"/>
        <v>7359</v>
      </c>
      <c r="V21" s="2534">
        <f t="shared" si="2"/>
        <v>57599</v>
      </c>
      <c r="W21" s="2534">
        <f t="shared" si="2"/>
        <v>7982</v>
      </c>
      <c r="X21" s="2534">
        <f t="shared" si="2"/>
        <v>60877</v>
      </c>
      <c r="Y21" s="2534">
        <f t="shared" si="2"/>
        <v>8191</v>
      </c>
      <c r="Z21" s="2534">
        <f t="shared" si="2"/>
        <v>66103</v>
      </c>
      <c r="AA21" s="2534">
        <f t="shared" si="2"/>
        <v>8374</v>
      </c>
      <c r="AB21" s="2534">
        <f t="shared" si="2"/>
        <v>68402</v>
      </c>
      <c r="AC21" s="2534">
        <f t="shared" si="2"/>
        <v>9379</v>
      </c>
      <c r="AD21" s="2534">
        <f t="shared" si="2"/>
        <v>77176</v>
      </c>
      <c r="AE21" s="2534">
        <f t="shared" si="2"/>
        <v>9443</v>
      </c>
      <c r="AF21" s="2534">
        <f t="shared" si="2"/>
        <v>81126</v>
      </c>
      <c r="AG21" s="2534">
        <f t="shared" si="2"/>
        <v>9387</v>
      </c>
      <c r="AH21" s="3391">
        <f t="shared" si="2"/>
        <v>88060</v>
      </c>
    </row>
    <row r="22" spans="1:34" ht="12.75" x14ac:dyDescent="0.2">
      <c r="A22" s="643"/>
      <c r="B22" s="642"/>
      <c r="C22" s="642"/>
      <c r="D22" s="668" t="s">
        <v>55</v>
      </c>
      <c r="E22" s="667" t="s">
        <v>575</v>
      </c>
      <c r="F22" s="664"/>
      <c r="G22" s="665"/>
      <c r="H22" s="664"/>
      <c r="I22" s="666"/>
      <c r="J22" s="664"/>
      <c r="K22" s="665"/>
      <c r="L22" s="664"/>
      <c r="M22" s="665"/>
      <c r="N22" s="664"/>
      <c r="O22" s="666"/>
      <c r="P22" s="664"/>
      <c r="Q22" s="2535"/>
      <c r="R22" s="2535"/>
      <c r="S22" s="2536"/>
      <c r="T22" s="2536"/>
      <c r="U22" s="2536"/>
      <c r="V22" s="2536"/>
      <c r="W22" s="2536"/>
      <c r="X22" s="2536"/>
      <c r="Y22" s="2529"/>
      <c r="Z22" s="2529"/>
    </row>
    <row r="23" spans="1:34" ht="12.75" x14ac:dyDescent="0.2">
      <c r="A23" s="643"/>
      <c r="B23" s="642"/>
      <c r="C23" s="642"/>
      <c r="D23" s="3383"/>
      <c r="E23" s="3705" t="s">
        <v>415</v>
      </c>
      <c r="F23" s="3706"/>
      <c r="G23" s="3705" t="s">
        <v>417</v>
      </c>
      <c r="H23" s="3706"/>
      <c r="I23" s="3705" t="s">
        <v>570</v>
      </c>
      <c r="J23" s="3706"/>
      <c r="K23" s="3705" t="s">
        <v>522</v>
      </c>
      <c r="L23" s="3706"/>
      <c r="M23" s="3705" t="s">
        <v>422</v>
      </c>
      <c r="N23" s="3706"/>
      <c r="O23" s="3705" t="s">
        <v>421</v>
      </c>
      <c r="P23" s="3706"/>
      <c r="Q23" s="3705" t="s">
        <v>419</v>
      </c>
      <c r="R23" s="3706"/>
      <c r="S23" s="3705" t="s">
        <v>416</v>
      </c>
      <c r="T23" s="3706"/>
      <c r="U23" s="3705" t="s">
        <v>414</v>
      </c>
      <c r="V23" s="3706"/>
      <c r="W23" s="3707" t="s">
        <v>261</v>
      </c>
      <c r="X23" s="3708"/>
      <c r="Y23" s="554"/>
      <c r="Z23" s="554"/>
    </row>
    <row r="24" spans="1:34" ht="45" x14ac:dyDescent="0.2">
      <c r="A24" s="643"/>
      <c r="B24" s="642"/>
      <c r="C24" s="642"/>
      <c r="D24" s="3384"/>
      <c r="E24" s="663" t="s">
        <v>569</v>
      </c>
      <c r="F24" s="2530" t="s">
        <v>567</v>
      </c>
      <c r="G24" s="663" t="s">
        <v>568</v>
      </c>
      <c r="H24" s="2530" t="s">
        <v>567</v>
      </c>
      <c r="I24" s="663" t="s">
        <v>568</v>
      </c>
      <c r="J24" s="2530" t="s">
        <v>567</v>
      </c>
      <c r="K24" s="663" t="s">
        <v>568</v>
      </c>
      <c r="L24" s="2530" t="s">
        <v>567</v>
      </c>
      <c r="M24" s="663" t="s">
        <v>569</v>
      </c>
      <c r="N24" s="2530" t="s">
        <v>567</v>
      </c>
      <c r="O24" s="663" t="s">
        <v>569</v>
      </c>
      <c r="P24" s="2530" t="s">
        <v>567</v>
      </c>
      <c r="Q24" s="663" t="s">
        <v>569</v>
      </c>
      <c r="R24" s="2530" t="s">
        <v>567</v>
      </c>
      <c r="S24" s="663" t="s">
        <v>569</v>
      </c>
      <c r="T24" s="2530" t="s">
        <v>567</v>
      </c>
      <c r="U24" s="663" t="s">
        <v>569</v>
      </c>
      <c r="V24" s="2530" t="s">
        <v>567</v>
      </c>
      <c r="W24" s="663" t="s">
        <v>568</v>
      </c>
      <c r="X24" s="3388" t="s">
        <v>567</v>
      </c>
      <c r="Y24" s="555"/>
      <c r="Z24" s="555"/>
    </row>
    <row r="25" spans="1:34" ht="12.75" x14ac:dyDescent="0.2">
      <c r="A25" s="453"/>
      <c r="B25" s="650"/>
      <c r="C25" s="642"/>
      <c r="D25" s="3385" t="s">
        <v>566</v>
      </c>
      <c r="E25" s="677">
        <v>415</v>
      </c>
      <c r="F25" s="676">
        <v>1335</v>
      </c>
      <c r="G25" s="677">
        <v>4</v>
      </c>
      <c r="H25" s="676">
        <v>850</v>
      </c>
      <c r="I25" s="678">
        <v>0</v>
      </c>
      <c r="J25" s="676">
        <v>0</v>
      </c>
      <c r="K25" s="677">
        <v>184</v>
      </c>
      <c r="L25" s="676">
        <v>1480</v>
      </c>
      <c r="M25" s="678">
        <v>8</v>
      </c>
      <c r="N25" s="676">
        <v>2516</v>
      </c>
      <c r="O25" s="678">
        <v>10</v>
      </c>
      <c r="P25" s="676">
        <v>965</v>
      </c>
      <c r="Q25" s="678">
        <v>22</v>
      </c>
      <c r="R25" s="676">
        <v>962</v>
      </c>
      <c r="S25" s="678">
        <v>19</v>
      </c>
      <c r="T25" s="676">
        <v>1299</v>
      </c>
      <c r="U25" s="678">
        <v>0</v>
      </c>
      <c r="V25" s="676">
        <v>0</v>
      </c>
      <c r="W25" s="677">
        <v>661</v>
      </c>
      <c r="X25" s="3389">
        <v>1369</v>
      </c>
      <c r="Y25" s="555"/>
      <c r="Z25" s="555"/>
    </row>
    <row r="26" spans="1:34" ht="12.75" x14ac:dyDescent="0.2">
      <c r="A26" s="643"/>
      <c r="B26" s="642"/>
      <c r="C26" s="642"/>
      <c r="D26" s="3385" t="s">
        <v>565</v>
      </c>
      <c r="E26" s="677">
        <v>607</v>
      </c>
      <c r="F26" s="676">
        <v>1669</v>
      </c>
      <c r="G26" s="677">
        <v>16</v>
      </c>
      <c r="H26" s="676">
        <v>1046</v>
      </c>
      <c r="I26" s="677">
        <v>66</v>
      </c>
      <c r="J26" s="676">
        <v>1436</v>
      </c>
      <c r="K26" s="677">
        <v>737</v>
      </c>
      <c r="L26" s="676">
        <v>2300</v>
      </c>
      <c r="M26" s="678">
        <v>164</v>
      </c>
      <c r="N26" s="676">
        <v>2474</v>
      </c>
      <c r="O26" s="678">
        <v>77</v>
      </c>
      <c r="P26" s="676">
        <v>1136</v>
      </c>
      <c r="Q26" s="678">
        <v>87</v>
      </c>
      <c r="R26" s="676">
        <v>1486</v>
      </c>
      <c r="S26" s="678">
        <v>38</v>
      </c>
      <c r="T26" s="676">
        <v>1548</v>
      </c>
      <c r="U26" s="678">
        <v>1</v>
      </c>
      <c r="V26" s="676">
        <v>415</v>
      </c>
      <c r="W26" s="677">
        <v>1793</v>
      </c>
      <c r="X26" s="3389">
        <v>1952</v>
      </c>
      <c r="Y26" s="555"/>
      <c r="Z26" s="555"/>
    </row>
    <row r="27" spans="1:34" ht="12.75" x14ac:dyDescent="0.2">
      <c r="A27" s="643"/>
      <c r="B27" s="642"/>
      <c r="C27" s="642"/>
      <c r="D27" s="3385" t="s">
        <v>564</v>
      </c>
      <c r="E27" s="677">
        <v>492</v>
      </c>
      <c r="F27" s="676">
        <v>2099</v>
      </c>
      <c r="G27" s="677">
        <v>80</v>
      </c>
      <c r="H27" s="676">
        <v>1836</v>
      </c>
      <c r="I27" s="677">
        <v>88</v>
      </c>
      <c r="J27" s="676">
        <v>2587</v>
      </c>
      <c r="K27" s="678">
        <v>766</v>
      </c>
      <c r="L27" s="676">
        <v>2915</v>
      </c>
      <c r="M27" s="678">
        <v>371</v>
      </c>
      <c r="N27" s="676">
        <v>2871</v>
      </c>
      <c r="O27" s="678">
        <v>112</v>
      </c>
      <c r="P27" s="676">
        <v>1849</v>
      </c>
      <c r="Q27" s="678">
        <v>128</v>
      </c>
      <c r="R27" s="676">
        <v>2062</v>
      </c>
      <c r="S27" s="678">
        <v>64</v>
      </c>
      <c r="T27" s="676">
        <v>2961</v>
      </c>
      <c r="U27" s="678">
        <v>16</v>
      </c>
      <c r="V27" s="676">
        <v>1441</v>
      </c>
      <c r="W27" s="677">
        <v>2117</v>
      </c>
      <c r="X27" s="3389">
        <v>2545</v>
      </c>
      <c r="Y27" s="555"/>
      <c r="Z27" s="555"/>
    </row>
    <row r="28" spans="1:34" ht="12.75" x14ac:dyDescent="0.2">
      <c r="A28" s="643"/>
      <c r="B28" s="642"/>
      <c r="C28" s="642"/>
      <c r="D28" s="3385" t="s">
        <v>563</v>
      </c>
      <c r="E28" s="677">
        <v>721</v>
      </c>
      <c r="F28" s="676">
        <v>2581</v>
      </c>
      <c r="G28" s="677">
        <v>266</v>
      </c>
      <c r="H28" s="676">
        <v>2241</v>
      </c>
      <c r="I28" s="677">
        <v>293</v>
      </c>
      <c r="J28" s="676">
        <v>3073</v>
      </c>
      <c r="K28" s="677">
        <v>1082</v>
      </c>
      <c r="L28" s="676">
        <v>3584</v>
      </c>
      <c r="M28" s="677">
        <v>803</v>
      </c>
      <c r="N28" s="676">
        <v>3865</v>
      </c>
      <c r="O28" s="678">
        <v>439</v>
      </c>
      <c r="P28" s="676">
        <v>2581</v>
      </c>
      <c r="Q28" s="678">
        <v>443</v>
      </c>
      <c r="R28" s="676">
        <v>3177</v>
      </c>
      <c r="S28" s="678">
        <v>110</v>
      </c>
      <c r="T28" s="676">
        <v>1913</v>
      </c>
      <c r="U28" s="678">
        <v>92</v>
      </c>
      <c r="V28" s="676">
        <v>2797</v>
      </c>
      <c r="W28" s="677">
        <v>4248</v>
      </c>
      <c r="X28" s="3389">
        <v>3141</v>
      </c>
      <c r="Y28" s="555"/>
      <c r="Z28" s="555"/>
    </row>
    <row r="29" spans="1:34" ht="12.75" x14ac:dyDescent="0.2">
      <c r="A29" s="643"/>
      <c r="B29" s="642"/>
      <c r="C29" s="642"/>
      <c r="D29" s="3386" t="s">
        <v>562</v>
      </c>
      <c r="E29" s="677">
        <v>653</v>
      </c>
      <c r="F29" s="676">
        <v>3565</v>
      </c>
      <c r="G29" s="677">
        <v>584</v>
      </c>
      <c r="H29" s="676">
        <v>3371</v>
      </c>
      <c r="I29" s="677">
        <v>843</v>
      </c>
      <c r="J29" s="676">
        <v>3913</v>
      </c>
      <c r="K29" s="678">
        <v>1038</v>
      </c>
      <c r="L29" s="676">
        <v>4756</v>
      </c>
      <c r="M29" s="677">
        <v>1230</v>
      </c>
      <c r="N29" s="676">
        <v>4740</v>
      </c>
      <c r="O29" s="678">
        <v>651</v>
      </c>
      <c r="P29" s="676">
        <v>4334</v>
      </c>
      <c r="Q29" s="678">
        <v>670</v>
      </c>
      <c r="R29" s="676">
        <v>4621</v>
      </c>
      <c r="S29" s="678">
        <v>184</v>
      </c>
      <c r="T29" s="676">
        <v>2869</v>
      </c>
      <c r="U29" s="678">
        <v>228</v>
      </c>
      <c r="V29" s="676">
        <v>3206</v>
      </c>
      <c r="W29" s="677">
        <v>6080</v>
      </c>
      <c r="X29" s="3389">
        <v>4200</v>
      </c>
      <c r="Y29" s="555"/>
      <c r="Z29" s="555"/>
    </row>
    <row r="30" spans="1:34" ht="12.75" x14ac:dyDescent="0.2">
      <c r="A30" s="643"/>
      <c r="B30" s="642"/>
      <c r="C30" s="642"/>
      <c r="D30" s="3385" t="s">
        <v>561</v>
      </c>
      <c r="E30" s="677">
        <v>839</v>
      </c>
      <c r="F30" s="676">
        <v>4769</v>
      </c>
      <c r="G30" s="677">
        <v>626</v>
      </c>
      <c r="H30" s="676">
        <v>4651</v>
      </c>
      <c r="I30" s="677">
        <v>2171</v>
      </c>
      <c r="J30" s="676">
        <v>7269</v>
      </c>
      <c r="K30" s="677">
        <v>1277</v>
      </c>
      <c r="L30" s="676">
        <v>7680</v>
      </c>
      <c r="M30" s="678">
        <v>720</v>
      </c>
      <c r="N30" s="676">
        <v>6740</v>
      </c>
      <c r="O30" s="678">
        <v>610</v>
      </c>
      <c r="P30" s="676">
        <v>7607</v>
      </c>
      <c r="Q30" s="678">
        <v>469</v>
      </c>
      <c r="R30" s="676">
        <v>6622</v>
      </c>
      <c r="S30" s="678">
        <v>157</v>
      </c>
      <c r="T30" s="676">
        <v>4875</v>
      </c>
      <c r="U30" s="678">
        <v>957</v>
      </c>
      <c r="V30" s="676">
        <v>4856</v>
      </c>
      <c r="W30" s="677">
        <v>7828</v>
      </c>
      <c r="X30" s="3389">
        <v>6454</v>
      </c>
      <c r="Y30" s="555"/>
      <c r="Z30" s="555"/>
    </row>
    <row r="31" spans="1:34" ht="12.75" x14ac:dyDescent="0.2">
      <c r="A31" s="643"/>
      <c r="B31" s="642"/>
      <c r="C31" s="642"/>
      <c r="D31" s="3385" t="s">
        <v>560</v>
      </c>
      <c r="E31" s="677">
        <v>339</v>
      </c>
      <c r="F31" s="676">
        <v>9309</v>
      </c>
      <c r="G31" s="677">
        <v>143</v>
      </c>
      <c r="H31" s="676">
        <v>7720</v>
      </c>
      <c r="I31" s="677">
        <v>1465</v>
      </c>
      <c r="J31" s="676">
        <v>12073</v>
      </c>
      <c r="K31" s="678">
        <v>581</v>
      </c>
      <c r="L31" s="676">
        <v>13135</v>
      </c>
      <c r="M31" s="678">
        <v>204</v>
      </c>
      <c r="N31" s="676">
        <v>10656</v>
      </c>
      <c r="O31" s="678">
        <v>243</v>
      </c>
      <c r="P31" s="676">
        <v>14512</v>
      </c>
      <c r="Q31" s="678">
        <v>169</v>
      </c>
      <c r="R31" s="676">
        <v>12217</v>
      </c>
      <c r="S31" s="678">
        <v>41</v>
      </c>
      <c r="T31" s="676">
        <v>8968</v>
      </c>
      <c r="U31" s="678">
        <v>828</v>
      </c>
      <c r="V31" s="676">
        <v>7879</v>
      </c>
      <c r="W31" s="677">
        <v>4014</v>
      </c>
      <c r="X31" s="3389">
        <v>11022</v>
      </c>
      <c r="Y31" s="555"/>
      <c r="Z31" s="555"/>
    </row>
    <row r="32" spans="1:34" ht="12.75" x14ac:dyDescent="0.2">
      <c r="A32" s="643"/>
      <c r="B32" s="642"/>
      <c r="C32" s="642"/>
      <c r="D32" s="3385" t="s">
        <v>559</v>
      </c>
      <c r="E32" s="677">
        <v>244</v>
      </c>
      <c r="F32" s="676">
        <v>13015</v>
      </c>
      <c r="G32" s="677">
        <v>149</v>
      </c>
      <c r="H32" s="676">
        <v>12020</v>
      </c>
      <c r="I32" s="677">
        <v>1100</v>
      </c>
      <c r="J32" s="676">
        <v>16826</v>
      </c>
      <c r="K32" s="678">
        <v>441</v>
      </c>
      <c r="L32" s="676">
        <v>16408</v>
      </c>
      <c r="M32" s="678">
        <v>93</v>
      </c>
      <c r="N32" s="676">
        <v>15065</v>
      </c>
      <c r="O32" s="678">
        <v>126</v>
      </c>
      <c r="P32" s="676">
        <v>16600</v>
      </c>
      <c r="Q32" s="678">
        <v>130</v>
      </c>
      <c r="R32" s="676">
        <v>17701</v>
      </c>
      <c r="S32" s="678">
        <v>61</v>
      </c>
      <c r="T32" s="676">
        <v>15419</v>
      </c>
      <c r="U32" s="678">
        <v>577</v>
      </c>
      <c r="V32" s="676">
        <v>10418</v>
      </c>
      <c r="W32" s="677">
        <v>2921</v>
      </c>
      <c r="X32" s="3389">
        <v>14877</v>
      </c>
      <c r="Y32" s="555"/>
      <c r="Z32" s="555"/>
    </row>
    <row r="33" spans="1:26" ht="12.75" x14ac:dyDescent="0.2">
      <c r="A33" s="643"/>
      <c r="B33" s="642"/>
      <c r="C33" s="642"/>
      <c r="D33" s="3385" t="s">
        <v>558</v>
      </c>
      <c r="E33" s="677">
        <v>216</v>
      </c>
      <c r="F33" s="676">
        <v>17555</v>
      </c>
      <c r="G33" s="677">
        <v>144</v>
      </c>
      <c r="H33" s="676">
        <v>15256</v>
      </c>
      <c r="I33" s="677">
        <v>1095</v>
      </c>
      <c r="J33" s="676">
        <v>24309</v>
      </c>
      <c r="K33" s="678">
        <v>581</v>
      </c>
      <c r="L33" s="676">
        <v>20583</v>
      </c>
      <c r="M33" s="678">
        <v>83</v>
      </c>
      <c r="N33" s="676">
        <v>18889</v>
      </c>
      <c r="O33" s="678">
        <v>135</v>
      </c>
      <c r="P33" s="676">
        <v>24534</v>
      </c>
      <c r="Q33" s="678">
        <v>136</v>
      </c>
      <c r="R33" s="676">
        <v>22241</v>
      </c>
      <c r="S33" s="678">
        <v>71</v>
      </c>
      <c r="T33" s="676">
        <v>18547</v>
      </c>
      <c r="U33" s="678">
        <v>633</v>
      </c>
      <c r="V33" s="676">
        <v>16043</v>
      </c>
      <c r="W33" s="677">
        <v>3093</v>
      </c>
      <c r="X33" s="3389">
        <v>20667</v>
      </c>
      <c r="Y33" s="555"/>
      <c r="Z33" s="555"/>
    </row>
    <row r="34" spans="1:26" ht="12.75" x14ac:dyDescent="0.2">
      <c r="A34" s="643"/>
      <c r="B34" s="642"/>
      <c r="C34" s="642"/>
      <c r="D34" s="3387" t="s">
        <v>557</v>
      </c>
      <c r="E34" s="674">
        <v>145</v>
      </c>
      <c r="F34" s="673">
        <v>24747</v>
      </c>
      <c r="G34" s="674">
        <v>66</v>
      </c>
      <c r="H34" s="673">
        <v>24208</v>
      </c>
      <c r="I34" s="674">
        <v>1080</v>
      </c>
      <c r="J34" s="673">
        <v>33005</v>
      </c>
      <c r="K34" s="675">
        <v>430</v>
      </c>
      <c r="L34" s="673">
        <v>31712</v>
      </c>
      <c r="M34" s="675">
        <v>49</v>
      </c>
      <c r="N34" s="673">
        <v>22690</v>
      </c>
      <c r="O34" s="675">
        <v>84</v>
      </c>
      <c r="P34" s="673">
        <v>30066</v>
      </c>
      <c r="Q34" s="675">
        <v>50</v>
      </c>
      <c r="R34" s="673">
        <v>29793</v>
      </c>
      <c r="S34" s="675">
        <v>51</v>
      </c>
      <c r="T34" s="673">
        <v>24157</v>
      </c>
      <c r="U34" s="675">
        <v>222</v>
      </c>
      <c r="V34" s="673">
        <v>25663</v>
      </c>
      <c r="W34" s="674">
        <v>2177</v>
      </c>
      <c r="X34" s="3390">
        <v>30559</v>
      </c>
      <c r="Y34" s="555"/>
      <c r="Z34" s="555"/>
    </row>
    <row r="35" spans="1:26" ht="12.75" x14ac:dyDescent="0.2">
      <c r="A35" s="643"/>
      <c r="B35" s="642"/>
      <c r="C35" s="642"/>
      <c r="D35" s="661"/>
      <c r="E35" s="672"/>
      <c r="F35" s="671"/>
      <c r="G35" s="672"/>
      <c r="H35" s="671"/>
      <c r="I35" s="672"/>
      <c r="J35" s="671"/>
      <c r="K35" s="510"/>
      <c r="L35" s="671"/>
      <c r="M35" s="510"/>
      <c r="N35" s="671"/>
      <c r="O35" s="510"/>
      <c r="P35" s="671"/>
      <c r="Q35" s="510"/>
      <c r="R35" s="671"/>
      <c r="S35" s="510"/>
      <c r="T35" s="671"/>
      <c r="U35" s="510"/>
      <c r="V35" s="671"/>
      <c r="W35" s="672"/>
      <c r="X35" s="671"/>
      <c r="Y35" s="555"/>
      <c r="Z35" s="555"/>
    </row>
    <row r="36" spans="1:26" ht="12.75" x14ac:dyDescent="0.2">
      <c r="A36" s="643"/>
      <c r="B36" s="642"/>
      <c r="C36" s="642"/>
      <c r="D36" s="661"/>
      <c r="E36" s="672"/>
      <c r="F36" s="671"/>
      <c r="G36" s="672"/>
      <c r="H36" s="671"/>
      <c r="I36" s="672"/>
      <c r="J36" s="671"/>
      <c r="K36" s="510"/>
      <c r="L36" s="671"/>
      <c r="M36" s="510"/>
      <c r="N36" s="671"/>
      <c r="O36" s="510"/>
      <c r="P36" s="671"/>
      <c r="Q36" s="510"/>
      <c r="R36" s="671"/>
      <c r="S36" s="510"/>
      <c r="T36" s="671"/>
      <c r="U36" s="510"/>
      <c r="V36" s="671"/>
      <c r="W36" s="672"/>
      <c r="X36" s="671"/>
      <c r="Y36" s="555"/>
      <c r="Z36" s="555"/>
    </row>
    <row r="37" spans="1:26" ht="12.75" x14ac:dyDescent="0.2">
      <c r="A37" s="643"/>
      <c r="B37" s="642"/>
      <c r="C37" s="642"/>
      <c r="D37" s="668" t="s">
        <v>55</v>
      </c>
      <c r="E37" s="667" t="s">
        <v>574</v>
      </c>
      <c r="F37" s="664"/>
      <c r="G37" s="665"/>
      <c r="H37" s="664"/>
      <c r="I37" s="666"/>
      <c r="J37" s="664"/>
      <c r="K37" s="665"/>
      <c r="L37" s="664"/>
      <c r="M37" s="665"/>
      <c r="N37" s="664"/>
      <c r="O37" s="666"/>
      <c r="P37" s="664"/>
      <c r="Q37" s="2535"/>
      <c r="R37" s="2535"/>
      <c r="S37" s="2536"/>
      <c r="T37" s="2536"/>
      <c r="U37" s="2536"/>
      <c r="V37" s="2536"/>
      <c r="W37" s="2536"/>
      <c r="X37" s="2536"/>
      <c r="Y37" s="2529"/>
      <c r="Z37" s="2529"/>
    </row>
    <row r="38" spans="1:26" ht="12.75" x14ac:dyDescent="0.2">
      <c r="A38" s="643"/>
      <c r="B38" s="642"/>
      <c r="C38" s="642"/>
      <c r="D38" s="3383"/>
      <c r="E38" s="3705" t="s">
        <v>415</v>
      </c>
      <c r="F38" s="3706"/>
      <c r="G38" s="3705" t="s">
        <v>417</v>
      </c>
      <c r="H38" s="3706"/>
      <c r="I38" s="3705" t="s">
        <v>570</v>
      </c>
      <c r="J38" s="3706"/>
      <c r="K38" s="3705" t="s">
        <v>522</v>
      </c>
      <c r="L38" s="3706"/>
      <c r="M38" s="3705" t="s">
        <v>422</v>
      </c>
      <c r="N38" s="3706"/>
      <c r="O38" s="3705" t="s">
        <v>421</v>
      </c>
      <c r="P38" s="3706"/>
      <c r="Q38" s="3705" t="s">
        <v>419</v>
      </c>
      <c r="R38" s="3706"/>
      <c r="S38" s="3705" t="s">
        <v>416</v>
      </c>
      <c r="T38" s="3706"/>
      <c r="U38" s="3705" t="s">
        <v>414</v>
      </c>
      <c r="V38" s="3706"/>
      <c r="W38" s="3707" t="s">
        <v>261</v>
      </c>
      <c r="X38" s="3708"/>
      <c r="Y38" s="554"/>
      <c r="Z38" s="554"/>
    </row>
    <row r="39" spans="1:26" ht="45" x14ac:dyDescent="0.2">
      <c r="A39" s="643"/>
      <c r="B39" s="642"/>
      <c r="C39" s="642"/>
      <c r="D39" s="3384"/>
      <c r="E39" s="663" t="s">
        <v>569</v>
      </c>
      <c r="F39" s="2530" t="s">
        <v>567</v>
      </c>
      <c r="G39" s="663" t="s">
        <v>568</v>
      </c>
      <c r="H39" s="2530" t="s">
        <v>567</v>
      </c>
      <c r="I39" s="663" t="s">
        <v>568</v>
      </c>
      <c r="J39" s="2530" t="s">
        <v>567</v>
      </c>
      <c r="K39" s="663" t="s">
        <v>568</v>
      </c>
      <c r="L39" s="2530" t="s">
        <v>567</v>
      </c>
      <c r="M39" s="663" t="s">
        <v>569</v>
      </c>
      <c r="N39" s="2530" t="s">
        <v>567</v>
      </c>
      <c r="O39" s="663" t="s">
        <v>569</v>
      </c>
      <c r="P39" s="2530" t="s">
        <v>567</v>
      </c>
      <c r="Q39" s="663" t="s">
        <v>569</v>
      </c>
      <c r="R39" s="2530" t="s">
        <v>567</v>
      </c>
      <c r="S39" s="663" t="s">
        <v>569</v>
      </c>
      <c r="T39" s="2530" t="s">
        <v>567</v>
      </c>
      <c r="U39" s="663" t="s">
        <v>569</v>
      </c>
      <c r="V39" s="2530" t="s">
        <v>567</v>
      </c>
      <c r="W39" s="663" t="s">
        <v>568</v>
      </c>
      <c r="X39" s="3388" t="s">
        <v>567</v>
      </c>
      <c r="Y39" s="555"/>
      <c r="Z39" s="555"/>
    </row>
    <row r="40" spans="1:26" ht="12.75" x14ac:dyDescent="0.2">
      <c r="A40" s="453"/>
      <c r="B40" s="650"/>
      <c r="C40" s="642"/>
      <c r="D40" s="3385" t="s">
        <v>566</v>
      </c>
      <c r="E40" s="677">
        <v>368</v>
      </c>
      <c r="F40" s="676">
        <v>1509</v>
      </c>
      <c r="G40" s="677">
        <v>5</v>
      </c>
      <c r="H40" s="676">
        <v>1942</v>
      </c>
      <c r="I40" s="678">
        <v>0</v>
      </c>
      <c r="J40" s="676">
        <v>0</v>
      </c>
      <c r="K40" s="677">
        <v>143</v>
      </c>
      <c r="L40" s="676">
        <v>2097</v>
      </c>
      <c r="M40" s="678">
        <v>7</v>
      </c>
      <c r="N40" s="676">
        <v>1637</v>
      </c>
      <c r="O40" s="678">
        <v>19</v>
      </c>
      <c r="P40" s="676">
        <v>1164</v>
      </c>
      <c r="Q40" s="678">
        <v>27</v>
      </c>
      <c r="R40" s="676">
        <v>1488</v>
      </c>
      <c r="S40" s="678">
        <v>7</v>
      </c>
      <c r="T40" s="676">
        <v>968</v>
      </c>
      <c r="U40" s="678">
        <v>0</v>
      </c>
      <c r="V40" s="676">
        <v>0</v>
      </c>
      <c r="W40" s="2532">
        <v>575</v>
      </c>
      <c r="X40" s="3389">
        <v>1641</v>
      </c>
      <c r="Y40" s="555"/>
      <c r="Z40" s="555"/>
    </row>
    <row r="41" spans="1:26" ht="12.75" x14ac:dyDescent="0.2">
      <c r="A41" s="643"/>
      <c r="B41" s="642"/>
      <c r="C41" s="642"/>
      <c r="D41" s="3385" t="s">
        <v>565</v>
      </c>
      <c r="E41" s="677">
        <v>581</v>
      </c>
      <c r="F41" s="676">
        <v>1632</v>
      </c>
      <c r="G41" s="677">
        <v>36</v>
      </c>
      <c r="H41" s="676">
        <v>1387</v>
      </c>
      <c r="I41" s="677">
        <v>37</v>
      </c>
      <c r="J41" s="676">
        <v>1970</v>
      </c>
      <c r="K41" s="677">
        <v>459</v>
      </c>
      <c r="L41" s="676">
        <v>2517</v>
      </c>
      <c r="M41" s="678">
        <v>142</v>
      </c>
      <c r="N41" s="676">
        <v>2437</v>
      </c>
      <c r="O41" s="678">
        <v>100</v>
      </c>
      <c r="P41" s="676">
        <v>2649</v>
      </c>
      <c r="Q41" s="678">
        <v>37</v>
      </c>
      <c r="R41" s="676">
        <v>4901</v>
      </c>
      <c r="S41" s="678">
        <v>23</v>
      </c>
      <c r="T41" s="676">
        <v>1645</v>
      </c>
      <c r="U41" s="678">
        <v>6</v>
      </c>
      <c r="V41" s="676">
        <v>1099</v>
      </c>
      <c r="W41" s="2532">
        <v>1422</v>
      </c>
      <c r="X41" s="3389">
        <v>2155</v>
      </c>
      <c r="Y41" s="555"/>
      <c r="Z41" s="555"/>
    </row>
    <row r="42" spans="1:26" ht="12.75" x14ac:dyDescent="0.2">
      <c r="A42" s="643"/>
      <c r="B42" s="642"/>
      <c r="C42" s="642"/>
      <c r="D42" s="3385" t="s">
        <v>564</v>
      </c>
      <c r="E42" s="677">
        <v>537</v>
      </c>
      <c r="F42" s="676">
        <v>2000</v>
      </c>
      <c r="G42" s="677">
        <v>79</v>
      </c>
      <c r="H42" s="676">
        <v>1780</v>
      </c>
      <c r="I42" s="677">
        <v>177</v>
      </c>
      <c r="J42" s="676">
        <v>2747</v>
      </c>
      <c r="K42" s="678">
        <v>715</v>
      </c>
      <c r="L42" s="676">
        <v>2665</v>
      </c>
      <c r="M42" s="678">
        <v>289</v>
      </c>
      <c r="N42" s="676">
        <v>2852</v>
      </c>
      <c r="O42" s="678">
        <v>180</v>
      </c>
      <c r="P42" s="676">
        <v>2605</v>
      </c>
      <c r="Q42" s="678">
        <v>145</v>
      </c>
      <c r="R42" s="676">
        <v>2123</v>
      </c>
      <c r="S42" s="678">
        <v>42</v>
      </c>
      <c r="T42" s="676">
        <v>3038</v>
      </c>
      <c r="U42" s="678">
        <v>7</v>
      </c>
      <c r="V42" s="676">
        <v>2437</v>
      </c>
      <c r="W42" s="2532">
        <v>2171</v>
      </c>
      <c r="X42" s="3389">
        <v>2465</v>
      </c>
      <c r="Y42" s="555"/>
      <c r="Z42" s="555"/>
    </row>
    <row r="43" spans="1:26" ht="12.75" x14ac:dyDescent="0.2">
      <c r="A43" s="643"/>
      <c r="B43" s="642"/>
      <c r="C43" s="642"/>
      <c r="D43" s="3385" t="s">
        <v>563</v>
      </c>
      <c r="E43" s="677">
        <v>786</v>
      </c>
      <c r="F43" s="676">
        <v>2833</v>
      </c>
      <c r="G43" s="677">
        <v>264</v>
      </c>
      <c r="H43" s="676">
        <v>2344</v>
      </c>
      <c r="I43" s="677">
        <v>211</v>
      </c>
      <c r="J43" s="676">
        <v>3568</v>
      </c>
      <c r="K43" s="677">
        <v>1180</v>
      </c>
      <c r="L43" s="676">
        <v>3975</v>
      </c>
      <c r="M43" s="677">
        <v>1115</v>
      </c>
      <c r="N43" s="676">
        <v>3644</v>
      </c>
      <c r="O43" s="678">
        <v>385</v>
      </c>
      <c r="P43" s="676">
        <v>3158</v>
      </c>
      <c r="Q43" s="678">
        <v>402</v>
      </c>
      <c r="R43" s="676">
        <v>2945</v>
      </c>
      <c r="S43" s="678">
        <v>125</v>
      </c>
      <c r="T43" s="676">
        <v>2345</v>
      </c>
      <c r="U43" s="678">
        <v>59</v>
      </c>
      <c r="V43" s="676">
        <v>2442</v>
      </c>
      <c r="W43" s="2532">
        <v>4526</v>
      </c>
      <c r="X43" s="3389">
        <v>3355</v>
      </c>
      <c r="Y43" s="555"/>
      <c r="Z43" s="555"/>
    </row>
    <row r="44" spans="1:26" ht="12.75" x14ac:dyDescent="0.2">
      <c r="A44" s="643"/>
      <c r="B44" s="642"/>
      <c r="C44" s="642"/>
      <c r="D44" s="3386" t="s">
        <v>562</v>
      </c>
      <c r="E44" s="677">
        <v>647</v>
      </c>
      <c r="F44" s="676">
        <v>3270</v>
      </c>
      <c r="G44" s="677">
        <v>629</v>
      </c>
      <c r="H44" s="676">
        <v>3087</v>
      </c>
      <c r="I44" s="677">
        <v>806</v>
      </c>
      <c r="J44" s="676">
        <v>4362</v>
      </c>
      <c r="K44" s="678">
        <v>1118</v>
      </c>
      <c r="L44" s="676">
        <v>4983</v>
      </c>
      <c r="M44" s="677">
        <v>1101</v>
      </c>
      <c r="N44" s="676">
        <v>5045</v>
      </c>
      <c r="O44" s="678">
        <v>655</v>
      </c>
      <c r="P44" s="676">
        <v>4532</v>
      </c>
      <c r="Q44" s="678">
        <v>625</v>
      </c>
      <c r="R44" s="676">
        <v>4209</v>
      </c>
      <c r="S44" s="678">
        <v>209</v>
      </c>
      <c r="T44" s="676">
        <v>2821</v>
      </c>
      <c r="U44" s="678">
        <v>175</v>
      </c>
      <c r="V44" s="676">
        <v>2954</v>
      </c>
      <c r="W44" s="2532">
        <v>5965</v>
      </c>
      <c r="X44" s="3389">
        <v>4259</v>
      </c>
      <c r="Y44" s="555"/>
      <c r="Z44" s="555"/>
    </row>
    <row r="45" spans="1:26" ht="12.75" x14ac:dyDescent="0.2">
      <c r="A45" s="643"/>
      <c r="B45" s="642"/>
      <c r="C45" s="642"/>
      <c r="D45" s="3385" t="s">
        <v>561</v>
      </c>
      <c r="E45" s="677">
        <v>813</v>
      </c>
      <c r="F45" s="676">
        <v>5551</v>
      </c>
      <c r="G45" s="677">
        <v>643</v>
      </c>
      <c r="H45" s="676">
        <v>5399</v>
      </c>
      <c r="I45" s="677">
        <v>2250</v>
      </c>
      <c r="J45" s="676">
        <v>6830</v>
      </c>
      <c r="K45" s="677">
        <v>1341</v>
      </c>
      <c r="L45" s="676">
        <v>8097</v>
      </c>
      <c r="M45" s="678">
        <v>584</v>
      </c>
      <c r="N45" s="676">
        <v>7822</v>
      </c>
      <c r="O45" s="678">
        <v>582</v>
      </c>
      <c r="P45" s="676">
        <v>7726</v>
      </c>
      <c r="Q45" s="678">
        <v>567</v>
      </c>
      <c r="R45" s="676">
        <v>7028</v>
      </c>
      <c r="S45" s="678">
        <v>184</v>
      </c>
      <c r="T45" s="676">
        <v>4380</v>
      </c>
      <c r="U45" s="678">
        <v>935</v>
      </c>
      <c r="V45" s="676">
        <v>5030</v>
      </c>
      <c r="W45" s="2532">
        <v>7898</v>
      </c>
      <c r="X45" s="3389">
        <v>6680</v>
      </c>
      <c r="Y45" s="555"/>
      <c r="Z45" s="555"/>
    </row>
    <row r="46" spans="1:26" ht="12.75" x14ac:dyDescent="0.2">
      <c r="A46" s="643"/>
      <c r="B46" s="642"/>
      <c r="C46" s="642"/>
      <c r="D46" s="3385" t="s">
        <v>560</v>
      </c>
      <c r="E46" s="677">
        <v>298</v>
      </c>
      <c r="F46" s="676">
        <v>8781</v>
      </c>
      <c r="G46" s="677">
        <v>160</v>
      </c>
      <c r="H46" s="676">
        <v>8776</v>
      </c>
      <c r="I46" s="677">
        <v>1421</v>
      </c>
      <c r="J46" s="676">
        <v>12095</v>
      </c>
      <c r="K46" s="678">
        <v>604</v>
      </c>
      <c r="L46" s="676">
        <v>12682</v>
      </c>
      <c r="M46" s="678">
        <v>235</v>
      </c>
      <c r="N46" s="676">
        <v>12969</v>
      </c>
      <c r="O46" s="678">
        <v>253</v>
      </c>
      <c r="P46" s="676">
        <v>14388</v>
      </c>
      <c r="Q46" s="678">
        <v>170</v>
      </c>
      <c r="R46" s="676">
        <v>13363</v>
      </c>
      <c r="S46" s="678">
        <v>53</v>
      </c>
      <c r="T46" s="676">
        <v>9038</v>
      </c>
      <c r="U46" s="678">
        <v>810</v>
      </c>
      <c r="V46" s="676">
        <v>8290</v>
      </c>
      <c r="W46" s="2532">
        <v>4003</v>
      </c>
      <c r="X46" s="3389">
        <v>11244</v>
      </c>
      <c r="Y46" s="555"/>
      <c r="Z46" s="555"/>
    </row>
    <row r="47" spans="1:26" ht="12.75" x14ac:dyDescent="0.2">
      <c r="A47" s="643"/>
      <c r="B47" s="642"/>
      <c r="C47" s="642"/>
      <c r="D47" s="3385" t="s">
        <v>559</v>
      </c>
      <c r="E47" s="677">
        <v>244</v>
      </c>
      <c r="F47" s="676">
        <v>13739</v>
      </c>
      <c r="G47" s="677">
        <v>80</v>
      </c>
      <c r="H47" s="676">
        <v>12233</v>
      </c>
      <c r="I47" s="677">
        <v>1098</v>
      </c>
      <c r="J47" s="676">
        <v>17788</v>
      </c>
      <c r="K47" s="678">
        <v>509</v>
      </c>
      <c r="L47" s="676">
        <v>16437</v>
      </c>
      <c r="M47" s="678">
        <v>114</v>
      </c>
      <c r="N47" s="676">
        <v>13448</v>
      </c>
      <c r="O47" s="678">
        <v>137</v>
      </c>
      <c r="P47" s="676">
        <v>19924</v>
      </c>
      <c r="Q47" s="678">
        <v>137</v>
      </c>
      <c r="R47" s="676">
        <v>15850</v>
      </c>
      <c r="S47" s="678">
        <v>44</v>
      </c>
      <c r="T47" s="676">
        <v>18394</v>
      </c>
      <c r="U47" s="678">
        <v>632</v>
      </c>
      <c r="V47" s="676">
        <v>12113</v>
      </c>
      <c r="W47" s="2532">
        <v>2994</v>
      </c>
      <c r="X47" s="3389">
        <v>15736</v>
      </c>
      <c r="Y47" s="555"/>
      <c r="Z47" s="555"/>
    </row>
    <row r="48" spans="1:26" ht="12.75" x14ac:dyDescent="0.2">
      <c r="A48" s="643"/>
      <c r="B48" s="642"/>
      <c r="C48" s="642"/>
      <c r="D48" s="3385" t="s">
        <v>558</v>
      </c>
      <c r="E48" s="677">
        <v>247</v>
      </c>
      <c r="F48" s="676">
        <v>18582</v>
      </c>
      <c r="G48" s="677">
        <v>114</v>
      </c>
      <c r="H48" s="676">
        <v>17456</v>
      </c>
      <c r="I48" s="677">
        <v>1254</v>
      </c>
      <c r="J48" s="676">
        <v>23766</v>
      </c>
      <c r="K48" s="678">
        <v>576</v>
      </c>
      <c r="L48" s="676">
        <v>21510</v>
      </c>
      <c r="M48" s="678">
        <v>90</v>
      </c>
      <c r="N48" s="676">
        <v>25858</v>
      </c>
      <c r="O48" s="678">
        <v>117</v>
      </c>
      <c r="P48" s="676">
        <v>25665</v>
      </c>
      <c r="Q48" s="678">
        <v>141</v>
      </c>
      <c r="R48" s="676">
        <v>22885</v>
      </c>
      <c r="S48" s="678">
        <v>83</v>
      </c>
      <c r="T48" s="676">
        <v>21322</v>
      </c>
      <c r="U48" s="678">
        <v>655</v>
      </c>
      <c r="V48" s="676">
        <v>17615</v>
      </c>
      <c r="W48" s="2532">
        <v>3278</v>
      </c>
      <c r="X48" s="3389">
        <v>21555</v>
      </c>
      <c r="Y48" s="555"/>
      <c r="Z48" s="555"/>
    </row>
    <row r="49" spans="1:26" ht="12.75" x14ac:dyDescent="0.2">
      <c r="A49" s="643"/>
      <c r="B49" s="642"/>
      <c r="C49" s="642"/>
      <c r="D49" s="3387" t="s">
        <v>557</v>
      </c>
      <c r="E49" s="674">
        <v>151</v>
      </c>
      <c r="F49" s="673">
        <v>25087</v>
      </c>
      <c r="G49" s="674">
        <v>69</v>
      </c>
      <c r="H49" s="673">
        <v>22865</v>
      </c>
      <c r="I49" s="674">
        <v>946</v>
      </c>
      <c r="J49" s="673">
        <v>34241</v>
      </c>
      <c r="K49" s="675">
        <v>473</v>
      </c>
      <c r="L49" s="673">
        <v>31149</v>
      </c>
      <c r="M49" s="675">
        <v>47</v>
      </c>
      <c r="N49" s="673">
        <v>25991</v>
      </c>
      <c r="O49" s="675">
        <v>59</v>
      </c>
      <c r="P49" s="673">
        <v>34313</v>
      </c>
      <c r="Q49" s="675">
        <v>53</v>
      </c>
      <c r="R49" s="673">
        <v>25852</v>
      </c>
      <c r="S49" s="675">
        <v>27</v>
      </c>
      <c r="T49" s="673">
        <v>25791</v>
      </c>
      <c r="U49" s="675">
        <v>278</v>
      </c>
      <c r="V49" s="673">
        <v>27412</v>
      </c>
      <c r="W49" s="2533">
        <v>2102</v>
      </c>
      <c r="X49" s="3390">
        <v>31111</v>
      </c>
      <c r="Y49" s="555"/>
      <c r="Z49" s="555"/>
    </row>
    <row r="50" spans="1:26" x14ac:dyDescent="0.2">
      <c r="A50" s="453"/>
      <c r="B50" s="670"/>
      <c r="C50" s="670"/>
      <c r="D50" s="510"/>
      <c r="E50" s="510"/>
      <c r="F50" s="669"/>
      <c r="G50" s="510"/>
      <c r="H50" s="669"/>
      <c r="I50" s="510"/>
      <c r="J50" s="669"/>
      <c r="K50" s="510"/>
      <c r="L50" s="669"/>
      <c r="M50" s="510"/>
      <c r="N50" s="669"/>
      <c r="O50" s="510"/>
      <c r="P50" s="669"/>
      <c r="Q50" s="1566"/>
      <c r="R50" s="1566"/>
      <c r="S50" s="2529"/>
      <c r="T50" s="2529"/>
      <c r="U50" s="2529"/>
      <c r="V50" s="2529"/>
      <c r="W50" s="2537"/>
      <c r="X50" s="2529"/>
      <c r="Y50" s="2529"/>
      <c r="Z50" s="2529"/>
    </row>
    <row r="51" spans="1:26" ht="12.75" x14ac:dyDescent="0.2">
      <c r="A51" s="643"/>
      <c r="B51" s="642"/>
      <c r="C51" s="642"/>
      <c r="D51" s="668" t="s">
        <v>55</v>
      </c>
      <c r="E51" s="667" t="s">
        <v>573</v>
      </c>
      <c r="F51" s="664"/>
      <c r="G51" s="665"/>
      <c r="H51" s="664"/>
      <c r="I51" s="666"/>
      <c r="J51" s="664"/>
      <c r="K51" s="665"/>
      <c r="L51" s="664"/>
      <c r="M51" s="665"/>
      <c r="N51" s="664"/>
      <c r="O51" s="666"/>
      <c r="P51" s="664"/>
      <c r="Q51" s="2535"/>
      <c r="R51" s="2535"/>
      <c r="S51" s="2536"/>
      <c r="T51" s="2536"/>
      <c r="U51" s="2536"/>
      <c r="V51" s="2536"/>
      <c r="W51" s="2536"/>
      <c r="X51" s="2536"/>
      <c r="Y51" s="2529"/>
      <c r="Z51" s="2529"/>
    </row>
    <row r="52" spans="1:26" ht="12.75" x14ac:dyDescent="0.2">
      <c r="A52" s="643"/>
      <c r="B52" s="642"/>
      <c r="C52" s="642"/>
      <c r="D52" s="3383"/>
      <c r="E52" s="3705" t="s">
        <v>415</v>
      </c>
      <c r="F52" s="3706"/>
      <c r="G52" s="3705" t="s">
        <v>417</v>
      </c>
      <c r="H52" s="3706"/>
      <c r="I52" s="3705" t="s">
        <v>570</v>
      </c>
      <c r="J52" s="3706"/>
      <c r="K52" s="3705" t="s">
        <v>522</v>
      </c>
      <c r="L52" s="3706"/>
      <c r="M52" s="3705" t="s">
        <v>422</v>
      </c>
      <c r="N52" s="3706"/>
      <c r="O52" s="3705" t="s">
        <v>421</v>
      </c>
      <c r="P52" s="3706"/>
      <c r="Q52" s="3705" t="s">
        <v>419</v>
      </c>
      <c r="R52" s="3706"/>
      <c r="S52" s="3705" t="s">
        <v>416</v>
      </c>
      <c r="T52" s="3706"/>
      <c r="U52" s="3705" t="s">
        <v>414</v>
      </c>
      <c r="V52" s="3706"/>
      <c r="W52" s="3707" t="s">
        <v>261</v>
      </c>
      <c r="X52" s="3708"/>
      <c r="Y52" s="554"/>
      <c r="Z52" s="554"/>
    </row>
    <row r="53" spans="1:26" ht="45" x14ac:dyDescent="0.2">
      <c r="A53" s="643"/>
      <c r="B53" s="642"/>
      <c r="C53" s="642"/>
      <c r="D53" s="3384"/>
      <c r="E53" s="663" t="s">
        <v>569</v>
      </c>
      <c r="F53" s="2530" t="s">
        <v>567</v>
      </c>
      <c r="G53" s="663" t="s">
        <v>568</v>
      </c>
      <c r="H53" s="2530" t="s">
        <v>567</v>
      </c>
      <c r="I53" s="663" t="s">
        <v>568</v>
      </c>
      <c r="J53" s="2530" t="s">
        <v>567</v>
      </c>
      <c r="K53" s="663" t="s">
        <v>568</v>
      </c>
      <c r="L53" s="2530" t="s">
        <v>567</v>
      </c>
      <c r="M53" s="663" t="s">
        <v>569</v>
      </c>
      <c r="N53" s="2530" t="s">
        <v>567</v>
      </c>
      <c r="O53" s="663" t="s">
        <v>569</v>
      </c>
      <c r="P53" s="2530" t="s">
        <v>567</v>
      </c>
      <c r="Q53" s="663" t="s">
        <v>569</v>
      </c>
      <c r="R53" s="2530" t="s">
        <v>567</v>
      </c>
      <c r="S53" s="663" t="s">
        <v>569</v>
      </c>
      <c r="T53" s="2530" t="s">
        <v>567</v>
      </c>
      <c r="U53" s="663" t="s">
        <v>569</v>
      </c>
      <c r="V53" s="2530" t="s">
        <v>567</v>
      </c>
      <c r="W53" s="663" t="s">
        <v>568</v>
      </c>
      <c r="X53" s="3388" t="s">
        <v>567</v>
      </c>
      <c r="Y53" s="555"/>
      <c r="Z53" s="555"/>
    </row>
    <row r="54" spans="1:26" ht="12.75" x14ac:dyDescent="0.2">
      <c r="A54" s="453"/>
      <c r="B54" s="650"/>
      <c r="C54" s="642"/>
      <c r="D54" s="3385" t="s">
        <v>566</v>
      </c>
      <c r="E54" s="677">
        <v>319</v>
      </c>
      <c r="F54" s="676">
        <v>1332</v>
      </c>
      <c r="G54" s="677">
        <v>2</v>
      </c>
      <c r="H54" s="676">
        <v>1500</v>
      </c>
      <c r="I54" s="678">
        <v>0</v>
      </c>
      <c r="J54" s="676">
        <v>0</v>
      </c>
      <c r="K54" s="677">
        <v>148</v>
      </c>
      <c r="L54" s="676">
        <v>1769</v>
      </c>
      <c r="M54" s="678">
        <v>16</v>
      </c>
      <c r="N54" s="676">
        <v>1874</v>
      </c>
      <c r="O54" s="678">
        <v>19</v>
      </c>
      <c r="P54" s="676">
        <v>1108</v>
      </c>
      <c r="Q54" s="678">
        <v>22</v>
      </c>
      <c r="R54" s="676">
        <v>1724</v>
      </c>
      <c r="S54" s="678">
        <v>1</v>
      </c>
      <c r="T54" s="676">
        <v>1150</v>
      </c>
      <c r="U54" s="678">
        <v>0</v>
      </c>
      <c r="V54" s="676">
        <v>0</v>
      </c>
      <c r="W54" s="677">
        <v>526</v>
      </c>
      <c r="X54" s="3389">
        <v>1480</v>
      </c>
      <c r="Y54" s="555"/>
      <c r="Z54" s="555"/>
    </row>
    <row r="55" spans="1:26" ht="12.75" x14ac:dyDescent="0.2">
      <c r="A55" s="643"/>
      <c r="B55" s="642"/>
      <c r="C55" s="642"/>
      <c r="D55" s="3385" t="s">
        <v>565</v>
      </c>
      <c r="E55" s="677">
        <v>493</v>
      </c>
      <c r="F55" s="676">
        <v>1520</v>
      </c>
      <c r="G55" s="677">
        <v>42</v>
      </c>
      <c r="H55" s="676">
        <v>4113</v>
      </c>
      <c r="I55" s="677">
        <v>46</v>
      </c>
      <c r="J55" s="676">
        <v>1923</v>
      </c>
      <c r="K55" s="677">
        <v>450</v>
      </c>
      <c r="L55" s="676">
        <v>2434</v>
      </c>
      <c r="M55" s="678">
        <v>137</v>
      </c>
      <c r="N55" s="676">
        <v>2532</v>
      </c>
      <c r="O55" s="678">
        <v>94</v>
      </c>
      <c r="P55" s="676">
        <v>3292</v>
      </c>
      <c r="Q55" s="678">
        <v>51</v>
      </c>
      <c r="R55" s="676">
        <v>3121</v>
      </c>
      <c r="S55" s="678">
        <v>18</v>
      </c>
      <c r="T55" s="676">
        <v>1771</v>
      </c>
      <c r="U55" s="678">
        <v>11</v>
      </c>
      <c r="V55" s="676">
        <v>2082</v>
      </c>
      <c r="W55" s="677">
        <v>1342</v>
      </c>
      <c r="X55" s="3389">
        <v>2218</v>
      </c>
      <c r="Y55" s="555"/>
      <c r="Z55" s="555"/>
    </row>
    <row r="56" spans="1:26" ht="12.75" x14ac:dyDescent="0.2">
      <c r="A56" s="643"/>
      <c r="B56" s="642"/>
      <c r="C56" s="642"/>
      <c r="D56" s="3385" t="s">
        <v>564</v>
      </c>
      <c r="E56" s="677">
        <v>538</v>
      </c>
      <c r="F56" s="676">
        <v>2118</v>
      </c>
      <c r="G56" s="677">
        <v>61</v>
      </c>
      <c r="H56" s="676">
        <v>1662</v>
      </c>
      <c r="I56" s="677">
        <v>128</v>
      </c>
      <c r="J56" s="676">
        <v>2989</v>
      </c>
      <c r="K56" s="678">
        <v>694</v>
      </c>
      <c r="L56" s="676">
        <v>3048</v>
      </c>
      <c r="M56" s="678">
        <v>264</v>
      </c>
      <c r="N56" s="676">
        <v>2581</v>
      </c>
      <c r="O56" s="678">
        <v>212</v>
      </c>
      <c r="P56" s="676">
        <v>2973</v>
      </c>
      <c r="Q56" s="678">
        <v>173</v>
      </c>
      <c r="R56" s="676">
        <v>2072</v>
      </c>
      <c r="S56" s="678">
        <v>39</v>
      </c>
      <c r="T56" s="676">
        <v>1830</v>
      </c>
      <c r="U56" s="678">
        <v>31</v>
      </c>
      <c r="V56" s="676">
        <v>1639</v>
      </c>
      <c r="W56" s="677">
        <v>2140</v>
      </c>
      <c r="X56" s="3389">
        <v>2585</v>
      </c>
      <c r="Y56" s="555"/>
      <c r="Z56" s="555"/>
    </row>
    <row r="57" spans="1:26" ht="12.75" x14ac:dyDescent="0.2">
      <c r="A57" s="643"/>
      <c r="B57" s="642"/>
      <c r="C57" s="642"/>
      <c r="D57" s="3385" t="s">
        <v>563</v>
      </c>
      <c r="E57" s="677">
        <v>741</v>
      </c>
      <c r="F57" s="676">
        <v>2332</v>
      </c>
      <c r="G57" s="677">
        <v>218</v>
      </c>
      <c r="H57" s="676">
        <v>2608</v>
      </c>
      <c r="I57" s="677">
        <v>271</v>
      </c>
      <c r="J57" s="676">
        <v>3767</v>
      </c>
      <c r="K57" s="677">
        <v>1119</v>
      </c>
      <c r="L57" s="676">
        <v>3716</v>
      </c>
      <c r="M57" s="677">
        <v>987</v>
      </c>
      <c r="N57" s="676">
        <v>3443</v>
      </c>
      <c r="O57" s="678">
        <v>323</v>
      </c>
      <c r="P57" s="676">
        <v>3161</v>
      </c>
      <c r="Q57" s="678">
        <v>458</v>
      </c>
      <c r="R57" s="676">
        <v>3097</v>
      </c>
      <c r="S57" s="678">
        <v>96</v>
      </c>
      <c r="T57" s="676">
        <v>2584</v>
      </c>
      <c r="U57" s="678">
        <v>119</v>
      </c>
      <c r="V57" s="676">
        <v>2717</v>
      </c>
      <c r="W57" s="677">
        <v>4332</v>
      </c>
      <c r="X57" s="3389">
        <v>3205</v>
      </c>
      <c r="Y57" s="555"/>
      <c r="Z57" s="555"/>
    </row>
    <row r="58" spans="1:26" ht="12.75" x14ac:dyDescent="0.2">
      <c r="A58" s="643"/>
      <c r="B58" s="642"/>
      <c r="C58" s="642"/>
      <c r="D58" s="3386" t="s">
        <v>562</v>
      </c>
      <c r="E58" s="677">
        <v>688</v>
      </c>
      <c r="F58" s="676">
        <v>3559</v>
      </c>
      <c r="G58" s="677">
        <v>492</v>
      </c>
      <c r="H58" s="676">
        <v>3413</v>
      </c>
      <c r="I58" s="677">
        <v>925</v>
      </c>
      <c r="J58" s="676">
        <v>4362</v>
      </c>
      <c r="K58" s="678">
        <v>1082</v>
      </c>
      <c r="L58" s="676">
        <v>5084</v>
      </c>
      <c r="M58" s="677">
        <v>1075</v>
      </c>
      <c r="N58" s="676">
        <v>4743</v>
      </c>
      <c r="O58" s="678">
        <v>710</v>
      </c>
      <c r="P58" s="676">
        <v>4802</v>
      </c>
      <c r="Q58" s="678">
        <v>645</v>
      </c>
      <c r="R58" s="676">
        <v>4345</v>
      </c>
      <c r="S58" s="678">
        <v>171</v>
      </c>
      <c r="T58" s="676">
        <v>2882</v>
      </c>
      <c r="U58" s="678">
        <v>299</v>
      </c>
      <c r="V58" s="676">
        <v>3263</v>
      </c>
      <c r="W58" s="677">
        <v>6087</v>
      </c>
      <c r="X58" s="3389">
        <v>4344</v>
      </c>
      <c r="Y58" s="555"/>
      <c r="Z58" s="555"/>
    </row>
    <row r="59" spans="1:26" ht="12.75" x14ac:dyDescent="0.2">
      <c r="A59" s="643"/>
      <c r="B59" s="642"/>
      <c r="C59" s="642"/>
      <c r="D59" s="3385" t="s">
        <v>561</v>
      </c>
      <c r="E59" s="677">
        <v>752</v>
      </c>
      <c r="F59" s="676">
        <v>5175</v>
      </c>
      <c r="G59" s="677">
        <v>662</v>
      </c>
      <c r="H59" s="676">
        <v>5352</v>
      </c>
      <c r="I59" s="677">
        <v>2678</v>
      </c>
      <c r="J59" s="676">
        <v>7410</v>
      </c>
      <c r="K59" s="677">
        <v>1286</v>
      </c>
      <c r="L59" s="676">
        <v>8515</v>
      </c>
      <c r="M59" s="678">
        <v>676</v>
      </c>
      <c r="N59" s="676">
        <v>7584</v>
      </c>
      <c r="O59" s="678">
        <v>759</v>
      </c>
      <c r="P59" s="676">
        <v>7756</v>
      </c>
      <c r="Q59" s="678">
        <v>536</v>
      </c>
      <c r="R59" s="676">
        <v>6640</v>
      </c>
      <c r="S59" s="678">
        <v>226</v>
      </c>
      <c r="T59" s="676">
        <v>5222</v>
      </c>
      <c r="U59" s="678">
        <v>1260</v>
      </c>
      <c r="V59" s="676">
        <v>4994</v>
      </c>
      <c r="W59" s="677">
        <v>8836</v>
      </c>
      <c r="X59" s="3389">
        <v>6822</v>
      </c>
      <c r="Y59" s="555"/>
      <c r="Z59" s="555"/>
    </row>
    <row r="60" spans="1:26" ht="12.75" x14ac:dyDescent="0.2">
      <c r="A60" s="643"/>
      <c r="B60" s="642"/>
      <c r="C60" s="642"/>
      <c r="D60" s="3385" t="s">
        <v>560</v>
      </c>
      <c r="E60" s="677">
        <v>359</v>
      </c>
      <c r="F60" s="676">
        <v>9170</v>
      </c>
      <c r="G60" s="677">
        <v>160</v>
      </c>
      <c r="H60" s="676">
        <v>9136</v>
      </c>
      <c r="I60" s="677">
        <v>1692</v>
      </c>
      <c r="J60" s="676">
        <v>13871</v>
      </c>
      <c r="K60" s="678">
        <v>629</v>
      </c>
      <c r="L60" s="676">
        <v>13471</v>
      </c>
      <c r="M60" s="678">
        <v>193</v>
      </c>
      <c r="N60" s="676">
        <v>13486</v>
      </c>
      <c r="O60" s="678">
        <v>264</v>
      </c>
      <c r="P60" s="676">
        <v>14605</v>
      </c>
      <c r="Q60" s="678">
        <v>250</v>
      </c>
      <c r="R60" s="676">
        <v>11647</v>
      </c>
      <c r="S60" s="678">
        <v>87</v>
      </c>
      <c r="T60" s="676">
        <v>8687</v>
      </c>
      <c r="U60" s="678">
        <v>938</v>
      </c>
      <c r="V60" s="676">
        <v>8000</v>
      </c>
      <c r="W60" s="677">
        <v>4572</v>
      </c>
      <c r="X60" s="3389">
        <v>11882</v>
      </c>
      <c r="Y60" s="555"/>
      <c r="Z60" s="555"/>
    </row>
    <row r="61" spans="1:26" ht="12.75" x14ac:dyDescent="0.2">
      <c r="A61" s="643"/>
      <c r="B61" s="642"/>
      <c r="C61" s="642"/>
      <c r="D61" s="3385" t="s">
        <v>559</v>
      </c>
      <c r="E61" s="677">
        <v>242</v>
      </c>
      <c r="F61" s="676">
        <v>13524</v>
      </c>
      <c r="G61" s="677">
        <v>118</v>
      </c>
      <c r="H61" s="676">
        <v>12390</v>
      </c>
      <c r="I61" s="677">
        <v>1258</v>
      </c>
      <c r="J61" s="676">
        <v>18853</v>
      </c>
      <c r="K61" s="678">
        <v>500</v>
      </c>
      <c r="L61" s="676">
        <v>18678</v>
      </c>
      <c r="M61" s="678">
        <v>132</v>
      </c>
      <c r="N61" s="676">
        <v>12557</v>
      </c>
      <c r="O61" s="678">
        <v>161</v>
      </c>
      <c r="P61" s="676">
        <v>21688</v>
      </c>
      <c r="Q61" s="678">
        <v>163</v>
      </c>
      <c r="R61" s="676">
        <v>15738</v>
      </c>
      <c r="S61" s="678">
        <v>48</v>
      </c>
      <c r="T61" s="676">
        <v>16681</v>
      </c>
      <c r="U61" s="678">
        <v>652</v>
      </c>
      <c r="V61" s="676">
        <v>13110</v>
      </c>
      <c r="W61" s="677">
        <v>3276</v>
      </c>
      <c r="X61" s="3389">
        <v>16754</v>
      </c>
      <c r="Y61" s="555"/>
      <c r="Z61" s="555"/>
    </row>
    <row r="62" spans="1:26" ht="12.75" x14ac:dyDescent="0.2">
      <c r="A62" s="643"/>
      <c r="B62" s="642"/>
      <c r="C62" s="642"/>
      <c r="D62" s="3385" t="s">
        <v>558</v>
      </c>
      <c r="E62" s="677">
        <v>281</v>
      </c>
      <c r="F62" s="676">
        <v>19107</v>
      </c>
      <c r="G62" s="677">
        <v>143</v>
      </c>
      <c r="H62" s="676">
        <v>17194</v>
      </c>
      <c r="I62" s="677">
        <v>1462</v>
      </c>
      <c r="J62" s="676">
        <v>26920</v>
      </c>
      <c r="K62" s="678">
        <v>618</v>
      </c>
      <c r="L62" s="676">
        <v>24020</v>
      </c>
      <c r="M62" s="678">
        <v>112</v>
      </c>
      <c r="N62" s="676">
        <v>26250</v>
      </c>
      <c r="O62" s="678">
        <v>156</v>
      </c>
      <c r="P62" s="676">
        <v>27114</v>
      </c>
      <c r="Q62" s="678">
        <v>125</v>
      </c>
      <c r="R62" s="676">
        <v>19448</v>
      </c>
      <c r="S62" s="678">
        <v>63</v>
      </c>
      <c r="T62" s="676">
        <v>21200</v>
      </c>
      <c r="U62" s="678">
        <v>742</v>
      </c>
      <c r="V62" s="676">
        <v>19095</v>
      </c>
      <c r="W62" s="677">
        <v>3703</v>
      </c>
      <c r="X62" s="3389">
        <v>23539</v>
      </c>
      <c r="Y62" s="555"/>
      <c r="Z62" s="555"/>
    </row>
    <row r="63" spans="1:26" ht="12.75" x14ac:dyDescent="0.2">
      <c r="A63" s="643"/>
      <c r="B63" s="642"/>
      <c r="C63" s="642"/>
      <c r="D63" s="3387" t="s">
        <v>557</v>
      </c>
      <c r="E63" s="674">
        <v>151</v>
      </c>
      <c r="F63" s="673">
        <v>30482</v>
      </c>
      <c r="G63" s="674">
        <v>66</v>
      </c>
      <c r="H63" s="673">
        <v>26227</v>
      </c>
      <c r="I63" s="674">
        <v>1056</v>
      </c>
      <c r="J63" s="673">
        <v>39674</v>
      </c>
      <c r="K63" s="675">
        <v>549</v>
      </c>
      <c r="L63" s="673">
        <v>35913</v>
      </c>
      <c r="M63" s="675">
        <v>54</v>
      </c>
      <c r="N63" s="673">
        <v>34504</v>
      </c>
      <c r="O63" s="675">
        <v>126</v>
      </c>
      <c r="P63" s="673">
        <v>41061</v>
      </c>
      <c r="Q63" s="675">
        <v>73</v>
      </c>
      <c r="R63" s="673">
        <v>26686</v>
      </c>
      <c r="S63" s="675">
        <v>14</v>
      </c>
      <c r="T63" s="673">
        <v>29872</v>
      </c>
      <c r="U63" s="675">
        <v>312</v>
      </c>
      <c r="V63" s="673">
        <v>35912</v>
      </c>
      <c r="W63" s="674">
        <v>2400</v>
      </c>
      <c r="X63" s="3390">
        <v>36883</v>
      </c>
      <c r="Y63" s="555"/>
      <c r="Z63" s="555"/>
    </row>
    <row r="64" spans="1:26" ht="12.75" x14ac:dyDescent="0.2">
      <c r="A64" s="643"/>
      <c r="B64" s="642"/>
      <c r="C64" s="642"/>
      <c r="D64" s="661"/>
      <c r="E64" s="672"/>
      <c r="F64" s="671"/>
      <c r="G64" s="672"/>
      <c r="H64" s="671"/>
      <c r="I64" s="672"/>
      <c r="J64" s="671"/>
      <c r="K64" s="510"/>
      <c r="L64" s="671"/>
      <c r="M64" s="510"/>
      <c r="N64" s="671"/>
      <c r="O64" s="510"/>
      <c r="P64" s="671"/>
      <c r="Q64" s="510"/>
      <c r="R64" s="671"/>
      <c r="S64" s="510"/>
      <c r="T64" s="671"/>
      <c r="U64" s="510"/>
      <c r="V64" s="671"/>
      <c r="W64" s="672"/>
      <c r="X64" s="671"/>
      <c r="Y64" s="555"/>
      <c r="Z64" s="555"/>
    </row>
    <row r="65" spans="1:26" ht="12.75" x14ac:dyDescent="0.2">
      <c r="A65" s="643"/>
      <c r="B65" s="642"/>
      <c r="C65" s="642"/>
      <c r="D65" s="668" t="s">
        <v>55</v>
      </c>
      <c r="E65" s="667" t="s">
        <v>572</v>
      </c>
      <c r="F65" s="664"/>
      <c r="G65" s="665"/>
      <c r="H65" s="664"/>
      <c r="I65" s="666"/>
      <c r="J65" s="664"/>
      <c r="K65" s="665"/>
      <c r="L65" s="664"/>
      <c r="M65" s="665"/>
      <c r="N65" s="664"/>
      <c r="O65" s="666"/>
      <c r="P65" s="664"/>
      <c r="Q65" s="2535"/>
      <c r="R65" s="2535"/>
      <c r="S65" s="2536"/>
      <c r="T65" s="2536"/>
      <c r="U65" s="2536"/>
      <c r="V65" s="2536"/>
      <c r="W65" s="2536"/>
      <c r="X65" s="2536"/>
      <c r="Y65" s="555"/>
      <c r="Z65" s="555"/>
    </row>
    <row r="66" spans="1:26" ht="12.75" x14ac:dyDescent="0.2">
      <c r="A66" s="643"/>
      <c r="B66" s="642"/>
      <c r="C66" s="642"/>
      <c r="D66" s="3383"/>
      <c r="E66" s="3705" t="s">
        <v>415</v>
      </c>
      <c r="F66" s="3706"/>
      <c r="G66" s="3705" t="s">
        <v>417</v>
      </c>
      <c r="H66" s="3706"/>
      <c r="I66" s="3705" t="s">
        <v>570</v>
      </c>
      <c r="J66" s="3706"/>
      <c r="K66" s="3705" t="s">
        <v>522</v>
      </c>
      <c r="L66" s="3706"/>
      <c r="M66" s="3705" t="s">
        <v>422</v>
      </c>
      <c r="N66" s="3706"/>
      <c r="O66" s="3705" t="s">
        <v>421</v>
      </c>
      <c r="P66" s="3706"/>
      <c r="Q66" s="3705" t="s">
        <v>419</v>
      </c>
      <c r="R66" s="3706"/>
      <c r="S66" s="3705" t="s">
        <v>416</v>
      </c>
      <c r="T66" s="3706"/>
      <c r="U66" s="3705" t="s">
        <v>414</v>
      </c>
      <c r="V66" s="3706"/>
      <c r="W66" s="3707" t="s">
        <v>261</v>
      </c>
      <c r="X66" s="3708"/>
      <c r="Y66" s="2529"/>
      <c r="Z66" s="2529"/>
    </row>
    <row r="67" spans="1:26" ht="45" x14ac:dyDescent="0.2">
      <c r="A67" s="643"/>
      <c r="B67" s="642"/>
      <c r="C67" s="642"/>
      <c r="D67" s="3384"/>
      <c r="E67" s="663" t="s">
        <v>569</v>
      </c>
      <c r="F67" s="2530" t="s">
        <v>567</v>
      </c>
      <c r="G67" s="663" t="s">
        <v>568</v>
      </c>
      <c r="H67" s="2530" t="s">
        <v>567</v>
      </c>
      <c r="I67" s="663" t="s">
        <v>568</v>
      </c>
      <c r="J67" s="2530" t="s">
        <v>567</v>
      </c>
      <c r="K67" s="663" t="s">
        <v>568</v>
      </c>
      <c r="L67" s="2530" t="s">
        <v>567</v>
      </c>
      <c r="M67" s="663" t="s">
        <v>569</v>
      </c>
      <c r="N67" s="2530" t="s">
        <v>567</v>
      </c>
      <c r="O67" s="663" t="s">
        <v>569</v>
      </c>
      <c r="P67" s="2530" t="s">
        <v>567</v>
      </c>
      <c r="Q67" s="663" t="s">
        <v>569</v>
      </c>
      <c r="R67" s="2530" t="s">
        <v>567</v>
      </c>
      <c r="S67" s="663" t="s">
        <v>569</v>
      </c>
      <c r="T67" s="2530" t="s">
        <v>567</v>
      </c>
      <c r="U67" s="663" t="s">
        <v>569</v>
      </c>
      <c r="V67" s="2530" t="s">
        <v>567</v>
      </c>
      <c r="W67" s="663" t="s">
        <v>568</v>
      </c>
      <c r="X67" s="3388" t="s">
        <v>567</v>
      </c>
      <c r="Y67" s="554"/>
      <c r="Z67" s="554"/>
    </row>
    <row r="68" spans="1:26" ht="12.75" x14ac:dyDescent="0.2">
      <c r="A68" s="643"/>
      <c r="B68" s="642"/>
      <c r="C68" s="642"/>
      <c r="D68" s="3385" t="s">
        <v>566</v>
      </c>
      <c r="E68" s="677">
        <v>383</v>
      </c>
      <c r="F68" s="676">
        <v>1785</v>
      </c>
      <c r="G68" s="677">
        <v>5</v>
      </c>
      <c r="H68" s="676">
        <v>892</v>
      </c>
      <c r="I68" s="678">
        <v>0</v>
      </c>
      <c r="J68" s="676">
        <v>0</v>
      </c>
      <c r="K68" s="677">
        <v>136</v>
      </c>
      <c r="L68" s="676">
        <v>3180</v>
      </c>
      <c r="M68" s="678">
        <v>19</v>
      </c>
      <c r="N68" s="676">
        <v>2798</v>
      </c>
      <c r="O68" s="678">
        <v>14</v>
      </c>
      <c r="P68" s="676">
        <v>1585</v>
      </c>
      <c r="Q68" s="678">
        <v>28</v>
      </c>
      <c r="R68" s="676">
        <v>2646</v>
      </c>
      <c r="S68" s="678">
        <v>5</v>
      </c>
      <c r="T68" s="676">
        <v>1855</v>
      </c>
      <c r="U68" s="678">
        <v>0</v>
      </c>
      <c r="V68" s="676">
        <v>0</v>
      </c>
      <c r="W68" s="2532">
        <v>591</v>
      </c>
      <c r="X68" s="3389">
        <v>2168</v>
      </c>
      <c r="Y68" s="555"/>
      <c r="Z68" s="555"/>
    </row>
    <row r="69" spans="1:26" ht="12.75" x14ac:dyDescent="0.2">
      <c r="A69" s="453"/>
      <c r="B69" s="650"/>
      <c r="C69" s="642"/>
      <c r="D69" s="3385" t="s">
        <v>565</v>
      </c>
      <c r="E69" s="677">
        <v>382</v>
      </c>
      <c r="F69" s="676">
        <v>2109</v>
      </c>
      <c r="G69" s="677">
        <v>37</v>
      </c>
      <c r="H69" s="676">
        <v>2210</v>
      </c>
      <c r="I69" s="677">
        <v>12</v>
      </c>
      <c r="J69" s="676">
        <v>2334</v>
      </c>
      <c r="K69" s="677">
        <v>526</v>
      </c>
      <c r="L69" s="676">
        <v>3391</v>
      </c>
      <c r="M69" s="678">
        <v>94</v>
      </c>
      <c r="N69" s="676">
        <v>3488</v>
      </c>
      <c r="O69" s="678">
        <v>111</v>
      </c>
      <c r="P69" s="676">
        <v>3288</v>
      </c>
      <c r="Q69" s="678">
        <v>65</v>
      </c>
      <c r="R69" s="676">
        <v>2545</v>
      </c>
      <c r="S69" s="678">
        <v>21</v>
      </c>
      <c r="T69" s="676">
        <v>2154</v>
      </c>
      <c r="U69" s="678">
        <v>1</v>
      </c>
      <c r="V69" s="676">
        <v>1680</v>
      </c>
      <c r="W69" s="2532">
        <v>1125</v>
      </c>
      <c r="X69" s="3389">
        <v>2886</v>
      </c>
      <c r="Y69" s="555"/>
      <c r="Z69" s="555"/>
    </row>
    <row r="70" spans="1:26" ht="12.75" x14ac:dyDescent="0.2">
      <c r="A70" s="643"/>
      <c r="B70" s="642"/>
      <c r="C70" s="642"/>
      <c r="D70" s="3385" t="s">
        <v>564</v>
      </c>
      <c r="E70" s="677">
        <v>535</v>
      </c>
      <c r="F70" s="676">
        <v>2348</v>
      </c>
      <c r="G70" s="677">
        <v>53</v>
      </c>
      <c r="H70" s="676">
        <v>2450</v>
      </c>
      <c r="I70" s="677">
        <v>214</v>
      </c>
      <c r="J70" s="676">
        <v>5710</v>
      </c>
      <c r="K70" s="678">
        <v>517</v>
      </c>
      <c r="L70" s="676">
        <v>3277</v>
      </c>
      <c r="M70" s="678">
        <v>310</v>
      </c>
      <c r="N70" s="676">
        <v>3691</v>
      </c>
      <c r="O70" s="678">
        <v>118</v>
      </c>
      <c r="P70" s="676">
        <v>3632</v>
      </c>
      <c r="Q70" s="678">
        <v>161</v>
      </c>
      <c r="R70" s="676">
        <v>2851</v>
      </c>
      <c r="S70" s="678">
        <v>18</v>
      </c>
      <c r="T70" s="676">
        <v>3840</v>
      </c>
      <c r="U70" s="678">
        <v>23</v>
      </c>
      <c r="V70" s="676">
        <v>2126</v>
      </c>
      <c r="W70" s="2532">
        <v>1949</v>
      </c>
      <c r="X70" s="3389">
        <v>3307</v>
      </c>
      <c r="Y70" s="555"/>
      <c r="Z70" s="555"/>
    </row>
    <row r="71" spans="1:26" ht="12.75" x14ac:dyDescent="0.2">
      <c r="A71" s="643"/>
      <c r="B71" s="642"/>
      <c r="C71" s="642"/>
      <c r="D71" s="3385" t="s">
        <v>563</v>
      </c>
      <c r="E71" s="677">
        <v>727</v>
      </c>
      <c r="F71" s="676">
        <v>2939</v>
      </c>
      <c r="G71" s="677">
        <v>191</v>
      </c>
      <c r="H71" s="676">
        <v>2726</v>
      </c>
      <c r="I71" s="677">
        <v>238</v>
      </c>
      <c r="J71" s="676">
        <v>3563</v>
      </c>
      <c r="K71" s="677">
        <v>1240</v>
      </c>
      <c r="L71" s="676">
        <v>4350</v>
      </c>
      <c r="M71" s="677">
        <v>1093</v>
      </c>
      <c r="N71" s="676">
        <v>4895</v>
      </c>
      <c r="O71" s="678">
        <v>391</v>
      </c>
      <c r="P71" s="676">
        <v>4052</v>
      </c>
      <c r="Q71" s="678">
        <v>561</v>
      </c>
      <c r="R71" s="676">
        <v>4078</v>
      </c>
      <c r="S71" s="678">
        <v>98</v>
      </c>
      <c r="T71" s="676">
        <v>3707</v>
      </c>
      <c r="U71" s="678">
        <v>101</v>
      </c>
      <c r="V71" s="676">
        <v>3871</v>
      </c>
      <c r="W71" s="2532">
        <v>4642</v>
      </c>
      <c r="X71" s="3389">
        <v>4068</v>
      </c>
      <c r="Y71" s="555"/>
      <c r="Z71" s="555"/>
    </row>
    <row r="72" spans="1:26" ht="12.75" x14ac:dyDescent="0.2">
      <c r="A72" s="643"/>
      <c r="B72" s="642"/>
      <c r="C72" s="642"/>
      <c r="D72" s="3386" t="s">
        <v>562</v>
      </c>
      <c r="E72" s="677">
        <v>654</v>
      </c>
      <c r="F72" s="676">
        <v>4187</v>
      </c>
      <c r="G72" s="677">
        <v>424</v>
      </c>
      <c r="H72" s="676">
        <v>3690</v>
      </c>
      <c r="I72" s="677">
        <v>946</v>
      </c>
      <c r="J72" s="676">
        <v>4137</v>
      </c>
      <c r="K72" s="678">
        <v>1187</v>
      </c>
      <c r="L72" s="676">
        <v>5829</v>
      </c>
      <c r="M72" s="677">
        <v>1111</v>
      </c>
      <c r="N72" s="676">
        <v>6036</v>
      </c>
      <c r="O72" s="678">
        <v>630</v>
      </c>
      <c r="P72" s="676">
        <v>5059</v>
      </c>
      <c r="Q72" s="678">
        <v>560</v>
      </c>
      <c r="R72" s="676">
        <v>5859</v>
      </c>
      <c r="S72" s="678">
        <v>147</v>
      </c>
      <c r="T72" s="676">
        <v>4072</v>
      </c>
      <c r="U72" s="678">
        <v>334</v>
      </c>
      <c r="V72" s="676">
        <v>3449</v>
      </c>
      <c r="W72" s="2532">
        <v>5992</v>
      </c>
      <c r="X72" s="3389">
        <v>5016</v>
      </c>
      <c r="Y72" s="555"/>
      <c r="Z72" s="555"/>
    </row>
    <row r="73" spans="1:26" ht="12.75" x14ac:dyDescent="0.2">
      <c r="A73" s="643"/>
      <c r="B73" s="642"/>
      <c r="C73" s="642"/>
      <c r="D73" s="3385" t="s">
        <v>561</v>
      </c>
      <c r="E73" s="677">
        <v>841</v>
      </c>
      <c r="F73" s="676">
        <v>6361</v>
      </c>
      <c r="G73" s="677">
        <v>690</v>
      </c>
      <c r="H73" s="676">
        <v>6016</v>
      </c>
      <c r="I73" s="677">
        <v>2692</v>
      </c>
      <c r="J73" s="676">
        <v>7323</v>
      </c>
      <c r="K73" s="677">
        <v>1247</v>
      </c>
      <c r="L73" s="676">
        <v>8629</v>
      </c>
      <c r="M73" s="678">
        <v>631</v>
      </c>
      <c r="N73" s="676">
        <v>9732</v>
      </c>
      <c r="O73" s="678">
        <v>794</v>
      </c>
      <c r="P73" s="676">
        <v>9072</v>
      </c>
      <c r="Q73" s="678">
        <v>576</v>
      </c>
      <c r="R73" s="676">
        <v>8529</v>
      </c>
      <c r="S73" s="678">
        <v>251</v>
      </c>
      <c r="T73" s="676">
        <v>5767</v>
      </c>
      <c r="U73" s="678">
        <v>1170</v>
      </c>
      <c r="V73" s="676">
        <v>5170</v>
      </c>
      <c r="W73" s="2532">
        <v>8893</v>
      </c>
      <c r="X73" s="3389">
        <v>7391</v>
      </c>
      <c r="Y73" s="555"/>
      <c r="Z73" s="555"/>
    </row>
    <row r="74" spans="1:26" ht="12.75" x14ac:dyDescent="0.2">
      <c r="A74" s="643"/>
      <c r="B74" s="642"/>
      <c r="C74" s="642"/>
      <c r="D74" s="3385" t="s">
        <v>560</v>
      </c>
      <c r="E74" s="677">
        <v>374</v>
      </c>
      <c r="F74" s="676">
        <v>9440</v>
      </c>
      <c r="G74" s="677">
        <v>239</v>
      </c>
      <c r="H74" s="676">
        <v>10263</v>
      </c>
      <c r="I74" s="677">
        <v>1910</v>
      </c>
      <c r="J74" s="676">
        <v>15401</v>
      </c>
      <c r="K74" s="678">
        <v>752</v>
      </c>
      <c r="L74" s="676">
        <v>13599</v>
      </c>
      <c r="M74" s="678">
        <v>138</v>
      </c>
      <c r="N74" s="676">
        <v>12374</v>
      </c>
      <c r="O74" s="678">
        <v>314</v>
      </c>
      <c r="P74" s="676">
        <v>16044</v>
      </c>
      <c r="Q74" s="678">
        <v>216</v>
      </c>
      <c r="R74" s="676">
        <v>14111</v>
      </c>
      <c r="S74" s="678">
        <v>83</v>
      </c>
      <c r="T74" s="676">
        <v>9979</v>
      </c>
      <c r="U74" s="678">
        <v>880</v>
      </c>
      <c r="V74" s="676">
        <v>8273</v>
      </c>
      <c r="W74" s="2532">
        <v>4906</v>
      </c>
      <c r="X74" s="3389">
        <v>12949</v>
      </c>
      <c r="Y74" s="555"/>
      <c r="Z74" s="555"/>
    </row>
    <row r="75" spans="1:26" ht="12.75" x14ac:dyDescent="0.2">
      <c r="A75" s="643"/>
      <c r="B75" s="642"/>
      <c r="C75" s="642"/>
      <c r="D75" s="3385" t="s">
        <v>559</v>
      </c>
      <c r="E75" s="677">
        <v>262</v>
      </c>
      <c r="F75" s="676">
        <v>14254</v>
      </c>
      <c r="G75" s="677">
        <v>141</v>
      </c>
      <c r="H75" s="676">
        <v>12484</v>
      </c>
      <c r="I75" s="677">
        <v>1241</v>
      </c>
      <c r="J75" s="676">
        <v>20173</v>
      </c>
      <c r="K75" s="678">
        <v>482</v>
      </c>
      <c r="L75" s="676">
        <v>18240</v>
      </c>
      <c r="M75" s="678">
        <v>143</v>
      </c>
      <c r="N75" s="676">
        <v>18939</v>
      </c>
      <c r="O75" s="678">
        <v>182</v>
      </c>
      <c r="P75" s="676">
        <v>19841</v>
      </c>
      <c r="Q75" s="678">
        <v>144</v>
      </c>
      <c r="R75" s="676">
        <v>19920</v>
      </c>
      <c r="S75" s="678">
        <v>69</v>
      </c>
      <c r="T75" s="676">
        <v>20445</v>
      </c>
      <c r="U75" s="678">
        <v>657</v>
      </c>
      <c r="V75" s="676">
        <v>11531</v>
      </c>
      <c r="W75" s="2532">
        <v>3321</v>
      </c>
      <c r="X75" s="3389">
        <v>17313</v>
      </c>
      <c r="Y75" s="555"/>
      <c r="Z75" s="555"/>
    </row>
    <row r="76" spans="1:26" ht="12.75" x14ac:dyDescent="0.2">
      <c r="A76" s="643"/>
      <c r="B76" s="642"/>
      <c r="C76" s="642"/>
      <c r="D76" s="3385" t="s">
        <v>558</v>
      </c>
      <c r="E76" s="677">
        <v>292</v>
      </c>
      <c r="F76" s="676">
        <v>19488</v>
      </c>
      <c r="G76" s="677">
        <v>122</v>
      </c>
      <c r="H76" s="676">
        <v>20073</v>
      </c>
      <c r="I76" s="677">
        <v>1500</v>
      </c>
      <c r="J76" s="676">
        <v>29877</v>
      </c>
      <c r="K76" s="678">
        <v>521</v>
      </c>
      <c r="L76" s="676">
        <v>23056</v>
      </c>
      <c r="M76" s="678">
        <v>95</v>
      </c>
      <c r="N76" s="676">
        <v>26638</v>
      </c>
      <c r="O76" s="678">
        <v>209</v>
      </c>
      <c r="P76" s="676">
        <v>30136</v>
      </c>
      <c r="Q76" s="678">
        <v>128</v>
      </c>
      <c r="R76" s="676">
        <v>23866</v>
      </c>
      <c r="S76" s="678">
        <v>61</v>
      </c>
      <c r="T76" s="676">
        <v>25061</v>
      </c>
      <c r="U76" s="678">
        <v>849</v>
      </c>
      <c r="V76" s="676">
        <v>17631</v>
      </c>
      <c r="W76" s="2532">
        <v>3777</v>
      </c>
      <c r="X76" s="3389">
        <v>24716</v>
      </c>
      <c r="Y76" s="555"/>
      <c r="Z76" s="555"/>
    </row>
    <row r="77" spans="1:26" ht="12.75" x14ac:dyDescent="0.2">
      <c r="A77" s="643"/>
      <c r="B77" s="642"/>
      <c r="C77" s="642"/>
      <c r="D77" s="3387" t="s">
        <v>557</v>
      </c>
      <c r="E77" s="674">
        <v>144</v>
      </c>
      <c r="F77" s="673">
        <v>30166</v>
      </c>
      <c r="G77" s="674">
        <v>64</v>
      </c>
      <c r="H77" s="673">
        <v>25914</v>
      </c>
      <c r="I77" s="674">
        <v>971</v>
      </c>
      <c r="J77" s="673">
        <v>43717</v>
      </c>
      <c r="K77" s="675">
        <v>519</v>
      </c>
      <c r="L77" s="673">
        <v>38151</v>
      </c>
      <c r="M77" s="675">
        <v>25</v>
      </c>
      <c r="N77" s="673">
        <v>34682</v>
      </c>
      <c r="O77" s="675">
        <v>105</v>
      </c>
      <c r="P77" s="673">
        <v>45724</v>
      </c>
      <c r="Q77" s="675">
        <v>84</v>
      </c>
      <c r="R77" s="673">
        <v>24661</v>
      </c>
      <c r="S77" s="675">
        <v>21</v>
      </c>
      <c r="T77" s="673">
        <v>27454</v>
      </c>
      <c r="U77" s="675">
        <v>412</v>
      </c>
      <c r="V77" s="673">
        <v>36683</v>
      </c>
      <c r="W77" s="2533">
        <v>2345</v>
      </c>
      <c r="X77" s="3390">
        <v>39097</v>
      </c>
      <c r="Y77" s="555"/>
      <c r="Z77" s="555"/>
    </row>
    <row r="78" spans="1:26" ht="12.75" x14ac:dyDescent="0.2">
      <c r="A78" s="643"/>
      <c r="B78" s="642"/>
      <c r="C78" s="642"/>
      <c r="D78" s="661" t="s">
        <v>556</v>
      </c>
      <c r="E78" s="2538">
        <f t="shared" ref="E78:X78" si="3">SUM(E75:E77)</f>
        <v>698</v>
      </c>
      <c r="F78" s="2538">
        <f t="shared" si="3"/>
        <v>63908</v>
      </c>
      <c r="G78" s="2538">
        <f t="shared" si="3"/>
        <v>327</v>
      </c>
      <c r="H78" s="2538">
        <f t="shared" si="3"/>
        <v>58471</v>
      </c>
      <c r="I78" s="2538">
        <f t="shared" si="3"/>
        <v>3712</v>
      </c>
      <c r="J78" s="2538">
        <f t="shared" si="3"/>
        <v>93767</v>
      </c>
      <c r="K78" s="2538">
        <f t="shared" si="3"/>
        <v>1522</v>
      </c>
      <c r="L78" s="2538">
        <f t="shared" si="3"/>
        <v>79447</v>
      </c>
      <c r="M78" s="2538">
        <f t="shared" si="3"/>
        <v>263</v>
      </c>
      <c r="N78" s="2538">
        <f t="shared" si="3"/>
        <v>80259</v>
      </c>
      <c r="O78" s="2538">
        <f t="shared" si="3"/>
        <v>496</v>
      </c>
      <c r="P78" s="2538">
        <f t="shared" si="3"/>
        <v>95701</v>
      </c>
      <c r="Q78" s="2538">
        <f t="shared" si="3"/>
        <v>356</v>
      </c>
      <c r="R78" s="2538">
        <f t="shared" si="3"/>
        <v>68447</v>
      </c>
      <c r="S78" s="2538">
        <f t="shared" si="3"/>
        <v>151</v>
      </c>
      <c r="T78" s="2538">
        <f t="shared" si="3"/>
        <v>72960</v>
      </c>
      <c r="U78" s="2538">
        <f t="shared" si="3"/>
        <v>1918</v>
      </c>
      <c r="V78" s="2538">
        <f t="shared" si="3"/>
        <v>65845</v>
      </c>
      <c r="W78" s="2538">
        <f t="shared" si="3"/>
        <v>9443</v>
      </c>
      <c r="X78" s="2538">
        <f t="shared" si="3"/>
        <v>81126</v>
      </c>
      <c r="Y78" s="555"/>
      <c r="Z78" s="555"/>
    </row>
    <row r="79" spans="1:26" x14ac:dyDescent="0.2">
      <c r="D79" s="661"/>
      <c r="E79" s="672"/>
      <c r="F79" s="671"/>
      <c r="G79" s="672"/>
      <c r="H79" s="671"/>
      <c r="I79" s="672"/>
      <c r="J79" s="671"/>
      <c r="K79" s="510"/>
      <c r="L79" s="671"/>
      <c r="M79" s="510"/>
      <c r="N79" s="671"/>
      <c r="O79" s="510"/>
      <c r="P79" s="671"/>
      <c r="Q79" s="510"/>
      <c r="R79" s="671"/>
      <c r="S79" s="510"/>
      <c r="T79" s="671"/>
      <c r="U79" s="510"/>
      <c r="V79" s="671"/>
      <c r="W79" s="672"/>
      <c r="X79" s="671"/>
      <c r="Y79" s="555"/>
      <c r="Z79" s="555"/>
    </row>
    <row r="80" spans="1:26" x14ac:dyDescent="0.2">
      <c r="D80" s="668" t="s">
        <v>55</v>
      </c>
      <c r="E80" s="667" t="s">
        <v>571</v>
      </c>
      <c r="F80" s="664"/>
      <c r="G80" s="665"/>
      <c r="H80" s="664"/>
      <c r="I80" s="666"/>
      <c r="J80" s="664"/>
      <c r="K80" s="665"/>
      <c r="L80" s="664"/>
      <c r="M80" s="665"/>
      <c r="N80" s="664"/>
      <c r="O80" s="666"/>
      <c r="P80" s="664"/>
      <c r="Q80" s="2535"/>
      <c r="R80" s="2535"/>
      <c r="S80" s="2536"/>
      <c r="T80" s="2536"/>
      <c r="U80" s="2536"/>
      <c r="V80" s="2536"/>
      <c r="W80" s="2536"/>
      <c r="X80" s="2536"/>
    </row>
    <row r="81" spans="1:34" x14ac:dyDescent="0.2">
      <c r="D81" s="3383"/>
      <c r="E81" s="3705" t="s">
        <v>415</v>
      </c>
      <c r="F81" s="3706"/>
      <c r="G81" s="3705" t="s">
        <v>417</v>
      </c>
      <c r="H81" s="3706"/>
      <c r="I81" s="3705" t="s">
        <v>570</v>
      </c>
      <c r="J81" s="3706"/>
      <c r="K81" s="3705" t="s">
        <v>522</v>
      </c>
      <c r="L81" s="3706"/>
      <c r="M81" s="3705" t="s">
        <v>422</v>
      </c>
      <c r="N81" s="3706"/>
      <c r="O81" s="3705" t="s">
        <v>421</v>
      </c>
      <c r="P81" s="3706"/>
      <c r="Q81" s="3705" t="s">
        <v>419</v>
      </c>
      <c r="R81" s="3706"/>
      <c r="S81" s="3705" t="s">
        <v>416</v>
      </c>
      <c r="T81" s="3706"/>
      <c r="U81" s="3705" t="s">
        <v>414</v>
      </c>
      <c r="V81" s="3706"/>
      <c r="W81" s="3707" t="s">
        <v>261</v>
      </c>
      <c r="X81" s="3708"/>
    </row>
    <row r="82" spans="1:34" ht="45" x14ac:dyDescent="0.2">
      <c r="D82" s="3384"/>
      <c r="E82" s="663" t="s">
        <v>569</v>
      </c>
      <c r="F82" s="2530" t="s">
        <v>567</v>
      </c>
      <c r="G82" s="663" t="s">
        <v>568</v>
      </c>
      <c r="H82" s="2530" t="s">
        <v>567</v>
      </c>
      <c r="I82" s="663" t="s">
        <v>568</v>
      </c>
      <c r="J82" s="2530" t="s">
        <v>567</v>
      </c>
      <c r="K82" s="663" t="s">
        <v>568</v>
      </c>
      <c r="L82" s="2530" t="s">
        <v>567</v>
      </c>
      <c r="M82" s="663" t="s">
        <v>569</v>
      </c>
      <c r="N82" s="2530" t="s">
        <v>567</v>
      </c>
      <c r="O82" s="663" t="s">
        <v>569</v>
      </c>
      <c r="P82" s="2530" t="s">
        <v>567</v>
      </c>
      <c r="Q82" s="663" t="s">
        <v>569</v>
      </c>
      <c r="R82" s="2530" t="s">
        <v>567</v>
      </c>
      <c r="S82" s="663" t="s">
        <v>569</v>
      </c>
      <c r="T82" s="2530" t="s">
        <v>567</v>
      </c>
      <c r="U82" s="663" t="s">
        <v>569</v>
      </c>
      <c r="V82" s="2530" t="s">
        <v>567</v>
      </c>
      <c r="W82" s="663" t="s">
        <v>568</v>
      </c>
      <c r="X82" s="3388" t="s">
        <v>567</v>
      </c>
    </row>
    <row r="83" spans="1:34" x14ac:dyDescent="0.2">
      <c r="D83" s="3385" t="s">
        <v>566</v>
      </c>
      <c r="E83" s="677">
        <v>24</v>
      </c>
      <c r="F83" s="676">
        <v>1600</v>
      </c>
      <c r="G83" s="677">
        <v>13</v>
      </c>
      <c r="H83" s="676">
        <v>1472</v>
      </c>
      <c r="I83" s="678">
        <v>0</v>
      </c>
      <c r="J83" s="676">
        <v>0</v>
      </c>
      <c r="K83" s="677">
        <v>44</v>
      </c>
      <c r="L83" s="676">
        <v>2873</v>
      </c>
      <c r="M83" s="678">
        <v>27</v>
      </c>
      <c r="N83" s="676">
        <v>7177</v>
      </c>
      <c r="O83" s="678">
        <v>41</v>
      </c>
      <c r="P83" s="676">
        <v>2415</v>
      </c>
      <c r="Q83" s="678">
        <v>20</v>
      </c>
      <c r="R83" s="676">
        <v>2712</v>
      </c>
      <c r="S83" s="678">
        <v>4</v>
      </c>
      <c r="T83" s="676">
        <v>2194</v>
      </c>
      <c r="U83" s="678">
        <v>0</v>
      </c>
      <c r="V83" s="676">
        <v>0</v>
      </c>
      <c r="W83" s="2532">
        <v>424</v>
      </c>
      <c r="X83" s="3389">
        <v>2225</v>
      </c>
    </row>
    <row r="84" spans="1:34" x14ac:dyDescent="0.2">
      <c r="D84" s="3385" t="s">
        <v>565</v>
      </c>
      <c r="E84" s="677">
        <v>281</v>
      </c>
      <c r="F84" s="676">
        <v>2577</v>
      </c>
      <c r="G84" s="677">
        <v>24</v>
      </c>
      <c r="H84" s="676">
        <v>2726</v>
      </c>
      <c r="I84" s="677">
        <v>31</v>
      </c>
      <c r="J84" s="676">
        <v>3494</v>
      </c>
      <c r="K84" s="677">
        <v>465</v>
      </c>
      <c r="L84" s="676">
        <v>3654</v>
      </c>
      <c r="M84" s="678">
        <v>73</v>
      </c>
      <c r="N84" s="676">
        <v>6478</v>
      </c>
      <c r="O84" s="678">
        <v>85</v>
      </c>
      <c r="P84" s="676">
        <v>2509</v>
      </c>
      <c r="Q84" s="678">
        <v>59</v>
      </c>
      <c r="R84" s="676">
        <v>2440</v>
      </c>
      <c r="S84" s="678">
        <v>12</v>
      </c>
      <c r="T84" s="676">
        <v>2614</v>
      </c>
      <c r="U84" s="678">
        <v>3</v>
      </c>
      <c r="V84" s="676">
        <v>1861</v>
      </c>
      <c r="W84" s="2532">
        <v>1034</v>
      </c>
      <c r="X84" s="3389">
        <v>3352</v>
      </c>
    </row>
    <row r="85" spans="1:34" x14ac:dyDescent="0.2">
      <c r="D85" s="3385" t="s">
        <v>564</v>
      </c>
      <c r="E85" s="677">
        <v>599</v>
      </c>
      <c r="F85" s="676">
        <v>2446</v>
      </c>
      <c r="G85" s="677">
        <v>78</v>
      </c>
      <c r="H85" s="676">
        <v>2658</v>
      </c>
      <c r="I85" s="677">
        <v>177</v>
      </c>
      <c r="J85" s="676">
        <v>3993</v>
      </c>
      <c r="K85" s="678">
        <v>630</v>
      </c>
      <c r="L85" s="676">
        <v>4416</v>
      </c>
      <c r="M85" s="678">
        <v>332</v>
      </c>
      <c r="N85" s="676">
        <v>3254</v>
      </c>
      <c r="O85" s="678">
        <v>111</v>
      </c>
      <c r="P85" s="676">
        <v>3563</v>
      </c>
      <c r="Q85" s="678">
        <v>202</v>
      </c>
      <c r="R85" s="676">
        <v>2797</v>
      </c>
      <c r="S85" s="678">
        <v>42</v>
      </c>
      <c r="T85" s="676">
        <v>2452</v>
      </c>
      <c r="U85" s="678">
        <v>27</v>
      </c>
      <c r="V85" s="676">
        <v>2726</v>
      </c>
      <c r="W85" s="2532">
        <v>2196</v>
      </c>
      <c r="X85" s="3389">
        <v>3357</v>
      </c>
    </row>
    <row r="86" spans="1:34" x14ac:dyDescent="0.2">
      <c r="D86" s="3385" t="s">
        <v>563</v>
      </c>
      <c r="E86" s="677">
        <v>823</v>
      </c>
      <c r="F86" s="676">
        <v>3206</v>
      </c>
      <c r="G86" s="677">
        <v>168</v>
      </c>
      <c r="H86" s="676">
        <v>3153</v>
      </c>
      <c r="I86" s="677">
        <v>262</v>
      </c>
      <c r="J86" s="676">
        <v>4832</v>
      </c>
      <c r="K86" s="677">
        <v>1376</v>
      </c>
      <c r="L86" s="676">
        <v>4714</v>
      </c>
      <c r="M86" s="677">
        <v>1198</v>
      </c>
      <c r="N86" s="676">
        <v>4405</v>
      </c>
      <c r="O86" s="678">
        <v>395</v>
      </c>
      <c r="P86" s="676">
        <v>4244</v>
      </c>
      <c r="Q86" s="678">
        <v>537</v>
      </c>
      <c r="R86" s="676">
        <v>3867</v>
      </c>
      <c r="S86" s="678">
        <v>75</v>
      </c>
      <c r="T86" s="676">
        <v>3415</v>
      </c>
      <c r="U86" s="678">
        <v>75</v>
      </c>
      <c r="V86" s="676">
        <v>2608</v>
      </c>
      <c r="W86" s="2532">
        <v>4909</v>
      </c>
      <c r="X86" s="3389">
        <v>4156</v>
      </c>
    </row>
    <row r="87" spans="1:34" x14ac:dyDescent="0.2">
      <c r="D87" s="3386" t="s">
        <v>562</v>
      </c>
      <c r="E87" s="677">
        <v>711</v>
      </c>
      <c r="F87" s="676">
        <v>4554</v>
      </c>
      <c r="G87" s="677">
        <v>395</v>
      </c>
      <c r="H87" s="676">
        <v>3604</v>
      </c>
      <c r="I87" s="677">
        <v>1041</v>
      </c>
      <c r="J87" s="676">
        <v>5162</v>
      </c>
      <c r="K87" s="678">
        <v>1321</v>
      </c>
      <c r="L87" s="676">
        <v>6196</v>
      </c>
      <c r="M87" s="677">
        <v>1222</v>
      </c>
      <c r="N87" s="676">
        <v>6126</v>
      </c>
      <c r="O87" s="678">
        <v>637</v>
      </c>
      <c r="P87" s="676">
        <v>7432</v>
      </c>
      <c r="Q87" s="678">
        <v>652</v>
      </c>
      <c r="R87" s="676">
        <v>6209</v>
      </c>
      <c r="S87" s="678">
        <v>133</v>
      </c>
      <c r="T87" s="676">
        <v>3805</v>
      </c>
      <c r="U87" s="678">
        <v>296</v>
      </c>
      <c r="V87" s="676">
        <v>3785</v>
      </c>
      <c r="W87" s="2532">
        <v>6409</v>
      </c>
      <c r="X87" s="3389">
        <v>5636</v>
      </c>
    </row>
    <row r="88" spans="1:34" x14ac:dyDescent="0.2">
      <c r="D88" s="3385" t="s">
        <v>561</v>
      </c>
      <c r="E88" s="677">
        <v>853</v>
      </c>
      <c r="F88" s="676">
        <v>6369</v>
      </c>
      <c r="G88" s="677">
        <v>663</v>
      </c>
      <c r="H88" s="676">
        <v>6560</v>
      </c>
      <c r="I88" s="677">
        <v>2722</v>
      </c>
      <c r="J88" s="676">
        <v>8136</v>
      </c>
      <c r="K88" s="677">
        <v>1181</v>
      </c>
      <c r="L88" s="676">
        <v>9084</v>
      </c>
      <c r="M88" s="678">
        <v>487</v>
      </c>
      <c r="N88" s="676">
        <v>9193</v>
      </c>
      <c r="O88" s="678">
        <v>738</v>
      </c>
      <c r="P88" s="676">
        <v>9349</v>
      </c>
      <c r="Q88" s="678">
        <v>563</v>
      </c>
      <c r="R88" s="676">
        <v>8621</v>
      </c>
      <c r="S88" s="678">
        <v>249</v>
      </c>
      <c r="T88" s="676">
        <v>5333</v>
      </c>
      <c r="U88" s="678">
        <v>1251</v>
      </c>
      <c r="V88" s="676">
        <v>6686</v>
      </c>
      <c r="W88" s="2532">
        <v>8707</v>
      </c>
      <c r="X88" s="3389">
        <v>7876</v>
      </c>
    </row>
    <row r="89" spans="1:34" x14ac:dyDescent="0.2">
      <c r="D89" s="3385" t="s">
        <v>560</v>
      </c>
      <c r="E89" s="677">
        <v>436</v>
      </c>
      <c r="F89" s="676">
        <v>10446</v>
      </c>
      <c r="G89" s="677">
        <v>255</v>
      </c>
      <c r="H89" s="676">
        <v>11900</v>
      </c>
      <c r="I89" s="677">
        <v>1997</v>
      </c>
      <c r="J89" s="676">
        <v>14534</v>
      </c>
      <c r="K89" s="678">
        <v>562</v>
      </c>
      <c r="L89" s="676">
        <v>13762</v>
      </c>
      <c r="M89" s="678">
        <v>171</v>
      </c>
      <c r="N89" s="676">
        <v>18286</v>
      </c>
      <c r="O89" s="678">
        <v>348</v>
      </c>
      <c r="P89" s="676">
        <v>16358</v>
      </c>
      <c r="Q89" s="678">
        <v>225</v>
      </c>
      <c r="R89" s="676">
        <v>15051</v>
      </c>
      <c r="S89" s="678">
        <v>138</v>
      </c>
      <c r="T89" s="676">
        <v>10417</v>
      </c>
      <c r="U89" s="678">
        <v>1060</v>
      </c>
      <c r="V89" s="676">
        <v>10493</v>
      </c>
      <c r="W89" s="2532">
        <v>5194</v>
      </c>
      <c r="X89" s="3389">
        <v>13311</v>
      </c>
    </row>
    <row r="90" spans="1:34" x14ac:dyDescent="0.2">
      <c r="D90" s="3385" t="s">
        <v>559</v>
      </c>
      <c r="E90" s="677">
        <v>257</v>
      </c>
      <c r="F90" s="676">
        <v>16028</v>
      </c>
      <c r="G90" s="677">
        <v>169</v>
      </c>
      <c r="H90" s="676">
        <v>17575</v>
      </c>
      <c r="I90" s="677">
        <v>1381</v>
      </c>
      <c r="J90" s="676">
        <v>23347</v>
      </c>
      <c r="K90" s="678">
        <v>375</v>
      </c>
      <c r="L90" s="676">
        <v>17321</v>
      </c>
      <c r="M90" s="678">
        <v>80</v>
      </c>
      <c r="N90" s="676">
        <v>21836</v>
      </c>
      <c r="O90" s="678">
        <v>182</v>
      </c>
      <c r="P90" s="676">
        <v>21350</v>
      </c>
      <c r="Q90" s="678">
        <v>139</v>
      </c>
      <c r="R90" s="676">
        <v>24272</v>
      </c>
      <c r="S90" s="678">
        <v>60</v>
      </c>
      <c r="T90" s="676">
        <v>12512</v>
      </c>
      <c r="U90" s="678">
        <v>657</v>
      </c>
      <c r="V90" s="676">
        <v>13433</v>
      </c>
      <c r="W90" s="2532">
        <v>3300</v>
      </c>
      <c r="X90" s="3389">
        <v>19516</v>
      </c>
    </row>
    <row r="91" spans="1:34" x14ac:dyDescent="0.2">
      <c r="D91" s="3385" t="s">
        <v>558</v>
      </c>
      <c r="E91" s="677">
        <v>251</v>
      </c>
      <c r="F91" s="676">
        <v>20509</v>
      </c>
      <c r="G91" s="677">
        <v>157</v>
      </c>
      <c r="H91" s="676">
        <v>20795</v>
      </c>
      <c r="I91" s="677">
        <v>1470</v>
      </c>
      <c r="J91" s="676">
        <v>31454</v>
      </c>
      <c r="K91" s="678">
        <v>582</v>
      </c>
      <c r="L91" s="676">
        <v>26432</v>
      </c>
      <c r="M91" s="678">
        <v>48</v>
      </c>
      <c r="N91" s="676">
        <v>27119</v>
      </c>
      <c r="O91" s="678">
        <v>275</v>
      </c>
      <c r="P91" s="676">
        <v>30095</v>
      </c>
      <c r="Q91" s="678">
        <v>114</v>
      </c>
      <c r="R91" s="676">
        <v>29285</v>
      </c>
      <c r="S91" s="678">
        <v>61</v>
      </c>
      <c r="T91" s="676">
        <v>19684</v>
      </c>
      <c r="U91" s="678">
        <v>747</v>
      </c>
      <c r="V91" s="676">
        <v>21053</v>
      </c>
      <c r="W91" s="2532">
        <v>3706</v>
      </c>
      <c r="X91" s="3389">
        <v>26957</v>
      </c>
    </row>
    <row r="92" spans="1:34" x14ac:dyDescent="0.2">
      <c r="D92" s="3387" t="s">
        <v>557</v>
      </c>
      <c r="E92" s="674">
        <v>136</v>
      </c>
      <c r="F92" s="673">
        <v>32500</v>
      </c>
      <c r="G92" s="674">
        <v>48</v>
      </c>
      <c r="H92" s="673">
        <v>33087</v>
      </c>
      <c r="I92" s="674">
        <v>979</v>
      </c>
      <c r="J92" s="673">
        <v>47501</v>
      </c>
      <c r="K92" s="675">
        <v>642</v>
      </c>
      <c r="L92" s="673">
        <v>37862</v>
      </c>
      <c r="M92" s="675">
        <v>18</v>
      </c>
      <c r="N92" s="673">
        <v>34887</v>
      </c>
      <c r="O92" s="675">
        <v>110</v>
      </c>
      <c r="P92" s="673">
        <v>46275</v>
      </c>
      <c r="Q92" s="675">
        <v>43</v>
      </c>
      <c r="R92" s="673">
        <v>39122</v>
      </c>
      <c r="S92" s="675">
        <v>13</v>
      </c>
      <c r="T92" s="673">
        <v>28957</v>
      </c>
      <c r="U92" s="675">
        <v>391</v>
      </c>
      <c r="V92" s="673">
        <v>36812</v>
      </c>
      <c r="W92" s="2533">
        <v>2381</v>
      </c>
      <c r="X92" s="3390">
        <v>41587</v>
      </c>
    </row>
    <row r="93" spans="1:34" s="2527" customFormat="1" x14ac:dyDescent="0.2">
      <c r="A93" s="637"/>
      <c r="B93" s="636"/>
      <c r="C93" s="636"/>
      <c r="D93" s="661" t="s">
        <v>556</v>
      </c>
      <c r="E93" s="2538">
        <f t="shared" ref="E93:X93" si="4">SUM(E90:E92)</f>
        <v>644</v>
      </c>
      <c r="F93" s="2538">
        <f t="shared" si="4"/>
        <v>69037</v>
      </c>
      <c r="G93" s="2538">
        <f t="shared" si="4"/>
        <v>374</v>
      </c>
      <c r="H93" s="2538">
        <f t="shared" si="4"/>
        <v>71457</v>
      </c>
      <c r="I93" s="2538">
        <f t="shared" si="4"/>
        <v>3830</v>
      </c>
      <c r="J93" s="2538">
        <f t="shared" si="4"/>
        <v>102302</v>
      </c>
      <c r="K93" s="2538">
        <f t="shared" si="4"/>
        <v>1599</v>
      </c>
      <c r="L93" s="2538">
        <f t="shared" si="4"/>
        <v>81615</v>
      </c>
      <c r="M93" s="2538">
        <f t="shared" si="4"/>
        <v>146</v>
      </c>
      <c r="N93" s="2538">
        <f t="shared" si="4"/>
        <v>83842</v>
      </c>
      <c r="O93" s="2538">
        <f t="shared" si="4"/>
        <v>567</v>
      </c>
      <c r="P93" s="2538">
        <f t="shared" si="4"/>
        <v>97720</v>
      </c>
      <c r="Q93" s="2538">
        <f t="shared" si="4"/>
        <v>296</v>
      </c>
      <c r="R93" s="2538">
        <f t="shared" si="4"/>
        <v>92679</v>
      </c>
      <c r="S93" s="2538">
        <f t="shared" si="4"/>
        <v>134</v>
      </c>
      <c r="T93" s="2538">
        <f t="shared" si="4"/>
        <v>61153</v>
      </c>
      <c r="U93" s="2538">
        <f t="shared" si="4"/>
        <v>1795</v>
      </c>
      <c r="V93" s="2538">
        <f t="shared" si="4"/>
        <v>71298</v>
      </c>
      <c r="W93" s="2538">
        <f t="shared" si="4"/>
        <v>9387</v>
      </c>
      <c r="X93" s="2538">
        <f t="shared" si="4"/>
        <v>88060</v>
      </c>
      <c r="AA93" s="555"/>
      <c r="AB93" s="555"/>
      <c r="AC93" s="555"/>
      <c r="AD93" s="555"/>
      <c r="AE93" s="555"/>
      <c r="AF93" s="555"/>
      <c r="AG93" s="555"/>
      <c r="AH93" s="555"/>
    </row>
    <row r="94" spans="1:34" s="2527" customFormat="1" x14ac:dyDescent="0.2">
      <c r="A94" s="637"/>
      <c r="B94" s="636"/>
      <c r="C94" s="636"/>
      <c r="D94" s="661"/>
      <c r="E94" s="2538"/>
      <c r="F94" s="2538"/>
      <c r="G94" s="2538"/>
      <c r="H94" s="2538"/>
      <c r="I94" s="2538"/>
      <c r="J94" s="2538"/>
      <c r="K94" s="2538"/>
      <c r="L94" s="2538"/>
      <c r="M94" s="2538"/>
      <c r="N94" s="2538"/>
      <c r="O94" s="2538"/>
      <c r="P94" s="2538"/>
      <c r="Q94" s="2538"/>
      <c r="R94" s="2538"/>
      <c r="S94" s="2538"/>
      <c r="T94" s="2538"/>
      <c r="U94" s="2538"/>
      <c r="V94" s="2538"/>
      <c r="W94" s="2538"/>
      <c r="X94" s="2538"/>
      <c r="AA94" s="555"/>
      <c r="AB94" s="555"/>
      <c r="AC94" s="555"/>
      <c r="AD94" s="555"/>
      <c r="AE94" s="555"/>
      <c r="AF94" s="555"/>
      <c r="AG94" s="555"/>
      <c r="AH94" s="555"/>
    </row>
    <row r="95" spans="1:34" ht="15" customHeight="1" x14ac:dyDescent="0.2">
      <c r="A95" s="453">
        <v>5</v>
      </c>
      <c r="B95" s="453" t="s">
        <v>78</v>
      </c>
      <c r="C95" s="453"/>
      <c r="D95" s="3709" t="s">
        <v>555</v>
      </c>
      <c r="E95" s="3710"/>
      <c r="F95" s="3710"/>
      <c r="G95" s="3710"/>
      <c r="H95" s="3710"/>
      <c r="I95" s="3710"/>
      <c r="J95" s="3710"/>
      <c r="K95" s="3710"/>
      <c r="L95" s="3710"/>
      <c r="M95" s="3710"/>
      <c r="N95" s="3710"/>
      <c r="O95" s="3710"/>
      <c r="P95" s="3710"/>
      <c r="Q95" s="3710"/>
      <c r="R95" s="3710"/>
      <c r="S95" s="3710"/>
      <c r="T95" s="3710"/>
      <c r="U95" s="3710"/>
      <c r="V95" s="3710"/>
      <c r="W95" s="3710"/>
      <c r="X95" s="3710"/>
      <c r="Y95" s="3710"/>
      <c r="Z95" s="3710"/>
      <c r="AA95" s="3710"/>
      <c r="AB95" s="3710"/>
      <c r="AC95" s="3710"/>
      <c r="AD95" s="3710"/>
      <c r="AE95" s="3710"/>
      <c r="AF95" s="3710"/>
      <c r="AG95" s="3710"/>
      <c r="AH95" s="3711"/>
    </row>
    <row r="96" spans="1:34" s="2539" customFormat="1" ht="12.75" customHeight="1" x14ac:dyDescent="0.2">
      <c r="A96" s="453">
        <v>6</v>
      </c>
      <c r="B96" s="453" t="s">
        <v>80</v>
      </c>
      <c r="C96" s="453"/>
      <c r="D96" s="3709" t="s">
        <v>554</v>
      </c>
      <c r="E96" s="3710"/>
      <c r="F96" s="3710"/>
      <c r="G96" s="3710"/>
      <c r="H96" s="3710"/>
      <c r="I96" s="3710"/>
      <c r="J96" s="3710"/>
      <c r="K96" s="3710"/>
      <c r="L96" s="3710"/>
      <c r="M96" s="3710"/>
      <c r="N96" s="3710"/>
      <c r="O96" s="3710"/>
      <c r="P96" s="3710"/>
      <c r="Q96" s="3710"/>
      <c r="R96" s="3710"/>
      <c r="S96" s="3710"/>
      <c r="T96" s="3710"/>
      <c r="U96" s="3710"/>
      <c r="V96" s="3710"/>
      <c r="W96" s="3710"/>
      <c r="X96" s="3710"/>
      <c r="Y96" s="3710"/>
      <c r="Z96" s="3710"/>
      <c r="AA96" s="3710"/>
      <c r="AB96" s="3710"/>
      <c r="AC96" s="3710"/>
      <c r="AD96" s="3710"/>
      <c r="AE96" s="3710"/>
      <c r="AF96" s="3710"/>
      <c r="AG96" s="3710"/>
      <c r="AH96" s="3711"/>
    </row>
    <row r="97" spans="1:34" ht="13.15" customHeight="1" x14ac:dyDescent="0.2">
      <c r="A97" s="453">
        <v>7</v>
      </c>
      <c r="B97" s="453" t="s">
        <v>20</v>
      </c>
      <c r="C97" s="453"/>
      <c r="D97" s="3709" t="s">
        <v>553</v>
      </c>
      <c r="E97" s="3710"/>
      <c r="F97" s="3710"/>
      <c r="G97" s="3710"/>
      <c r="H97" s="3710"/>
      <c r="I97" s="3710"/>
      <c r="J97" s="3710"/>
      <c r="K97" s="3710"/>
      <c r="L97" s="3710"/>
      <c r="M97" s="3710"/>
      <c r="N97" s="3710"/>
      <c r="O97" s="3710"/>
      <c r="P97" s="3710"/>
      <c r="Q97" s="3710"/>
      <c r="R97" s="3710"/>
      <c r="S97" s="3710"/>
      <c r="T97" s="3710"/>
      <c r="U97" s="3710"/>
      <c r="V97" s="3710"/>
      <c r="W97" s="3710"/>
      <c r="X97" s="3710"/>
      <c r="Y97" s="3710"/>
      <c r="Z97" s="3710"/>
      <c r="AA97" s="3710"/>
      <c r="AB97" s="3710"/>
      <c r="AC97" s="3710"/>
      <c r="AD97" s="3710"/>
      <c r="AE97" s="3710"/>
      <c r="AF97" s="3710"/>
      <c r="AG97" s="3710"/>
      <c r="AH97" s="3711"/>
    </row>
  </sheetData>
  <mergeCells count="71">
    <mergeCell ref="D95:AH95"/>
    <mergeCell ref="D96:AH96"/>
    <mergeCell ref="D97:AH97"/>
    <mergeCell ref="U52:V52"/>
    <mergeCell ref="W52:X52"/>
    <mergeCell ref="E66:F66"/>
    <mergeCell ref="G66:H66"/>
    <mergeCell ref="I66:J66"/>
    <mergeCell ref="U66:V66"/>
    <mergeCell ref="W66:X66"/>
    <mergeCell ref="E81:F81"/>
    <mergeCell ref="U81:V81"/>
    <mergeCell ref="W81:X81"/>
    <mergeCell ref="O52:P52"/>
    <mergeCell ref="Q52:R52"/>
    <mergeCell ref="S52:T52"/>
    <mergeCell ref="G81:H81"/>
    <mergeCell ref="I81:J81"/>
    <mergeCell ref="K81:L81"/>
    <mergeCell ref="M81:N81"/>
    <mergeCell ref="K66:L66"/>
    <mergeCell ref="M66:N66"/>
    <mergeCell ref="O66:P66"/>
    <mergeCell ref="Q66:R66"/>
    <mergeCell ref="S66:T66"/>
    <mergeCell ref="Q81:R81"/>
    <mergeCell ref="S81:T81"/>
    <mergeCell ref="O81:P81"/>
    <mergeCell ref="U38:V38"/>
    <mergeCell ref="W38:X38"/>
    <mergeCell ref="E52:F52"/>
    <mergeCell ref="G52:H52"/>
    <mergeCell ref="I52:J52"/>
    <mergeCell ref="K52:L52"/>
    <mergeCell ref="M52:N52"/>
    <mergeCell ref="O38:P38"/>
    <mergeCell ref="Q38:R38"/>
    <mergeCell ref="S38:T38"/>
    <mergeCell ref="E38:F38"/>
    <mergeCell ref="G38:H38"/>
    <mergeCell ref="I38:J38"/>
    <mergeCell ref="K38:L38"/>
    <mergeCell ref="M38:N38"/>
    <mergeCell ref="O23:P23"/>
    <mergeCell ref="Q23:R23"/>
    <mergeCell ref="AC7:AD7"/>
    <mergeCell ref="U23:V23"/>
    <mergeCell ref="W23:X23"/>
    <mergeCell ref="U7:V7"/>
    <mergeCell ref="Y7:Z7"/>
    <mergeCell ref="AA7:AB7"/>
    <mergeCell ref="S23:T23"/>
    <mergeCell ref="O7:P7"/>
    <mergeCell ref="W7:X7"/>
    <mergeCell ref="Q7:R7"/>
    <mergeCell ref="S7:T7"/>
    <mergeCell ref="E23:F23"/>
    <mergeCell ref="G23:H23"/>
    <mergeCell ref="I23:J23"/>
    <mergeCell ref="K23:L23"/>
    <mergeCell ref="M23:N23"/>
    <mergeCell ref="D2:AH2"/>
    <mergeCell ref="D3:AH3"/>
    <mergeCell ref="D4:AH4"/>
    <mergeCell ref="E7:F7"/>
    <mergeCell ref="G7:H7"/>
    <mergeCell ref="I7:J7"/>
    <mergeCell ref="K7:L7"/>
    <mergeCell ref="M7:N7"/>
    <mergeCell ref="AE7:AF7"/>
    <mergeCell ref="AG7:AH7"/>
  </mergeCells>
  <pageMargins left="0.74803149606299213" right="0.74803149606299213" top="0.98425196850393704" bottom="0.98425196850393704" header="0.51181102362204722" footer="0.51181102362204722"/>
  <pageSetup paperSize="9" scale="3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117"/>
  <sheetViews>
    <sheetView showGridLines="0" view="pageBreakPreview" topLeftCell="A32" zoomScale="115" zoomScaleNormal="100" zoomScaleSheetLayoutView="115" workbookViewId="0">
      <selection activeCell="B18" sqref="B18"/>
    </sheetView>
  </sheetViews>
  <sheetFormatPr defaultColWidth="6" defaultRowHeight="15" x14ac:dyDescent="0.25"/>
  <cols>
    <col min="1" max="1" width="3.7109375" style="686" customWidth="1"/>
    <col min="2" max="2" width="17" style="685" customWidth="1"/>
    <col min="3" max="3" width="3.7109375" style="685" customWidth="1"/>
    <col min="4" max="4" width="13.5703125" style="59" customWidth="1"/>
    <col min="5" max="5" width="5.42578125" style="59" customWidth="1"/>
    <col min="6" max="8" width="6" style="59" customWidth="1"/>
    <col min="9" max="9" width="0.140625" style="59" customWidth="1"/>
    <col min="10" max="12" width="6" style="59" customWidth="1"/>
    <col min="13" max="13" width="7.5703125" style="59" customWidth="1"/>
    <col min="14" max="15" width="6" style="59" customWidth="1"/>
    <col min="16" max="16" width="6.28515625" style="59" customWidth="1"/>
    <col min="17" max="18" width="6" style="59" customWidth="1"/>
    <col min="19" max="19" width="6.7109375" style="59" customWidth="1"/>
    <col min="20" max="247" width="9.140625" style="59" customWidth="1"/>
    <col min="248" max="248" width="3.7109375" style="59" customWidth="1"/>
    <col min="249" max="249" width="17" style="59" customWidth="1"/>
    <col min="250" max="250" width="3.7109375" style="59" customWidth="1"/>
    <col min="251" max="251" width="13.5703125" style="59" customWidth="1"/>
    <col min="252" max="252" width="5.42578125" style="59" customWidth="1"/>
    <col min="253" max="16384" width="6" style="59"/>
  </cols>
  <sheetData>
    <row r="1" spans="1:19" x14ac:dyDescent="0.25">
      <c r="A1" s="650"/>
      <c r="B1" s="165"/>
      <c r="C1" s="165"/>
      <c r="D1" s="122"/>
      <c r="E1" s="122"/>
      <c r="F1" s="122"/>
      <c r="G1" s="122"/>
      <c r="H1" s="122"/>
      <c r="I1" s="122"/>
      <c r="J1" s="122"/>
      <c r="K1" s="122"/>
      <c r="L1" s="122"/>
      <c r="M1" s="122"/>
      <c r="N1" s="122"/>
      <c r="O1" s="122"/>
      <c r="P1" s="122"/>
      <c r="Q1" s="122"/>
      <c r="R1" s="122"/>
      <c r="S1" s="122"/>
    </row>
    <row r="2" spans="1:19" ht="12.75" customHeight="1" x14ac:dyDescent="0.25">
      <c r="A2" s="650">
        <v>1</v>
      </c>
      <c r="B2" s="650" t="s">
        <v>24</v>
      </c>
      <c r="C2" s="650">
        <f>1+[10]LSM!C2</f>
        <v>23</v>
      </c>
      <c r="D2" s="3553" t="s">
        <v>595</v>
      </c>
      <c r="E2" s="3712"/>
      <c r="F2" s="3712"/>
      <c r="G2" s="3712"/>
      <c r="H2" s="3712"/>
      <c r="I2" s="3712"/>
      <c r="J2" s="3712"/>
      <c r="K2" s="3712"/>
      <c r="L2" s="3712"/>
      <c r="M2" s="3712"/>
      <c r="N2" s="3712"/>
      <c r="O2" s="3712"/>
      <c r="P2" s="3712"/>
      <c r="Q2" s="3712"/>
      <c r="R2" s="3712"/>
      <c r="S2" s="3713"/>
    </row>
    <row r="3" spans="1:19" ht="12.75" customHeight="1" x14ac:dyDescent="0.25">
      <c r="A3" s="650">
        <v>2</v>
      </c>
      <c r="B3" s="650" t="s">
        <v>26</v>
      </c>
      <c r="C3" s="650"/>
      <c r="D3" s="3553" t="s">
        <v>551</v>
      </c>
      <c r="E3" s="3712"/>
      <c r="F3" s="3712"/>
      <c r="G3" s="3712"/>
      <c r="H3" s="3712"/>
      <c r="I3" s="3712"/>
      <c r="J3" s="3712"/>
      <c r="K3" s="3712"/>
      <c r="L3" s="3712"/>
      <c r="M3" s="3712"/>
      <c r="N3" s="3712"/>
      <c r="O3" s="3712"/>
      <c r="P3" s="3712"/>
      <c r="Q3" s="3712"/>
      <c r="R3" s="3712"/>
      <c r="S3" s="3713"/>
    </row>
    <row r="4" spans="1:19" ht="15.75" customHeight="1" x14ac:dyDescent="0.25">
      <c r="A4" s="650">
        <v>3</v>
      </c>
      <c r="B4" s="650" t="s">
        <v>28</v>
      </c>
      <c r="C4" s="650"/>
      <c r="D4" s="3553" t="s">
        <v>602</v>
      </c>
      <c r="E4" s="3714"/>
      <c r="F4" s="3714"/>
      <c r="G4" s="3714"/>
      <c r="H4" s="3714"/>
      <c r="I4" s="3714"/>
      <c r="J4" s="3714"/>
      <c r="K4" s="3714"/>
      <c r="L4" s="3714"/>
      <c r="M4" s="3714"/>
      <c r="N4" s="3714"/>
      <c r="O4" s="3714"/>
      <c r="P4" s="3714"/>
      <c r="Q4" s="3714"/>
      <c r="R4" s="3714"/>
      <c r="S4" s="3715"/>
    </row>
    <row r="5" spans="1:19" ht="15.75" customHeight="1" x14ac:dyDescent="0.25">
      <c r="A5" s="650"/>
      <c r="B5" s="650"/>
      <c r="C5" s="650"/>
      <c r="D5" s="138"/>
      <c r="E5" s="417"/>
      <c r="F5" s="417"/>
      <c r="G5" s="417"/>
      <c r="H5" s="417"/>
      <c r="I5" s="417"/>
      <c r="J5" s="417"/>
      <c r="K5" s="417"/>
      <c r="L5" s="417"/>
      <c r="M5" s="417"/>
      <c r="N5" s="417"/>
      <c r="O5" s="417"/>
      <c r="P5" s="417"/>
      <c r="Q5" s="417"/>
      <c r="R5" s="417"/>
      <c r="S5" s="417"/>
    </row>
    <row r="6" spans="1:19" x14ac:dyDescent="0.25">
      <c r="A6" s="650">
        <v>4</v>
      </c>
      <c r="B6" s="650" t="s">
        <v>1</v>
      </c>
      <c r="C6" s="722"/>
      <c r="D6" s="122"/>
      <c r="E6" s="122"/>
      <c r="F6" s="122"/>
      <c r="G6" s="122"/>
      <c r="H6" s="122"/>
      <c r="I6" s="122"/>
      <c r="J6" s="122"/>
      <c r="K6" s="122"/>
      <c r="L6" s="122"/>
      <c r="M6" s="122"/>
      <c r="N6" s="122"/>
      <c r="O6" s="122"/>
      <c r="P6" s="122"/>
      <c r="Q6" s="122"/>
      <c r="R6" s="122"/>
      <c r="S6" s="122"/>
    </row>
    <row r="7" spans="1:19" x14ac:dyDescent="0.25">
      <c r="A7" s="650"/>
      <c r="B7" s="165"/>
      <c r="C7" s="165"/>
      <c r="D7" s="119" t="s">
        <v>31</v>
      </c>
      <c r="E7" s="119"/>
      <c r="F7" s="119" t="s">
        <v>595</v>
      </c>
      <c r="G7" s="119"/>
      <c r="H7" s="119"/>
      <c r="I7" s="119"/>
      <c r="J7" s="119"/>
      <c r="K7" s="286" t="s">
        <v>596</v>
      </c>
      <c r="L7" s="119"/>
      <c r="M7" s="119"/>
      <c r="N7" s="119"/>
      <c r="O7" s="122"/>
      <c r="P7" s="122"/>
      <c r="Q7" s="122"/>
      <c r="R7" s="122"/>
      <c r="S7" s="122"/>
    </row>
    <row r="8" spans="1:19" x14ac:dyDescent="0.25">
      <c r="A8" s="650"/>
      <c r="B8" s="165"/>
      <c r="C8" s="165"/>
      <c r="D8" s="2975"/>
      <c r="E8" s="280"/>
      <c r="F8" s="716"/>
      <c r="G8" s="716">
        <v>2000</v>
      </c>
      <c r="H8" s="716">
        <v>2001</v>
      </c>
      <c r="I8" s="716"/>
      <c r="J8" s="716">
        <v>2002</v>
      </c>
      <c r="K8" s="716">
        <v>2003</v>
      </c>
      <c r="L8" s="716">
        <v>2004</v>
      </c>
      <c r="M8" s="716">
        <v>2005</v>
      </c>
      <c r="N8" s="716">
        <v>2006</v>
      </c>
      <c r="O8" s="716">
        <v>2007</v>
      </c>
      <c r="P8" s="716">
        <v>2008</v>
      </c>
      <c r="Q8" s="716">
        <v>2009</v>
      </c>
      <c r="R8" s="3356">
        <v>2010</v>
      </c>
      <c r="S8" s="715"/>
    </row>
    <row r="9" spans="1:19" ht="14.25" customHeight="1" x14ac:dyDescent="0.25">
      <c r="A9" s="650"/>
      <c r="B9" s="165"/>
      <c r="C9" s="165"/>
      <c r="D9" s="3166" t="s">
        <v>594</v>
      </c>
      <c r="E9" s="119" t="s">
        <v>593</v>
      </c>
      <c r="F9" s="712"/>
      <c r="G9" s="712"/>
      <c r="H9" s="712"/>
      <c r="I9" s="712"/>
      <c r="J9" s="712"/>
      <c r="K9" s="712"/>
      <c r="L9" s="712"/>
      <c r="M9" s="712"/>
      <c r="N9" s="712"/>
      <c r="O9" s="712"/>
      <c r="P9" s="712">
        <v>0.7</v>
      </c>
      <c r="Q9" s="712"/>
      <c r="R9" s="3357">
        <v>0.68</v>
      </c>
      <c r="S9" s="2491"/>
    </row>
    <row r="10" spans="1:19" ht="14.25" customHeight="1" x14ac:dyDescent="0.25">
      <c r="A10" s="650"/>
      <c r="B10" s="165"/>
      <c r="C10" s="165"/>
      <c r="D10" s="3074"/>
      <c r="E10" s="711" t="s">
        <v>591</v>
      </c>
      <c r="P10" s="708">
        <v>0.62</v>
      </c>
      <c r="Q10" s="708"/>
      <c r="R10" s="2820">
        <v>0.62</v>
      </c>
    </row>
    <row r="11" spans="1:19" ht="14.25" customHeight="1" x14ac:dyDescent="0.25">
      <c r="A11" s="650"/>
      <c r="B11" s="165"/>
      <c r="C11" s="165"/>
      <c r="D11" s="3074"/>
      <c r="E11" s="370" t="s">
        <v>590</v>
      </c>
      <c r="F11" s="708"/>
      <c r="G11" s="708"/>
      <c r="H11" s="708"/>
      <c r="I11" s="708"/>
      <c r="J11" s="708"/>
      <c r="K11" s="708"/>
      <c r="L11" s="708"/>
      <c r="M11" s="708"/>
      <c r="N11" s="708"/>
      <c r="O11" s="708"/>
      <c r="P11" s="708">
        <v>0.54</v>
      </c>
      <c r="Q11" s="708"/>
      <c r="R11" s="2820">
        <v>0.57999999999999996</v>
      </c>
      <c r="S11" s="2491"/>
    </row>
    <row r="12" spans="1:19" ht="14.25" customHeight="1" x14ac:dyDescent="0.25">
      <c r="A12" s="650"/>
      <c r="B12" s="165"/>
      <c r="C12" s="165"/>
      <c r="D12" s="3074"/>
      <c r="E12" s="370" t="s">
        <v>531</v>
      </c>
      <c r="F12" s="708"/>
      <c r="G12" s="708"/>
      <c r="H12" s="708"/>
      <c r="I12" s="708"/>
      <c r="J12" s="708"/>
      <c r="K12" s="708"/>
      <c r="L12" s="708"/>
      <c r="M12" s="708"/>
      <c r="N12" s="708"/>
      <c r="O12" s="708"/>
      <c r="P12" s="708">
        <v>0.6</v>
      </c>
      <c r="Q12" s="708"/>
      <c r="R12" s="2820">
        <v>0.56000000000000005</v>
      </c>
      <c r="S12" s="2491"/>
    </row>
    <row r="13" spans="1:19" ht="14.25" customHeight="1" x14ac:dyDescent="0.25">
      <c r="A13" s="650"/>
      <c r="B13" s="165"/>
      <c r="C13" s="165"/>
      <c r="D13" s="3074"/>
      <c r="E13" s="721" t="s">
        <v>529</v>
      </c>
      <c r="F13" s="718"/>
      <c r="G13" s="718"/>
      <c r="H13" s="718"/>
      <c r="I13" s="718"/>
      <c r="J13" s="718"/>
      <c r="K13" s="718"/>
      <c r="L13" s="718"/>
      <c r="M13" s="718"/>
      <c r="N13" s="718"/>
      <c r="O13" s="718"/>
      <c r="P13" s="718">
        <v>0.5</v>
      </c>
      <c r="Q13" s="718"/>
      <c r="R13" s="2819">
        <v>0.44</v>
      </c>
      <c r="S13" s="2491"/>
    </row>
    <row r="14" spans="1:19" ht="14.25" customHeight="1" x14ac:dyDescent="0.25">
      <c r="A14" s="650"/>
      <c r="B14" s="165"/>
      <c r="C14" s="165"/>
      <c r="D14" s="3074"/>
      <c r="E14" s="119" t="s">
        <v>592</v>
      </c>
      <c r="F14" s="712"/>
      <c r="G14" s="712"/>
      <c r="H14" s="712"/>
      <c r="I14" s="712"/>
      <c r="J14" s="712"/>
      <c r="K14" s="712"/>
      <c r="L14" s="712"/>
      <c r="M14" s="712"/>
      <c r="N14" s="712"/>
      <c r="O14" s="712"/>
      <c r="P14" s="712">
        <v>0.7</v>
      </c>
      <c r="Q14" s="712"/>
      <c r="R14" s="3357">
        <v>0.71</v>
      </c>
      <c r="S14" s="2491"/>
    </row>
    <row r="15" spans="1:19" ht="14.25" customHeight="1" x14ac:dyDescent="0.25">
      <c r="A15" s="650"/>
      <c r="B15" s="165"/>
      <c r="C15" s="165"/>
      <c r="D15" s="3074"/>
      <c r="E15" s="711" t="s">
        <v>591</v>
      </c>
      <c r="F15" s="708"/>
      <c r="G15" s="708"/>
      <c r="H15" s="708"/>
      <c r="I15" s="708"/>
      <c r="J15" s="708"/>
      <c r="K15" s="708"/>
      <c r="L15" s="708"/>
      <c r="M15" s="708"/>
      <c r="N15" s="708"/>
      <c r="O15" s="708"/>
      <c r="P15" s="708">
        <v>0.62</v>
      </c>
      <c r="Q15" s="708"/>
      <c r="R15" s="2820">
        <v>0.63</v>
      </c>
      <c r="S15" s="2491"/>
    </row>
    <row r="16" spans="1:19" ht="14.25" customHeight="1" x14ac:dyDescent="0.25">
      <c r="A16" s="650"/>
      <c r="B16" s="165"/>
      <c r="C16" s="165"/>
      <c r="D16" s="3074"/>
      <c r="E16" s="370" t="s">
        <v>590</v>
      </c>
      <c r="F16" s="708"/>
      <c r="G16" s="708"/>
      <c r="H16" s="708"/>
      <c r="I16" s="708"/>
      <c r="J16" s="708"/>
      <c r="K16" s="708"/>
      <c r="L16" s="708"/>
      <c r="M16" s="708"/>
      <c r="N16" s="708"/>
      <c r="O16" s="708"/>
      <c r="P16" s="708">
        <v>0.57999999999999996</v>
      </c>
      <c r="Q16" s="708"/>
      <c r="R16" s="2820">
        <v>0.63</v>
      </c>
      <c r="S16" s="2491"/>
    </row>
    <row r="17" spans="1:19" ht="14.25" customHeight="1" x14ac:dyDescent="0.25">
      <c r="A17" s="650"/>
      <c r="B17" s="165"/>
      <c r="C17" s="165"/>
      <c r="D17" s="3074"/>
      <c r="E17" s="370" t="s">
        <v>531</v>
      </c>
      <c r="F17" s="708"/>
      <c r="G17" s="708"/>
      <c r="H17" s="708"/>
      <c r="I17" s="708"/>
      <c r="J17" s="708"/>
      <c r="K17" s="708"/>
      <c r="L17" s="708"/>
      <c r="M17" s="708"/>
      <c r="N17" s="708"/>
      <c r="O17" s="708"/>
      <c r="P17" s="708">
        <v>0.54</v>
      </c>
      <c r="Q17" s="708"/>
      <c r="R17" s="2820">
        <v>0.45</v>
      </c>
      <c r="S17" s="2491"/>
    </row>
    <row r="18" spans="1:19" ht="14.25" customHeight="1" x14ac:dyDescent="0.25">
      <c r="A18" s="650"/>
      <c r="B18" s="165"/>
      <c r="C18" s="165"/>
      <c r="D18" s="2983"/>
      <c r="E18" s="372" t="s">
        <v>529</v>
      </c>
      <c r="F18" s="709"/>
      <c r="G18" s="709"/>
      <c r="H18" s="709"/>
      <c r="I18" s="709"/>
      <c r="J18" s="709"/>
      <c r="K18" s="709"/>
      <c r="L18" s="709"/>
      <c r="M18" s="709"/>
      <c r="N18" s="709"/>
      <c r="O18" s="709"/>
      <c r="P18" s="709">
        <v>0.48</v>
      </c>
      <c r="Q18" s="709"/>
      <c r="R18" s="2821">
        <v>0.49</v>
      </c>
      <c r="S18" s="2491"/>
    </row>
    <row r="19" spans="1:19" ht="18" customHeight="1" x14ac:dyDescent="0.25">
      <c r="A19" s="650"/>
      <c r="B19" s="165"/>
      <c r="C19" s="165"/>
      <c r="D19" s="3376" t="s">
        <v>601</v>
      </c>
      <c r="E19" s="720"/>
      <c r="F19" s="719"/>
      <c r="G19" s="719"/>
      <c r="H19" s="719"/>
      <c r="I19" s="719"/>
      <c r="J19" s="719"/>
      <c r="K19" s="719"/>
      <c r="L19" s="719"/>
      <c r="M19" s="719"/>
      <c r="N19" s="719"/>
      <c r="O19" s="719"/>
      <c r="P19" s="719"/>
      <c r="Q19" s="719"/>
      <c r="R19" s="3378"/>
      <c r="S19" s="708"/>
    </row>
    <row r="20" spans="1:19" ht="15" customHeight="1" x14ac:dyDescent="0.25">
      <c r="A20" s="650"/>
      <c r="B20" s="165"/>
      <c r="C20" s="165"/>
      <c r="D20" s="2976" t="s">
        <v>599</v>
      </c>
      <c r="E20" s="133" t="s">
        <v>593</v>
      </c>
      <c r="F20" s="708"/>
      <c r="G20" s="708"/>
      <c r="H20" s="717"/>
      <c r="I20" s="717"/>
      <c r="J20" s="708"/>
      <c r="K20" s="708"/>
      <c r="L20" s="708"/>
      <c r="M20" s="708"/>
      <c r="N20" s="717"/>
      <c r="O20" s="708"/>
      <c r="P20" s="708">
        <v>0.69</v>
      </c>
      <c r="Q20" s="708"/>
      <c r="R20" s="2820">
        <v>0.69</v>
      </c>
      <c r="S20" s="708"/>
    </row>
    <row r="21" spans="1:19" x14ac:dyDescent="0.25">
      <c r="A21" s="650"/>
      <c r="B21" s="165"/>
      <c r="C21" s="165"/>
      <c r="D21" s="2976"/>
      <c r="E21" s="279" t="s">
        <v>582</v>
      </c>
      <c r="F21" s="718"/>
      <c r="G21" s="718"/>
      <c r="H21" s="2492"/>
      <c r="I21" s="2492"/>
      <c r="J21" s="718"/>
      <c r="K21" s="718"/>
      <c r="L21" s="718"/>
      <c r="M21" s="718"/>
      <c r="N21" s="2492"/>
      <c r="O21" s="718"/>
      <c r="P21" s="718">
        <v>0.66</v>
      </c>
      <c r="Q21" s="718"/>
      <c r="R21" s="2819">
        <v>0.7</v>
      </c>
      <c r="S21" s="708"/>
    </row>
    <row r="22" spans="1:19" x14ac:dyDescent="0.25">
      <c r="A22" s="650"/>
      <c r="B22" s="165"/>
      <c r="C22" s="165"/>
      <c r="D22" s="2976" t="s">
        <v>598</v>
      </c>
      <c r="E22" s="133" t="s">
        <v>546</v>
      </c>
      <c r="F22" s="708"/>
      <c r="G22" s="708"/>
      <c r="H22" s="717"/>
      <c r="I22" s="717"/>
      <c r="J22" s="708"/>
      <c r="K22" s="708"/>
      <c r="L22" s="708"/>
      <c r="M22" s="708"/>
      <c r="N22" s="717"/>
      <c r="O22" s="708"/>
      <c r="P22" s="708">
        <v>0.31</v>
      </c>
      <c r="Q22" s="708"/>
      <c r="R22" s="2820">
        <v>0.27</v>
      </c>
      <c r="S22" s="708"/>
    </row>
    <row r="23" spans="1:19" x14ac:dyDescent="0.25">
      <c r="A23" s="650"/>
      <c r="B23" s="165"/>
      <c r="C23" s="165"/>
      <c r="D23" s="2976"/>
      <c r="E23" s="279" t="s">
        <v>582</v>
      </c>
      <c r="F23" s="718"/>
      <c r="G23" s="718"/>
      <c r="H23" s="2492"/>
      <c r="I23" s="2492"/>
      <c r="J23" s="718"/>
      <c r="K23" s="718"/>
      <c r="L23" s="718"/>
      <c r="M23" s="718"/>
      <c r="N23" s="2492"/>
      <c r="O23" s="718"/>
      <c r="P23" s="718">
        <v>0.33</v>
      </c>
      <c r="Q23" s="718"/>
      <c r="R23" s="2819">
        <v>0.32</v>
      </c>
      <c r="S23" s="708"/>
    </row>
    <row r="24" spans="1:19" x14ac:dyDescent="0.25">
      <c r="A24" s="650"/>
      <c r="B24" s="165"/>
      <c r="C24" s="165"/>
      <c r="D24" s="2976" t="s">
        <v>597</v>
      </c>
      <c r="E24" s="133" t="s">
        <v>546</v>
      </c>
      <c r="F24" s="708"/>
      <c r="G24" s="708"/>
      <c r="H24" s="717"/>
      <c r="I24" s="717"/>
      <c r="J24" s="708"/>
      <c r="K24" s="708"/>
      <c r="L24" s="708"/>
      <c r="M24" s="708"/>
      <c r="N24" s="717"/>
      <c r="O24" s="708"/>
      <c r="P24" s="708">
        <v>0.31</v>
      </c>
      <c r="Q24" s="708"/>
      <c r="R24" s="2820">
        <v>0.25</v>
      </c>
      <c r="S24" s="2491"/>
    </row>
    <row r="25" spans="1:19" x14ac:dyDescent="0.25">
      <c r="A25" s="650"/>
      <c r="B25" s="165"/>
      <c r="C25" s="165"/>
      <c r="D25" s="2977"/>
      <c r="E25" s="130" t="s">
        <v>592</v>
      </c>
      <c r="F25" s="709"/>
      <c r="G25" s="709"/>
      <c r="H25" s="709"/>
      <c r="I25" s="709"/>
      <c r="J25" s="709"/>
      <c r="K25" s="709"/>
      <c r="L25" s="709"/>
      <c r="M25" s="709"/>
      <c r="N25" s="709"/>
      <c r="O25" s="709"/>
      <c r="P25" s="709">
        <v>0.33</v>
      </c>
      <c r="Q25" s="709"/>
      <c r="R25" s="2821">
        <v>0.33</v>
      </c>
      <c r="S25" s="2491"/>
    </row>
    <row r="26" spans="1:19" ht="15" customHeight="1" x14ac:dyDescent="0.25">
      <c r="A26" s="650"/>
      <c r="B26" s="165"/>
      <c r="C26" s="165"/>
      <c r="D26" s="3377" t="s">
        <v>600</v>
      </c>
      <c r="E26" s="173"/>
      <c r="F26" s="708"/>
      <c r="G26" s="708"/>
      <c r="H26" s="708"/>
      <c r="I26" s="708"/>
      <c r="J26" s="708"/>
      <c r="K26" s="708"/>
      <c r="L26" s="708"/>
      <c r="M26" s="708"/>
      <c r="N26" s="708"/>
      <c r="O26" s="708"/>
      <c r="P26" s="708"/>
      <c r="Q26" s="708"/>
      <c r="R26" s="2820"/>
      <c r="S26" s="708"/>
    </row>
    <row r="27" spans="1:19" ht="15" customHeight="1" x14ac:dyDescent="0.25">
      <c r="A27" s="650"/>
      <c r="B27" s="165"/>
      <c r="C27" s="165"/>
      <c r="D27" s="2976" t="s">
        <v>599</v>
      </c>
      <c r="E27" s="133" t="s">
        <v>593</v>
      </c>
      <c r="F27" s="708"/>
      <c r="G27" s="708"/>
      <c r="H27" s="717"/>
      <c r="I27" s="717"/>
      <c r="J27" s="708"/>
      <c r="K27" s="708"/>
      <c r="L27" s="708"/>
      <c r="M27" s="708"/>
      <c r="N27" s="717"/>
      <c r="O27" s="708"/>
      <c r="P27" s="708">
        <v>0.63</v>
      </c>
      <c r="Q27" s="708"/>
      <c r="R27" s="2820">
        <v>0.61</v>
      </c>
      <c r="S27" s="708"/>
    </row>
    <row r="28" spans="1:19" x14ac:dyDescent="0.25">
      <c r="A28" s="650"/>
      <c r="B28" s="165"/>
      <c r="C28" s="165"/>
      <c r="D28" s="2976"/>
      <c r="E28" s="279" t="s">
        <v>582</v>
      </c>
      <c r="F28" s="718"/>
      <c r="G28" s="718"/>
      <c r="H28" s="2492"/>
      <c r="I28" s="2492"/>
      <c r="J28" s="718"/>
      <c r="K28" s="718"/>
      <c r="L28" s="718"/>
      <c r="M28" s="718"/>
      <c r="N28" s="2492"/>
      <c r="O28" s="718"/>
      <c r="P28" s="718">
        <v>0.6</v>
      </c>
      <c r="Q28" s="718"/>
      <c r="R28" s="2819">
        <v>0.66</v>
      </c>
      <c r="S28" s="708"/>
    </row>
    <row r="29" spans="1:19" x14ac:dyDescent="0.25">
      <c r="A29" s="650"/>
      <c r="B29" s="165"/>
      <c r="C29" s="165"/>
      <c r="D29" s="2976" t="s">
        <v>598</v>
      </c>
      <c r="E29" s="133" t="s">
        <v>546</v>
      </c>
      <c r="F29" s="708"/>
      <c r="G29" s="708"/>
      <c r="H29" s="717"/>
      <c r="I29" s="717"/>
      <c r="J29" s="708"/>
      <c r="K29" s="708"/>
      <c r="L29" s="708"/>
      <c r="M29" s="708"/>
      <c r="N29" s="717"/>
      <c r="O29" s="708"/>
      <c r="P29" s="708">
        <v>0.39</v>
      </c>
      <c r="Q29" s="708"/>
      <c r="R29" s="2820">
        <v>0.34</v>
      </c>
      <c r="S29" s="708"/>
    </row>
    <row r="30" spans="1:19" x14ac:dyDescent="0.25">
      <c r="A30" s="650"/>
      <c r="B30" s="165"/>
      <c r="C30" s="165"/>
      <c r="D30" s="2976"/>
      <c r="E30" s="279" t="s">
        <v>582</v>
      </c>
      <c r="F30" s="718"/>
      <c r="G30" s="718"/>
      <c r="H30" s="2492"/>
      <c r="I30" s="2492"/>
      <c r="J30" s="718"/>
      <c r="K30" s="718"/>
      <c r="L30" s="718"/>
      <c r="M30" s="718"/>
      <c r="N30" s="2492"/>
      <c r="O30" s="718"/>
      <c r="P30" s="718">
        <v>0.41</v>
      </c>
      <c r="Q30" s="718"/>
      <c r="R30" s="2819">
        <v>0.39</v>
      </c>
      <c r="S30" s="708"/>
    </row>
    <row r="31" spans="1:19" x14ac:dyDescent="0.25">
      <c r="A31" s="650"/>
      <c r="B31" s="165"/>
      <c r="C31" s="165"/>
      <c r="D31" s="2976" t="s">
        <v>597</v>
      </c>
      <c r="E31" s="133" t="s">
        <v>546</v>
      </c>
      <c r="F31" s="708"/>
      <c r="G31" s="708"/>
      <c r="H31" s="717"/>
      <c r="I31" s="717"/>
      <c r="J31" s="708"/>
      <c r="K31" s="708"/>
      <c r="L31" s="708"/>
      <c r="M31" s="708"/>
      <c r="N31" s="717"/>
      <c r="O31" s="708"/>
      <c r="P31" s="708">
        <v>0.63</v>
      </c>
      <c r="Q31" s="708"/>
      <c r="R31" s="2820">
        <v>0.61</v>
      </c>
      <c r="S31" s="2491"/>
    </row>
    <row r="32" spans="1:19" x14ac:dyDescent="0.25">
      <c r="A32" s="650"/>
      <c r="B32" s="165"/>
      <c r="C32" s="165"/>
      <c r="D32" s="2977"/>
      <c r="E32" s="130" t="s">
        <v>592</v>
      </c>
      <c r="F32" s="709"/>
      <c r="G32" s="709"/>
      <c r="H32" s="709"/>
      <c r="I32" s="709"/>
      <c r="J32" s="709"/>
      <c r="K32" s="709"/>
      <c r="L32" s="709"/>
      <c r="M32" s="709"/>
      <c r="N32" s="709"/>
      <c r="O32" s="709"/>
      <c r="P32" s="709">
        <v>0.6</v>
      </c>
      <c r="Q32" s="709"/>
      <c r="R32" s="2821">
        <v>0.66</v>
      </c>
      <c r="S32" s="2491"/>
    </row>
    <row r="33" spans="1:21" x14ac:dyDescent="0.25">
      <c r="A33" s="650"/>
      <c r="B33" s="165"/>
      <c r="C33" s="165"/>
      <c r="D33" s="133"/>
      <c r="E33" s="133"/>
      <c r="F33" s="708"/>
      <c r="G33" s="708"/>
      <c r="H33" s="708"/>
      <c r="I33" s="708"/>
      <c r="J33" s="708"/>
      <c r="K33" s="708"/>
      <c r="L33" s="708"/>
      <c r="M33" s="708"/>
      <c r="N33" s="708"/>
      <c r="O33" s="708"/>
      <c r="P33" s="708"/>
      <c r="Q33" s="708"/>
      <c r="R33" s="708"/>
      <c r="S33" s="2491"/>
    </row>
    <row r="34" spans="1:21" x14ac:dyDescent="0.25">
      <c r="A34" s="650"/>
      <c r="B34" s="165"/>
      <c r="C34" s="165"/>
      <c r="D34" s="120" t="s">
        <v>585</v>
      </c>
      <c r="E34" s="2493" t="s">
        <v>584</v>
      </c>
      <c r="F34" s="120"/>
      <c r="G34" s="120"/>
      <c r="J34" s="120"/>
      <c r="L34" s="286" t="s">
        <v>596</v>
      </c>
      <c r="M34" s="2494"/>
    </row>
    <row r="35" spans="1:21" ht="15.6" customHeight="1" x14ac:dyDescent="0.25">
      <c r="A35" s="650"/>
      <c r="B35" s="165"/>
      <c r="C35" s="165"/>
      <c r="D35" s="3369" t="s">
        <v>583</v>
      </c>
      <c r="E35" s="3716" t="s">
        <v>546</v>
      </c>
      <c r="F35" s="3716"/>
      <c r="G35" s="3716"/>
      <c r="H35" s="3716"/>
      <c r="I35" s="3716"/>
      <c r="J35" s="3717"/>
      <c r="K35" s="3718" t="s">
        <v>582</v>
      </c>
      <c r="L35" s="3716"/>
      <c r="M35" s="3716"/>
      <c r="N35" s="3716"/>
      <c r="O35" s="3719"/>
      <c r="P35" s="119"/>
      <c r="Q35" s="119"/>
      <c r="R35" s="119"/>
      <c r="T35" s="708"/>
    </row>
    <row r="36" spans="1:21" x14ac:dyDescent="0.25">
      <c r="A36" s="650"/>
      <c r="B36" s="165"/>
      <c r="C36" s="165"/>
      <c r="D36" s="3166"/>
      <c r="E36" s="276">
        <v>2000</v>
      </c>
      <c r="F36" s="276">
        <v>2005</v>
      </c>
      <c r="G36" s="276">
        <v>2008</v>
      </c>
      <c r="H36" s="276">
        <v>2009</v>
      </c>
      <c r="I36" s="276"/>
      <c r="J36" s="652">
        <v>2010</v>
      </c>
      <c r="K36" s="651">
        <v>2000</v>
      </c>
      <c r="L36" s="276">
        <v>2005</v>
      </c>
      <c r="M36" s="276">
        <v>2008</v>
      </c>
      <c r="N36" s="276">
        <v>2009</v>
      </c>
      <c r="O36" s="3371">
        <v>2010</v>
      </c>
      <c r="P36" s="715"/>
      <c r="Q36" s="715"/>
      <c r="R36" s="715"/>
      <c r="T36" s="708"/>
    </row>
    <row r="37" spans="1:21" x14ac:dyDescent="0.25">
      <c r="A37" s="650"/>
      <c r="B37" s="165"/>
      <c r="C37" s="165"/>
      <c r="D37" s="3106" t="s">
        <v>415</v>
      </c>
      <c r="E37" s="2495"/>
      <c r="F37" s="2495"/>
      <c r="G37" s="2495">
        <v>0.67</v>
      </c>
      <c r="H37" s="2495"/>
      <c r="I37" s="2495"/>
      <c r="J37" s="2496">
        <v>0.69</v>
      </c>
      <c r="K37" s="3372"/>
      <c r="L37" s="2495"/>
      <c r="M37" s="2495">
        <v>0.7</v>
      </c>
      <c r="N37" s="2495"/>
      <c r="O37" s="3373">
        <v>0.7</v>
      </c>
      <c r="P37" s="2498"/>
      <c r="Q37" s="3720"/>
      <c r="R37" s="3720"/>
      <c r="T37" s="708"/>
    </row>
    <row r="38" spans="1:21" x14ac:dyDescent="0.25">
      <c r="A38" s="650"/>
      <c r="B38" s="165"/>
      <c r="C38" s="165"/>
      <c r="D38" s="3106" t="s">
        <v>417</v>
      </c>
      <c r="E38" s="2495"/>
      <c r="F38" s="2495"/>
      <c r="G38" s="2495">
        <v>0.68</v>
      </c>
      <c r="H38" s="2495"/>
      <c r="I38" s="2495"/>
      <c r="J38" s="2496">
        <v>0.69</v>
      </c>
      <c r="K38" s="3372"/>
      <c r="L38" s="2495"/>
      <c r="M38" s="2495">
        <v>0.64</v>
      </c>
      <c r="N38" s="2495"/>
      <c r="O38" s="3373">
        <v>0.72</v>
      </c>
      <c r="P38" s="84"/>
      <c r="Q38" s="2040"/>
      <c r="R38" s="2040"/>
      <c r="T38" s="708"/>
    </row>
    <row r="39" spans="1:21" x14ac:dyDescent="0.25">
      <c r="A39" s="650"/>
      <c r="B39" s="165"/>
      <c r="C39" s="165"/>
      <c r="D39" s="3106" t="s">
        <v>581</v>
      </c>
      <c r="E39" s="2495"/>
      <c r="F39" s="2495"/>
      <c r="G39" s="2495">
        <v>0.67</v>
      </c>
      <c r="H39" s="2495"/>
      <c r="I39" s="2495"/>
      <c r="J39" s="2496">
        <v>0.61</v>
      </c>
      <c r="K39" s="3372"/>
      <c r="L39" s="2495"/>
      <c r="M39" s="2495">
        <v>0.61</v>
      </c>
      <c r="N39" s="2495"/>
      <c r="O39" s="3373">
        <v>0.7</v>
      </c>
      <c r="P39" s="84"/>
      <c r="Q39" s="699"/>
      <c r="R39" s="699"/>
      <c r="T39" s="2499"/>
    </row>
    <row r="40" spans="1:21" x14ac:dyDescent="0.25">
      <c r="A40" s="650"/>
      <c r="B40" s="165"/>
      <c r="C40" s="165"/>
      <c r="D40" s="3106" t="s">
        <v>418</v>
      </c>
      <c r="E40" s="2495"/>
      <c r="F40" s="2495"/>
      <c r="G40" s="2495">
        <v>0.72</v>
      </c>
      <c r="H40" s="2495"/>
      <c r="I40" s="2495"/>
      <c r="J40" s="2496">
        <v>0.72</v>
      </c>
      <c r="K40" s="3372"/>
      <c r="L40" s="2495"/>
      <c r="M40" s="2495">
        <v>0.78</v>
      </c>
      <c r="N40" s="2495"/>
      <c r="O40" s="3373">
        <v>0.69</v>
      </c>
      <c r="P40" s="84"/>
      <c r="Q40" s="699"/>
      <c r="R40" s="699"/>
    </row>
    <row r="41" spans="1:21" x14ac:dyDescent="0.25">
      <c r="A41" s="650"/>
      <c r="B41" s="165"/>
      <c r="C41" s="165"/>
      <c r="D41" s="3106" t="s">
        <v>422</v>
      </c>
      <c r="E41" s="2495"/>
      <c r="F41" s="2495"/>
      <c r="G41" s="2495">
        <v>0.71</v>
      </c>
      <c r="H41" s="2495"/>
      <c r="I41" s="2495"/>
      <c r="J41" s="2496">
        <v>0.67</v>
      </c>
      <c r="K41" s="3372"/>
      <c r="L41" s="2495"/>
      <c r="M41" s="2495">
        <v>0.69</v>
      </c>
      <c r="N41" s="2495"/>
      <c r="O41" s="3373">
        <v>0.66</v>
      </c>
      <c r="P41" s="84"/>
      <c r="Q41" s="699"/>
      <c r="R41" s="699"/>
      <c r="U41" s="2499"/>
    </row>
    <row r="42" spans="1:21" x14ac:dyDescent="0.25">
      <c r="A42" s="650"/>
      <c r="B42" s="165"/>
      <c r="C42" s="165"/>
      <c r="D42" s="3106" t="s">
        <v>421</v>
      </c>
      <c r="E42" s="2495"/>
      <c r="F42" s="2495"/>
      <c r="G42" s="2495">
        <v>0.68</v>
      </c>
      <c r="H42" s="2495"/>
      <c r="I42" s="2495"/>
      <c r="J42" s="2496">
        <v>0.7</v>
      </c>
      <c r="K42" s="3372"/>
      <c r="L42" s="2495"/>
      <c r="M42" s="2495">
        <v>0.66</v>
      </c>
      <c r="N42" s="2495"/>
      <c r="O42" s="3373">
        <v>0.73</v>
      </c>
      <c r="P42" s="84"/>
      <c r="Q42" s="699"/>
      <c r="R42" s="699"/>
    </row>
    <row r="43" spans="1:21" ht="12.75" customHeight="1" x14ac:dyDescent="0.25">
      <c r="A43" s="650"/>
      <c r="B43" s="165"/>
      <c r="C43" s="165"/>
      <c r="D43" s="3106" t="s">
        <v>416</v>
      </c>
      <c r="E43" s="2495"/>
      <c r="F43" s="2495"/>
      <c r="G43" s="2495">
        <v>0.6</v>
      </c>
      <c r="H43" s="2495"/>
      <c r="I43" s="2495"/>
      <c r="J43" s="2496">
        <v>0.63</v>
      </c>
      <c r="K43" s="3372"/>
      <c r="L43" s="2495"/>
      <c r="M43" s="2495">
        <v>0.57999999999999996</v>
      </c>
      <c r="N43" s="2495"/>
      <c r="O43" s="3373">
        <v>0.61</v>
      </c>
      <c r="P43" s="84"/>
      <c r="Q43" s="699"/>
      <c r="R43" s="699"/>
    </row>
    <row r="44" spans="1:21" x14ac:dyDescent="0.25">
      <c r="A44" s="650"/>
      <c r="B44" s="165"/>
      <c r="C44" s="165"/>
      <c r="D44" s="3106" t="s">
        <v>419</v>
      </c>
      <c r="E44" s="2495"/>
      <c r="F44" s="2495"/>
      <c r="G44" s="2495">
        <v>0.65</v>
      </c>
      <c r="H44" s="2495"/>
      <c r="I44" s="2495"/>
      <c r="J44" s="2496">
        <v>0.6</v>
      </c>
      <c r="K44" s="3372"/>
      <c r="L44" s="2495"/>
      <c r="M44" s="2495">
        <v>0.66</v>
      </c>
      <c r="N44" s="2495"/>
      <c r="O44" s="3373">
        <v>0.63</v>
      </c>
      <c r="P44" s="84"/>
      <c r="Q44" s="699"/>
      <c r="R44" s="699"/>
    </row>
    <row r="45" spans="1:21" x14ac:dyDescent="0.25">
      <c r="A45" s="650"/>
      <c r="B45" s="165"/>
      <c r="C45" s="165"/>
      <c r="D45" s="3106" t="s">
        <v>414</v>
      </c>
      <c r="E45" s="2495"/>
      <c r="F45" s="2495"/>
      <c r="G45" s="2495">
        <v>0.6</v>
      </c>
      <c r="H45" s="2495"/>
      <c r="I45" s="2495"/>
      <c r="J45" s="2496">
        <v>0.62</v>
      </c>
      <c r="K45" s="3372"/>
      <c r="L45" s="2495"/>
      <c r="M45" s="2495">
        <v>0.65</v>
      </c>
      <c r="N45" s="2495"/>
      <c r="O45" s="3373">
        <v>0.64</v>
      </c>
      <c r="P45" s="84"/>
      <c r="Q45" s="699"/>
      <c r="R45" s="699"/>
    </row>
    <row r="46" spans="1:21" x14ac:dyDescent="0.25">
      <c r="A46" s="650"/>
      <c r="B46" s="165"/>
      <c r="C46" s="165"/>
      <c r="D46" s="3370" t="s">
        <v>0</v>
      </c>
      <c r="E46" s="2501"/>
      <c r="F46" s="2501"/>
      <c r="G46" s="2501">
        <v>0.7</v>
      </c>
      <c r="H46" s="2501"/>
      <c r="I46" s="2501"/>
      <c r="J46" s="2502">
        <v>0.68</v>
      </c>
      <c r="K46" s="3374"/>
      <c r="L46" s="2501"/>
      <c r="M46" s="2501">
        <v>0.7</v>
      </c>
      <c r="N46" s="2501"/>
      <c r="O46" s="3375">
        <v>0.71</v>
      </c>
      <c r="P46" s="84"/>
      <c r="Q46" s="699"/>
      <c r="R46" s="699"/>
    </row>
    <row r="47" spans="1:21" x14ac:dyDescent="0.25">
      <c r="A47" s="650"/>
      <c r="B47" s="165"/>
      <c r="C47" s="165"/>
      <c r="D47" s="1049"/>
      <c r="E47" s="2504"/>
      <c r="F47" s="2504"/>
      <c r="G47" s="2504"/>
      <c r="H47" s="2504"/>
      <c r="I47" s="2504"/>
      <c r="J47" s="2504"/>
      <c r="K47" s="2497"/>
      <c r="L47" s="2504"/>
      <c r="M47" s="2504"/>
      <c r="N47" s="2504"/>
      <c r="O47" s="2504"/>
      <c r="P47" s="84"/>
      <c r="Q47" s="699"/>
      <c r="R47" s="699"/>
    </row>
    <row r="48" spans="1:21" x14ac:dyDescent="0.25">
      <c r="A48" s="650"/>
      <c r="B48" s="165"/>
      <c r="C48" s="165"/>
      <c r="D48" s="1049"/>
      <c r="E48" s="2504"/>
      <c r="F48" s="2504"/>
      <c r="G48" s="2504"/>
      <c r="H48" s="2504"/>
      <c r="I48" s="2504"/>
      <c r="J48" s="2504"/>
      <c r="K48" s="2497"/>
      <c r="L48" s="2504"/>
      <c r="M48" s="2504"/>
      <c r="N48" s="2504"/>
      <c r="O48" s="2504"/>
      <c r="P48" s="84"/>
      <c r="Q48" s="699"/>
      <c r="R48" s="699"/>
    </row>
    <row r="49" spans="1:20" x14ac:dyDescent="0.25">
      <c r="A49" s="650"/>
      <c r="B49" s="165"/>
      <c r="C49" s="165"/>
      <c r="D49" s="120" t="s">
        <v>262</v>
      </c>
      <c r="E49" s="120"/>
      <c r="F49" s="120" t="s">
        <v>595</v>
      </c>
      <c r="G49" s="120"/>
      <c r="H49" s="120"/>
      <c r="I49" s="120"/>
      <c r="J49" s="120"/>
      <c r="K49" s="120" t="s">
        <v>518</v>
      </c>
      <c r="L49" s="120"/>
      <c r="M49" s="120"/>
      <c r="N49" s="120"/>
      <c r="O49" s="121"/>
      <c r="P49" s="121"/>
      <c r="Q49" s="121"/>
      <c r="R49" s="121"/>
      <c r="S49" s="122"/>
    </row>
    <row r="50" spans="1:20" x14ac:dyDescent="0.25">
      <c r="A50" s="650"/>
      <c r="B50" s="165"/>
      <c r="C50" s="165"/>
      <c r="D50" s="3167"/>
      <c r="E50" s="280"/>
      <c r="F50" s="716"/>
      <c r="G50" s="716">
        <v>2000</v>
      </c>
      <c r="H50" s="716">
        <v>2001</v>
      </c>
      <c r="I50" s="716"/>
      <c r="J50" s="716">
        <v>2002</v>
      </c>
      <c r="K50" s="716">
        <v>2003</v>
      </c>
      <c r="L50" s="716">
        <v>2004</v>
      </c>
      <c r="M50" s="716">
        <v>2005</v>
      </c>
      <c r="N50" s="716">
        <v>2006</v>
      </c>
      <c r="O50" s="716">
        <v>2007</v>
      </c>
      <c r="P50" s="716">
        <v>2008</v>
      </c>
      <c r="Q50" s="716">
        <v>2009</v>
      </c>
      <c r="R50" s="3356">
        <v>2010</v>
      </c>
      <c r="S50" s="715"/>
    </row>
    <row r="51" spans="1:20" ht="14.25" customHeight="1" x14ac:dyDescent="0.25">
      <c r="A51" s="650"/>
      <c r="B51" s="165"/>
      <c r="C51" s="165"/>
      <c r="D51" s="3166" t="s">
        <v>594</v>
      </c>
      <c r="E51" s="119" t="s">
        <v>593</v>
      </c>
      <c r="F51" s="712"/>
      <c r="G51" s="712">
        <v>0.7</v>
      </c>
      <c r="H51" s="712"/>
      <c r="I51" s="712"/>
      <c r="J51" s="712"/>
      <c r="K51" s="712"/>
      <c r="L51" s="712"/>
      <c r="M51" s="712"/>
      <c r="N51" s="712">
        <v>0.72</v>
      </c>
      <c r="O51" s="712"/>
      <c r="P51" s="712"/>
      <c r="Q51" s="712">
        <v>0.7</v>
      </c>
      <c r="R51" s="3357">
        <v>0.69</v>
      </c>
      <c r="S51" s="2491"/>
    </row>
    <row r="52" spans="1:20" ht="14.25" customHeight="1" x14ac:dyDescent="0.25">
      <c r="A52" s="650"/>
      <c r="B52" s="165"/>
      <c r="C52" s="165"/>
      <c r="D52" s="3074"/>
      <c r="E52" s="711" t="s">
        <v>591</v>
      </c>
      <c r="F52" s="711"/>
      <c r="G52" s="714">
        <v>0.62</v>
      </c>
      <c r="H52" s="711"/>
      <c r="I52" s="711"/>
      <c r="J52" s="711"/>
      <c r="K52" s="711"/>
      <c r="L52" s="711"/>
      <c r="M52" s="711"/>
      <c r="N52" s="714">
        <v>0.64</v>
      </c>
      <c r="O52" s="711"/>
      <c r="P52" s="708"/>
      <c r="Q52" s="714">
        <v>0.67</v>
      </c>
      <c r="R52" s="3358">
        <v>0.64</v>
      </c>
    </row>
    <row r="53" spans="1:20" ht="14.25" customHeight="1" x14ac:dyDescent="0.25">
      <c r="A53" s="650"/>
      <c r="B53" s="165"/>
      <c r="C53" s="165"/>
      <c r="D53" s="3074"/>
      <c r="E53" s="370" t="s">
        <v>590</v>
      </c>
      <c r="F53" s="708"/>
      <c r="G53" s="714">
        <v>0.49</v>
      </c>
      <c r="H53" s="708"/>
      <c r="I53" s="708"/>
      <c r="J53" s="708"/>
      <c r="K53" s="708"/>
      <c r="L53" s="708"/>
      <c r="M53" s="708"/>
      <c r="N53" s="2505">
        <v>0.56000000000000005</v>
      </c>
      <c r="O53" s="708"/>
      <c r="P53" s="708"/>
      <c r="Q53" s="714">
        <v>0.53</v>
      </c>
      <c r="R53" s="3358">
        <v>0.5</v>
      </c>
    </row>
    <row r="54" spans="1:20" ht="14.25" customHeight="1" x14ac:dyDescent="0.25">
      <c r="A54" s="650"/>
      <c r="B54" s="165"/>
      <c r="C54" s="165"/>
      <c r="D54" s="3074"/>
      <c r="E54" s="370" t="s">
        <v>531</v>
      </c>
      <c r="F54" s="708"/>
      <c r="G54" s="714">
        <v>0.56000000000000005</v>
      </c>
      <c r="H54" s="708"/>
      <c r="I54" s="708"/>
      <c r="J54" s="708"/>
      <c r="K54" s="708"/>
      <c r="L54" s="708"/>
      <c r="M54" s="708"/>
      <c r="N54" s="714">
        <v>0.6</v>
      </c>
      <c r="O54" s="708"/>
      <c r="P54" s="708"/>
      <c r="Q54" s="714">
        <v>0.56999999999999995</v>
      </c>
      <c r="R54" s="3358">
        <v>0.57999999999999996</v>
      </c>
    </row>
    <row r="55" spans="1:20" ht="14.25" customHeight="1" x14ac:dyDescent="0.25">
      <c r="A55" s="650"/>
      <c r="B55" s="165"/>
      <c r="C55" s="165"/>
      <c r="D55" s="2983"/>
      <c r="E55" s="372" t="s">
        <v>529</v>
      </c>
      <c r="F55" s="709"/>
      <c r="G55" s="713">
        <v>0.47</v>
      </c>
      <c r="H55" s="709"/>
      <c r="I55" s="709"/>
      <c r="J55" s="709"/>
      <c r="K55" s="709"/>
      <c r="L55" s="709"/>
      <c r="M55" s="709"/>
      <c r="N55" s="713">
        <v>0.56000000000000005</v>
      </c>
      <c r="O55" s="709"/>
      <c r="P55" s="709"/>
      <c r="Q55" s="713">
        <v>0.47</v>
      </c>
      <c r="R55" s="3359">
        <v>0.45</v>
      </c>
    </row>
    <row r="56" spans="1:20" ht="14.25" customHeight="1" x14ac:dyDescent="0.25">
      <c r="A56" s="650"/>
      <c r="B56" s="165"/>
      <c r="C56" s="165"/>
      <c r="D56" s="3074"/>
      <c r="E56" s="119" t="s">
        <v>592</v>
      </c>
      <c r="F56" s="712"/>
      <c r="G56" s="712">
        <v>0.64</v>
      </c>
      <c r="H56" s="712"/>
      <c r="I56" s="712"/>
      <c r="J56" s="712"/>
      <c r="K56" s="712"/>
      <c r="L56" s="712"/>
      <c r="M56" s="712"/>
      <c r="N56" s="2506">
        <v>0.67</v>
      </c>
      <c r="O56" s="712"/>
      <c r="P56" s="712"/>
      <c r="Q56" s="712">
        <v>0.63</v>
      </c>
      <c r="R56" s="3357">
        <v>0.65</v>
      </c>
      <c r="S56" s="2491"/>
    </row>
    <row r="57" spans="1:20" ht="14.25" customHeight="1" x14ac:dyDescent="0.25">
      <c r="A57" s="650"/>
      <c r="B57" s="165"/>
      <c r="C57" s="165"/>
      <c r="D57" s="3074"/>
      <c r="E57" s="711" t="s">
        <v>591</v>
      </c>
      <c r="F57" s="708"/>
      <c r="G57" s="708">
        <v>0.55000000000000004</v>
      </c>
      <c r="H57" s="708"/>
      <c r="I57" s="708"/>
      <c r="J57" s="708"/>
      <c r="K57" s="708"/>
      <c r="L57" s="708"/>
      <c r="M57" s="708"/>
      <c r="N57" s="710">
        <v>0.53</v>
      </c>
      <c r="O57" s="708"/>
      <c r="P57" s="708"/>
      <c r="Q57" s="710">
        <v>0.54</v>
      </c>
      <c r="R57" s="3360">
        <v>0.55000000000000004</v>
      </c>
      <c r="S57" s="2491"/>
    </row>
    <row r="58" spans="1:20" ht="14.25" customHeight="1" x14ac:dyDescent="0.25">
      <c r="A58" s="650"/>
      <c r="B58" s="165"/>
      <c r="C58" s="165"/>
      <c r="D58" s="3074"/>
      <c r="E58" s="370" t="s">
        <v>590</v>
      </c>
      <c r="F58" s="708"/>
      <c r="G58" s="708">
        <v>0.43</v>
      </c>
      <c r="H58" s="708"/>
      <c r="I58" s="708"/>
      <c r="J58" s="708"/>
      <c r="K58" s="708"/>
      <c r="L58" s="708"/>
      <c r="M58" s="708"/>
      <c r="N58" s="710">
        <v>0.51</v>
      </c>
      <c r="O58" s="708"/>
      <c r="P58" s="708"/>
      <c r="Q58" s="710">
        <v>0.49</v>
      </c>
      <c r="R58" s="3360">
        <v>0.45</v>
      </c>
      <c r="S58" s="2491"/>
    </row>
    <row r="59" spans="1:20" ht="14.25" customHeight="1" x14ac:dyDescent="0.25">
      <c r="A59" s="650"/>
      <c r="B59" s="165"/>
      <c r="C59" s="165"/>
      <c r="D59" s="3074"/>
      <c r="E59" s="370" t="s">
        <v>531</v>
      </c>
      <c r="F59" s="708"/>
      <c r="G59" s="708">
        <v>0.47</v>
      </c>
      <c r="H59" s="708"/>
      <c r="I59" s="708"/>
      <c r="J59" s="708"/>
      <c r="K59" s="708"/>
      <c r="L59" s="708"/>
      <c r="M59" s="708"/>
      <c r="N59" s="710">
        <v>0.56000000000000005</v>
      </c>
      <c r="O59" s="708"/>
      <c r="P59" s="708"/>
      <c r="Q59" s="710">
        <v>0.51</v>
      </c>
      <c r="R59" s="3360">
        <v>0.53</v>
      </c>
      <c r="S59" s="2491"/>
    </row>
    <row r="60" spans="1:20" ht="14.25" customHeight="1" x14ac:dyDescent="0.25">
      <c r="A60" s="650"/>
      <c r="B60" s="165"/>
      <c r="C60" s="165"/>
      <c r="D60" s="2983"/>
      <c r="E60" s="372" t="s">
        <v>529</v>
      </c>
      <c r="F60" s="709"/>
      <c r="G60" s="709">
        <v>0.41</v>
      </c>
      <c r="H60" s="709"/>
      <c r="I60" s="709"/>
      <c r="J60" s="709"/>
      <c r="K60" s="709"/>
      <c r="L60" s="709"/>
      <c r="M60" s="709"/>
      <c r="N60" s="2507">
        <v>0.43</v>
      </c>
      <c r="O60" s="709"/>
      <c r="P60" s="709"/>
      <c r="Q60" s="2507">
        <v>0.39</v>
      </c>
      <c r="R60" s="3361">
        <v>0.42</v>
      </c>
      <c r="S60" s="2491"/>
    </row>
    <row r="61" spans="1:20" x14ac:dyDescent="0.25">
      <c r="A61" s="650"/>
      <c r="B61" s="165"/>
      <c r="C61" s="165"/>
      <c r="D61" s="133"/>
      <c r="E61" s="133"/>
      <c r="F61" s="708"/>
      <c r="G61" s="708"/>
      <c r="H61" s="708"/>
      <c r="I61" s="708"/>
      <c r="J61" s="708"/>
      <c r="K61" s="708"/>
      <c r="L61" s="708"/>
      <c r="M61" s="708"/>
      <c r="N61" s="708"/>
      <c r="O61" s="708"/>
      <c r="P61" s="708"/>
      <c r="Q61" s="708"/>
      <c r="R61" s="708"/>
      <c r="S61" s="2491"/>
    </row>
    <row r="62" spans="1:20" s="312" customFormat="1" x14ac:dyDescent="0.25">
      <c r="A62" s="704"/>
      <c r="B62" s="703"/>
      <c r="C62" s="703"/>
      <c r="D62" s="707"/>
      <c r="E62" s="707"/>
      <c r="F62" s="706"/>
      <c r="G62" s="706"/>
      <c r="H62" s="706"/>
      <c r="I62" s="706"/>
      <c r="J62" s="706"/>
      <c r="K62" s="706"/>
      <c r="L62" s="706"/>
      <c r="M62" s="706"/>
      <c r="N62" s="706"/>
      <c r="O62" s="706"/>
      <c r="P62" s="706"/>
      <c r="Q62" s="706"/>
      <c r="R62" s="706"/>
      <c r="S62" s="2508"/>
    </row>
    <row r="63" spans="1:20" s="312" customFormat="1" x14ac:dyDescent="0.25">
      <c r="A63" s="704"/>
      <c r="B63" s="703"/>
      <c r="C63" s="703"/>
      <c r="D63" s="1580" t="s">
        <v>278</v>
      </c>
      <c r="E63" s="2509" t="s">
        <v>584</v>
      </c>
      <c r="F63" s="1580"/>
      <c r="G63" s="1580"/>
      <c r="J63" s="1580"/>
      <c r="K63" s="1580" t="s">
        <v>518</v>
      </c>
      <c r="L63" s="706"/>
      <c r="M63" s="2494"/>
    </row>
    <row r="64" spans="1:20" s="312" customFormat="1" ht="15.6" customHeight="1" x14ac:dyDescent="0.25">
      <c r="A64" s="704"/>
      <c r="B64" s="703"/>
      <c r="C64" s="703"/>
      <c r="D64" s="3365" t="s">
        <v>583</v>
      </c>
      <c r="E64" s="3721" t="s">
        <v>546</v>
      </c>
      <c r="F64" s="3721"/>
      <c r="G64" s="3721"/>
      <c r="H64" s="3722"/>
      <c r="I64" s="2510"/>
      <c r="J64" s="3721" t="s">
        <v>582</v>
      </c>
      <c r="K64" s="3721"/>
      <c r="L64" s="3721"/>
      <c r="M64" s="3723"/>
      <c r="N64" s="2511"/>
      <c r="O64" s="2511"/>
      <c r="P64" s="1580"/>
      <c r="Q64" s="1580"/>
      <c r="R64" s="1580"/>
      <c r="T64" s="706"/>
    </row>
    <row r="65" spans="1:21" s="312" customFormat="1" x14ac:dyDescent="0.25">
      <c r="A65" s="704"/>
      <c r="B65" s="703"/>
      <c r="C65" s="703"/>
      <c r="D65" s="3366"/>
      <c r="E65" s="2512">
        <v>2000</v>
      </c>
      <c r="F65" s="2512">
        <v>2005</v>
      </c>
      <c r="G65" s="2512">
        <v>2009</v>
      </c>
      <c r="H65" s="2513">
        <v>2010</v>
      </c>
      <c r="I65" s="2512"/>
      <c r="J65" s="2512">
        <v>2000</v>
      </c>
      <c r="K65" s="2512">
        <v>2005</v>
      </c>
      <c r="L65" s="2512">
        <v>2009</v>
      </c>
      <c r="M65" s="3362">
        <v>2010</v>
      </c>
      <c r="N65" s="2512"/>
      <c r="O65" s="2512"/>
      <c r="P65" s="2514"/>
      <c r="Q65" s="2514"/>
      <c r="R65" s="2514"/>
      <c r="T65" s="706"/>
    </row>
    <row r="66" spans="1:21" s="312" customFormat="1" x14ac:dyDescent="0.25">
      <c r="A66" s="704"/>
      <c r="B66" s="703"/>
      <c r="C66" s="703"/>
      <c r="D66" s="3367" t="s">
        <v>415</v>
      </c>
      <c r="E66" s="705">
        <v>0.7</v>
      </c>
      <c r="F66" s="705">
        <v>0.69</v>
      </c>
      <c r="G66" s="705">
        <v>0.69</v>
      </c>
      <c r="H66" s="2515">
        <v>0.7</v>
      </c>
      <c r="I66" s="705"/>
      <c r="J66" s="705">
        <v>0.62</v>
      </c>
      <c r="K66" s="705">
        <v>0.62</v>
      </c>
      <c r="L66" s="705">
        <v>0.59</v>
      </c>
      <c r="M66" s="3363">
        <v>0.61</v>
      </c>
      <c r="N66" s="2516"/>
      <c r="O66" s="2516"/>
      <c r="P66" s="2517"/>
      <c r="Q66" s="3724"/>
      <c r="R66" s="3724"/>
      <c r="T66" s="706"/>
    </row>
    <row r="67" spans="1:21" s="312" customFormat="1" x14ac:dyDescent="0.25">
      <c r="A67" s="704"/>
      <c r="B67" s="703"/>
      <c r="C67" s="703"/>
      <c r="D67" s="3367" t="s">
        <v>417</v>
      </c>
      <c r="E67" s="705">
        <v>0.72</v>
      </c>
      <c r="F67" s="705">
        <v>0.69</v>
      </c>
      <c r="G67" s="705">
        <v>0.69</v>
      </c>
      <c r="H67" s="2515">
        <v>0.67</v>
      </c>
      <c r="I67" s="705"/>
      <c r="J67" s="705">
        <v>0.65</v>
      </c>
      <c r="K67" s="705">
        <v>0.63</v>
      </c>
      <c r="L67" s="705">
        <v>0.59</v>
      </c>
      <c r="M67" s="3363">
        <v>0.59</v>
      </c>
      <c r="N67" s="2518"/>
      <c r="O67" s="2516"/>
      <c r="P67" s="2519"/>
      <c r="Q67" s="2520"/>
      <c r="R67" s="2520"/>
      <c r="T67" s="706"/>
    </row>
    <row r="68" spans="1:21" s="312" customFormat="1" x14ac:dyDescent="0.25">
      <c r="A68" s="704"/>
      <c r="B68" s="703"/>
      <c r="C68" s="703"/>
      <c r="D68" s="3367" t="s">
        <v>581</v>
      </c>
      <c r="E68" s="705">
        <v>0.65</v>
      </c>
      <c r="F68" s="705">
        <v>0.69</v>
      </c>
      <c r="G68" s="705">
        <v>0.66</v>
      </c>
      <c r="H68" s="2515">
        <v>0.64</v>
      </c>
      <c r="I68" s="705"/>
      <c r="J68" s="705">
        <v>0.6</v>
      </c>
      <c r="K68" s="705">
        <v>0.63</v>
      </c>
      <c r="L68" s="705">
        <v>0.6</v>
      </c>
      <c r="M68" s="3363">
        <v>0.63</v>
      </c>
      <c r="N68" s="2516"/>
      <c r="O68" s="2516"/>
      <c r="P68" s="2519"/>
      <c r="Q68" s="2521"/>
      <c r="R68" s="2521"/>
      <c r="T68" s="2522"/>
    </row>
    <row r="69" spans="1:21" s="312" customFormat="1" x14ac:dyDescent="0.25">
      <c r="A69" s="704"/>
      <c r="B69" s="703"/>
      <c r="C69" s="703"/>
      <c r="D69" s="3367" t="s">
        <v>418</v>
      </c>
      <c r="E69" s="705">
        <v>0.7</v>
      </c>
      <c r="F69" s="705">
        <v>0.73</v>
      </c>
      <c r="G69" s="705">
        <v>0.69</v>
      </c>
      <c r="H69" s="2515">
        <v>0.68</v>
      </c>
      <c r="I69" s="705"/>
      <c r="J69" s="705">
        <v>0.64</v>
      </c>
      <c r="K69" s="705">
        <v>0.65</v>
      </c>
      <c r="L69" s="705">
        <v>0.59</v>
      </c>
      <c r="M69" s="3363">
        <v>0.64</v>
      </c>
      <c r="N69" s="2518"/>
      <c r="O69" s="2516"/>
      <c r="P69" s="2519"/>
      <c r="Q69" s="2521"/>
      <c r="R69" s="2521"/>
    </row>
    <row r="70" spans="1:21" s="312" customFormat="1" x14ac:dyDescent="0.25">
      <c r="A70" s="704"/>
      <c r="B70" s="703"/>
      <c r="C70" s="703"/>
      <c r="D70" s="3367" t="s">
        <v>422</v>
      </c>
      <c r="E70" s="705">
        <v>0.65</v>
      </c>
      <c r="F70" s="705">
        <v>0.67</v>
      </c>
      <c r="G70" s="705">
        <v>0.66</v>
      </c>
      <c r="H70" s="2515">
        <v>0.68</v>
      </c>
      <c r="I70" s="705"/>
      <c r="J70" s="705">
        <v>0.57999999999999996</v>
      </c>
      <c r="K70" s="705">
        <v>0.55000000000000004</v>
      </c>
      <c r="L70" s="705">
        <v>0.59</v>
      </c>
      <c r="M70" s="3363">
        <v>0.56999999999999995</v>
      </c>
      <c r="N70" s="2518"/>
      <c r="O70" s="2516"/>
      <c r="P70" s="2519"/>
      <c r="Q70" s="2521"/>
      <c r="R70" s="2521"/>
      <c r="U70" s="2522"/>
    </row>
    <row r="71" spans="1:21" s="312" customFormat="1" x14ac:dyDescent="0.25">
      <c r="A71" s="704"/>
      <c r="B71" s="703"/>
      <c r="C71" s="703"/>
      <c r="D71" s="3367" t="s">
        <v>421</v>
      </c>
      <c r="E71" s="705">
        <v>0.63</v>
      </c>
      <c r="F71" s="705">
        <v>0.71</v>
      </c>
      <c r="G71" s="705">
        <v>0.68</v>
      </c>
      <c r="H71" s="2515">
        <v>0.69</v>
      </c>
      <c r="I71" s="705"/>
      <c r="J71" s="705">
        <v>0.56999999999999995</v>
      </c>
      <c r="K71" s="705">
        <v>0.64</v>
      </c>
      <c r="L71" s="705">
        <v>0.63</v>
      </c>
      <c r="M71" s="3363">
        <v>0.63</v>
      </c>
      <c r="N71" s="2516"/>
      <c r="O71" s="2516"/>
      <c r="P71" s="2519"/>
      <c r="Q71" s="2521"/>
      <c r="R71" s="2521"/>
    </row>
    <row r="72" spans="1:21" s="312" customFormat="1" ht="12.75" customHeight="1" x14ac:dyDescent="0.25">
      <c r="A72" s="704"/>
      <c r="B72" s="703"/>
      <c r="C72" s="703"/>
      <c r="D72" s="3367" t="s">
        <v>416</v>
      </c>
      <c r="E72" s="705">
        <v>0.73</v>
      </c>
      <c r="F72" s="705">
        <v>0.66</v>
      </c>
      <c r="G72" s="705">
        <v>0.66</v>
      </c>
      <c r="H72" s="2515">
        <v>0.65</v>
      </c>
      <c r="I72" s="705"/>
      <c r="J72" s="705">
        <v>0.61</v>
      </c>
      <c r="K72" s="705">
        <v>0.6</v>
      </c>
      <c r="L72" s="705">
        <v>0.61</v>
      </c>
      <c r="M72" s="3363">
        <v>0.61</v>
      </c>
      <c r="N72" s="2516"/>
      <c r="O72" s="2516"/>
      <c r="P72" s="2519"/>
      <c r="Q72" s="2521"/>
      <c r="R72" s="2521"/>
    </row>
    <row r="73" spans="1:21" s="312" customFormat="1" x14ac:dyDescent="0.25">
      <c r="A73" s="704"/>
      <c r="B73" s="703"/>
      <c r="C73" s="703"/>
      <c r="D73" s="3367" t="s">
        <v>419</v>
      </c>
      <c r="E73" s="705">
        <v>0.67</v>
      </c>
      <c r="F73" s="705">
        <v>0.68</v>
      </c>
      <c r="G73" s="705">
        <v>0.66</v>
      </c>
      <c r="H73" s="2515">
        <v>0.73</v>
      </c>
      <c r="I73" s="705"/>
      <c r="J73" s="705">
        <v>0.59</v>
      </c>
      <c r="K73" s="705">
        <v>0.63</v>
      </c>
      <c r="L73" s="705">
        <v>0.6</v>
      </c>
      <c r="M73" s="3363">
        <v>0.65</v>
      </c>
      <c r="N73" s="2518"/>
      <c r="O73" s="2516"/>
      <c r="P73" s="2519"/>
      <c r="Q73" s="2521"/>
      <c r="R73" s="2521"/>
    </row>
    <row r="74" spans="1:21" s="312" customFormat="1" x14ac:dyDescent="0.25">
      <c r="A74" s="704"/>
      <c r="B74" s="703"/>
      <c r="C74" s="703"/>
      <c r="D74" s="3367" t="s">
        <v>414</v>
      </c>
      <c r="E74" s="705">
        <v>0.62</v>
      </c>
      <c r="F74" s="705">
        <v>0.67</v>
      </c>
      <c r="G74" s="705">
        <v>0.61</v>
      </c>
      <c r="H74" s="2515">
        <v>0.62</v>
      </c>
      <c r="I74" s="705"/>
      <c r="J74" s="705">
        <v>0.56999999999999995</v>
      </c>
      <c r="K74" s="705">
        <v>0.67</v>
      </c>
      <c r="L74" s="705">
        <v>0.6</v>
      </c>
      <c r="M74" s="3363">
        <v>0.59</v>
      </c>
      <c r="N74" s="2518"/>
      <c r="O74" s="2516"/>
      <c r="P74" s="2519"/>
      <c r="Q74" s="2521"/>
      <c r="R74" s="2521"/>
    </row>
    <row r="75" spans="1:21" s="312" customFormat="1" x14ac:dyDescent="0.25">
      <c r="A75" s="704"/>
      <c r="B75" s="703"/>
      <c r="C75" s="703"/>
      <c r="D75" s="3368" t="s">
        <v>0</v>
      </c>
      <c r="E75" s="702">
        <v>0.7</v>
      </c>
      <c r="F75" s="702">
        <v>0.72</v>
      </c>
      <c r="G75" s="702">
        <v>0.7</v>
      </c>
      <c r="H75" s="2524">
        <v>0.69</v>
      </c>
      <c r="I75" s="702"/>
      <c r="J75" s="702">
        <v>0.64</v>
      </c>
      <c r="K75" s="702">
        <v>0.67</v>
      </c>
      <c r="L75" s="702">
        <v>0.63</v>
      </c>
      <c r="M75" s="3364">
        <v>0.65</v>
      </c>
      <c r="N75" s="2525"/>
      <c r="O75" s="2526"/>
      <c r="P75" s="2519"/>
      <c r="Q75" s="2521"/>
      <c r="R75" s="2521"/>
    </row>
    <row r="76" spans="1:21" s="312" customFormat="1" x14ac:dyDescent="0.25">
      <c r="A76" s="704"/>
      <c r="B76" s="703"/>
      <c r="C76" s="703"/>
      <c r="D76" s="2523" t="s">
        <v>0</v>
      </c>
      <c r="E76" s="702">
        <v>0.7</v>
      </c>
      <c r="F76" s="702">
        <v>0.72</v>
      </c>
      <c r="G76" s="702">
        <v>0.7</v>
      </c>
      <c r="H76" s="2524">
        <v>0.69</v>
      </c>
      <c r="I76" s="702"/>
      <c r="J76" s="702">
        <v>0.64</v>
      </c>
      <c r="K76" s="702">
        <v>0.67</v>
      </c>
      <c r="L76" s="702">
        <v>0.63</v>
      </c>
      <c r="M76" s="702">
        <v>0.65</v>
      </c>
      <c r="N76" s="2525"/>
      <c r="O76" s="2526"/>
      <c r="P76" s="2519"/>
      <c r="Q76" s="2521"/>
      <c r="R76" s="2521"/>
    </row>
    <row r="90" spans="1:19" x14ac:dyDescent="0.25">
      <c r="A90" s="650"/>
      <c r="B90" s="165"/>
      <c r="C90" s="165"/>
      <c r="D90" s="631"/>
      <c r="E90" s="701"/>
      <c r="F90" s="700"/>
      <c r="G90" s="699"/>
      <c r="H90" s="698"/>
      <c r="I90" s="698"/>
      <c r="J90" s="697"/>
      <c r="K90" s="696"/>
      <c r="L90" s="133"/>
      <c r="M90" s="1049"/>
      <c r="N90" s="695"/>
      <c r="O90" s="694"/>
      <c r="P90" s="693"/>
      <c r="Q90" s="692"/>
      <c r="R90" s="691"/>
      <c r="S90" s="708"/>
    </row>
    <row r="91" spans="1:19" x14ac:dyDescent="0.25">
      <c r="A91" s="650"/>
      <c r="B91" s="165"/>
      <c r="C91" s="165"/>
      <c r="D91" s="631"/>
      <c r="E91" s="701"/>
      <c r="F91" s="700"/>
      <c r="G91" s="699"/>
      <c r="H91" s="698"/>
      <c r="I91" s="698"/>
      <c r="J91" s="697"/>
      <c r="K91" s="696"/>
      <c r="L91" s="133"/>
      <c r="M91" s="1049"/>
      <c r="N91" s="695"/>
      <c r="O91" s="694"/>
      <c r="P91" s="693"/>
      <c r="Q91" s="692"/>
      <c r="R91" s="691"/>
      <c r="S91" s="708"/>
    </row>
    <row r="92" spans="1:19" x14ac:dyDescent="0.25">
      <c r="A92" s="650"/>
      <c r="B92" s="165"/>
      <c r="C92" s="165"/>
      <c r="D92" s="631"/>
      <c r="E92" s="701"/>
      <c r="F92" s="700"/>
      <c r="G92" s="699"/>
      <c r="H92" s="698"/>
      <c r="I92" s="698"/>
      <c r="J92" s="697"/>
      <c r="K92" s="696"/>
      <c r="L92" s="133"/>
      <c r="M92" s="1049"/>
      <c r="N92" s="695"/>
      <c r="O92" s="694"/>
      <c r="P92" s="693"/>
      <c r="Q92" s="692"/>
      <c r="R92" s="691"/>
      <c r="S92" s="708"/>
    </row>
    <row r="93" spans="1:19" x14ac:dyDescent="0.25">
      <c r="A93" s="650"/>
      <c r="B93" s="165"/>
      <c r="C93" s="165"/>
      <c r="D93" s="631"/>
      <c r="E93" s="701"/>
      <c r="F93" s="700"/>
      <c r="G93" s="699"/>
      <c r="H93" s="698"/>
      <c r="I93" s="698"/>
      <c r="J93" s="697"/>
      <c r="K93" s="696"/>
      <c r="L93" s="133"/>
      <c r="M93" s="1049"/>
      <c r="N93" s="695"/>
      <c r="O93" s="694"/>
      <c r="P93" s="693"/>
      <c r="Q93" s="692"/>
      <c r="R93" s="691"/>
      <c r="S93" s="708"/>
    </row>
    <row r="94" spans="1:19" x14ac:dyDescent="0.25">
      <c r="A94" s="650">
        <v>5</v>
      </c>
      <c r="B94" s="650" t="s">
        <v>78</v>
      </c>
      <c r="C94" s="689"/>
      <c r="D94" s="3725" t="s">
        <v>589</v>
      </c>
      <c r="E94" s="3554"/>
      <c r="F94" s="3554"/>
      <c r="G94" s="3554"/>
      <c r="H94" s="3554"/>
      <c r="I94" s="3554"/>
      <c r="J94" s="3554"/>
      <c r="K94" s="3554"/>
      <c r="L94" s="3554"/>
      <c r="M94" s="3554"/>
      <c r="N94" s="3554"/>
      <c r="O94" s="3554"/>
      <c r="P94" s="3554"/>
      <c r="Q94" s="3554"/>
      <c r="R94" s="3554"/>
      <c r="S94" s="3555"/>
    </row>
    <row r="95" spans="1:19" ht="50.45" customHeight="1" x14ac:dyDescent="0.25">
      <c r="A95" s="687">
        <v>6</v>
      </c>
      <c r="B95" s="687" t="s">
        <v>80</v>
      </c>
      <c r="C95" s="689"/>
      <c r="D95" s="3725" t="s">
        <v>588</v>
      </c>
      <c r="E95" s="3554"/>
      <c r="F95" s="3554"/>
      <c r="G95" s="3554"/>
      <c r="H95" s="3554"/>
      <c r="I95" s="3554"/>
      <c r="J95" s="3554"/>
      <c r="K95" s="3554"/>
      <c r="L95" s="3554"/>
      <c r="M95" s="3554"/>
      <c r="N95" s="3554"/>
      <c r="O95" s="3554"/>
      <c r="P95" s="3554"/>
      <c r="Q95" s="3554"/>
      <c r="R95" s="3554"/>
      <c r="S95" s="3555"/>
    </row>
    <row r="96" spans="1:19" x14ac:dyDescent="0.25">
      <c r="A96" s="687"/>
      <c r="B96" s="687"/>
      <c r="C96" s="689"/>
      <c r="D96" s="3725"/>
      <c r="E96" s="3554"/>
      <c r="F96" s="3554"/>
      <c r="G96" s="3554"/>
      <c r="H96" s="3554"/>
      <c r="I96" s="3554"/>
      <c r="J96" s="3554"/>
      <c r="K96" s="3554"/>
      <c r="L96" s="3554"/>
      <c r="M96" s="3554"/>
      <c r="N96" s="3554"/>
      <c r="O96" s="3554"/>
      <c r="P96" s="3554"/>
      <c r="Q96" s="3554"/>
      <c r="R96" s="3554"/>
      <c r="S96" s="3555"/>
    </row>
    <row r="97" spans="1:21" ht="52.15" customHeight="1" x14ac:dyDescent="0.25">
      <c r="A97" s="650">
        <v>7</v>
      </c>
      <c r="B97" s="650" t="s">
        <v>20</v>
      </c>
      <c r="C97" s="689"/>
      <c r="D97" s="3725" t="s">
        <v>587</v>
      </c>
      <c r="E97" s="3554"/>
      <c r="F97" s="3554"/>
      <c r="G97" s="3554"/>
      <c r="H97" s="3554"/>
      <c r="I97" s="3554"/>
      <c r="J97" s="3554"/>
      <c r="K97" s="3554"/>
      <c r="L97" s="3554"/>
      <c r="M97" s="3554"/>
      <c r="N97" s="3554"/>
      <c r="O97" s="3554"/>
      <c r="P97" s="3554"/>
      <c r="Q97" s="3554"/>
      <c r="R97" s="3554"/>
      <c r="S97" s="3555"/>
      <c r="T97" s="690"/>
    </row>
    <row r="98" spans="1:21" ht="168" customHeight="1" x14ac:dyDescent="0.25">
      <c r="A98" s="650">
        <v>8</v>
      </c>
      <c r="B98" s="650" t="s">
        <v>502</v>
      </c>
      <c r="C98" s="689"/>
      <c r="D98" s="3725" t="s">
        <v>586</v>
      </c>
      <c r="E98" s="3554"/>
      <c r="F98" s="3554"/>
      <c r="G98" s="3554"/>
      <c r="H98" s="3554"/>
      <c r="I98" s="3554"/>
      <c r="J98" s="3554"/>
      <c r="K98" s="3554"/>
      <c r="L98" s="3554"/>
      <c r="M98" s="3554"/>
      <c r="N98" s="3554"/>
      <c r="O98" s="3554"/>
      <c r="P98" s="3554"/>
      <c r="Q98" s="3554"/>
      <c r="R98" s="3554"/>
      <c r="S98" s="3555"/>
      <c r="T98" s="688"/>
    </row>
    <row r="99" spans="1:21" x14ac:dyDescent="0.25">
      <c r="A99" s="59"/>
      <c r="B99" s="59"/>
      <c r="C99" s="650"/>
    </row>
    <row r="100" spans="1:21" ht="29.25" customHeight="1" x14ac:dyDescent="0.25">
      <c r="A100" s="59"/>
      <c r="B100" s="59"/>
      <c r="C100" s="687"/>
    </row>
    <row r="101" spans="1:21" ht="12.75" customHeight="1" x14ac:dyDescent="0.25">
      <c r="A101" s="59"/>
      <c r="B101" s="59"/>
      <c r="C101" s="687"/>
    </row>
    <row r="102" spans="1:21" ht="40.5" customHeight="1" x14ac:dyDescent="0.25">
      <c r="A102" s="59"/>
      <c r="B102" s="59"/>
      <c r="C102" s="650"/>
    </row>
    <row r="105" spans="1:21" x14ac:dyDescent="0.25">
      <c r="A105" s="650"/>
      <c r="B105" s="165"/>
      <c r="C105" s="165"/>
      <c r="D105" s="120" t="s">
        <v>585</v>
      </c>
      <c r="E105" s="2493" t="s">
        <v>584</v>
      </c>
      <c r="F105" s="120"/>
      <c r="G105" s="120"/>
      <c r="J105" s="120"/>
      <c r="L105" s="708"/>
      <c r="M105" s="2494"/>
    </row>
    <row r="106" spans="1:21" ht="15.6" customHeight="1" x14ac:dyDescent="0.25">
      <c r="A106" s="650"/>
      <c r="B106" s="165"/>
      <c r="C106" s="165"/>
      <c r="D106" s="2359" t="s">
        <v>583</v>
      </c>
      <c r="E106" s="3716" t="s">
        <v>546</v>
      </c>
      <c r="F106" s="3716"/>
      <c r="G106" s="3716"/>
      <c r="H106" s="3716"/>
      <c r="I106" s="3716"/>
      <c r="J106" s="3717"/>
      <c r="K106" s="3718" t="s">
        <v>582</v>
      </c>
      <c r="L106" s="3716"/>
      <c r="M106" s="3716"/>
      <c r="N106" s="3716"/>
      <c r="O106" s="3716"/>
      <c r="P106" s="119"/>
      <c r="Q106" s="119"/>
      <c r="R106" s="119"/>
      <c r="T106" s="708"/>
    </row>
    <row r="107" spans="1:21" x14ac:dyDescent="0.25">
      <c r="A107" s="650"/>
      <c r="B107" s="165"/>
      <c r="C107" s="165"/>
      <c r="D107" s="277"/>
      <c r="E107" s="276">
        <v>2000</v>
      </c>
      <c r="F107" s="276">
        <v>2005</v>
      </c>
      <c r="G107" s="276">
        <v>2008</v>
      </c>
      <c r="H107" s="276">
        <v>2009</v>
      </c>
      <c r="I107" s="276"/>
      <c r="J107" s="652">
        <v>2010</v>
      </c>
      <c r="K107" s="276">
        <v>2000</v>
      </c>
      <c r="L107" s="276">
        <v>2005</v>
      </c>
      <c r="M107" s="276">
        <v>2008</v>
      </c>
      <c r="N107" s="276">
        <v>2009</v>
      </c>
      <c r="O107" s="276">
        <v>2010</v>
      </c>
      <c r="P107" s="715"/>
      <c r="Q107" s="715"/>
      <c r="R107" s="715"/>
      <c r="T107" s="708"/>
    </row>
    <row r="108" spans="1:21" x14ac:dyDescent="0.25">
      <c r="A108" s="650"/>
      <c r="B108" s="165"/>
      <c r="C108" s="165"/>
      <c r="D108" s="631" t="s">
        <v>415</v>
      </c>
      <c r="E108" s="2495">
        <v>0.62</v>
      </c>
      <c r="F108" s="2495">
        <v>0.63</v>
      </c>
      <c r="G108" s="2495">
        <v>0.67</v>
      </c>
      <c r="H108" s="2495">
        <v>0.6</v>
      </c>
      <c r="I108" s="2495"/>
      <c r="J108" s="2496">
        <v>0.69</v>
      </c>
      <c r="K108" s="2497"/>
      <c r="L108" s="2495">
        <v>0.69</v>
      </c>
      <c r="M108" s="2495">
        <v>0.7</v>
      </c>
      <c r="N108" s="2495">
        <v>0.7</v>
      </c>
      <c r="O108" s="2495">
        <v>0.7</v>
      </c>
      <c r="P108" s="2498"/>
      <c r="Q108" s="3720"/>
      <c r="R108" s="3720"/>
      <c r="T108" s="708"/>
    </row>
    <row r="109" spans="1:21" x14ac:dyDescent="0.25">
      <c r="A109" s="650"/>
      <c r="B109" s="165"/>
      <c r="C109" s="165"/>
      <c r="D109" s="631" t="s">
        <v>417</v>
      </c>
      <c r="E109" s="2495">
        <v>0.65</v>
      </c>
      <c r="F109" s="2495">
        <v>0.63</v>
      </c>
      <c r="G109" s="2495">
        <v>0.68</v>
      </c>
      <c r="H109" s="2495">
        <v>0.59</v>
      </c>
      <c r="I109" s="2495"/>
      <c r="J109" s="2496">
        <v>0.69</v>
      </c>
      <c r="K109" s="2497"/>
      <c r="L109" s="2495">
        <v>0.69</v>
      </c>
      <c r="M109" s="2495">
        <v>0.64</v>
      </c>
      <c r="N109" s="2495">
        <v>0.69</v>
      </c>
      <c r="O109" s="2495">
        <v>0.72</v>
      </c>
      <c r="P109" s="84"/>
      <c r="Q109" s="2040"/>
      <c r="R109" s="2040"/>
      <c r="T109" s="708"/>
    </row>
    <row r="110" spans="1:21" x14ac:dyDescent="0.25">
      <c r="A110" s="650"/>
      <c r="B110" s="165"/>
      <c r="C110" s="165"/>
      <c r="D110" s="631" t="s">
        <v>581</v>
      </c>
      <c r="E110" s="2495">
        <v>0.6</v>
      </c>
      <c r="F110" s="2495">
        <v>0.64</v>
      </c>
      <c r="G110" s="2495">
        <v>0.67</v>
      </c>
      <c r="H110" s="2495">
        <v>0.6</v>
      </c>
      <c r="I110" s="2495"/>
      <c r="J110" s="2496">
        <v>0.61</v>
      </c>
      <c r="K110" s="2497"/>
      <c r="L110" s="2495">
        <v>0.69</v>
      </c>
      <c r="M110" s="2495">
        <v>0.61</v>
      </c>
      <c r="N110" s="2495">
        <v>0.66</v>
      </c>
      <c r="O110" s="2495">
        <v>0.7</v>
      </c>
      <c r="P110" s="84"/>
      <c r="Q110" s="699"/>
      <c r="R110" s="699"/>
      <c r="T110" s="2499"/>
    </row>
    <row r="111" spans="1:21" x14ac:dyDescent="0.25">
      <c r="A111" s="650"/>
      <c r="B111" s="165"/>
      <c r="C111" s="165"/>
      <c r="D111" s="631" t="s">
        <v>418</v>
      </c>
      <c r="E111" s="2495">
        <v>0.64</v>
      </c>
      <c r="F111" s="2495">
        <v>0.66</v>
      </c>
      <c r="G111" s="2495">
        <v>0.72</v>
      </c>
      <c r="H111" s="2495">
        <v>0.61</v>
      </c>
      <c r="I111" s="2495"/>
      <c r="J111" s="2496">
        <v>0.72</v>
      </c>
      <c r="K111" s="2497"/>
      <c r="L111" s="2495">
        <v>0.73</v>
      </c>
      <c r="M111" s="2495">
        <v>0.78</v>
      </c>
      <c r="N111" s="2495">
        <v>0.69</v>
      </c>
      <c r="O111" s="2495">
        <v>0.69</v>
      </c>
      <c r="P111" s="84"/>
      <c r="Q111" s="699"/>
      <c r="R111" s="699"/>
    </row>
    <row r="112" spans="1:21" x14ac:dyDescent="0.25">
      <c r="A112" s="650"/>
      <c r="B112" s="165"/>
      <c r="C112" s="165"/>
      <c r="D112" s="631" t="s">
        <v>422</v>
      </c>
      <c r="E112" s="2495">
        <v>0.6</v>
      </c>
      <c r="F112" s="2495">
        <v>0.56999999999999995</v>
      </c>
      <c r="G112" s="2495">
        <v>0.71</v>
      </c>
      <c r="H112" s="2495">
        <v>0.59</v>
      </c>
      <c r="I112" s="2495"/>
      <c r="J112" s="2496">
        <v>0.67</v>
      </c>
      <c r="K112" s="2497"/>
      <c r="L112" s="2495">
        <v>0.67</v>
      </c>
      <c r="M112" s="2495">
        <v>0.69</v>
      </c>
      <c r="N112" s="2495">
        <v>0.66</v>
      </c>
      <c r="O112" s="2495">
        <v>0.66</v>
      </c>
      <c r="P112" s="84"/>
      <c r="Q112" s="699"/>
      <c r="R112" s="699"/>
      <c r="U112" s="2499"/>
    </row>
    <row r="113" spans="1:18" x14ac:dyDescent="0.25">
      <c r="A113" s="650"/>
      <c r="B113" s="165"/>
      <c r="C113" s="165"/>
      <c r="D113" s="631" t="s">
        <v>421</v>
      </c>
      <c r="E113" s="2495">
        <v>0.56999999999999995</v>
      </c>
      <c r="F113" s="2495">
        <v>0.65</v>
      </c>
      <c r="G113" s="2495">
        <v>0.68</v>
      </c>
      <c r="H113" s="2495">
        <v>0.61</v>
      </c>
      <c r="I113" s="2495"/>
      <c r="J113" s="2496">
        <v>0.7</v>
      </c>
      <c r="K113" s="2497"/>
      <c r="L113" s="2495">
        <v>0.71</v>
      </c>
      <c r="M113" s="2495">
        <v>0.66</v>
      </c>
      <c r="N113" s="2495">
        <v>0.68</v>
      </c>
      <c r="O113" s="2495">
        <v>0.73</v>
      </c>
      <c r="P113" s="84"/>
      <c r="Q113" s="699"/>
      <c r="R113" s="699"/>
    </row>
    <row r="114" spans="1:18" ht="12.75" customHeight="1" x14ac:dyDescent="0.25">
      <c r="A114" s="650"/>
      <c r="B114" s="165"/>
      <c r="C114" s="165"/>
      <c r="D114" s="631" t="s">
        <v>416</v>
      </c>
      <c r="E114" s="2495">
        <v>0.59</v>
      </c>
      <c r="F114" s="2495">
        <v>0.63</v>
      </c>
      <c r="G114" s="2495">
        <v>0.6</v>
      </c>
      <c r="H114" s="2495">
        <v>0.6</v>
      </c>
      <c r="I114" s="2495"/>
      <c r="J114" s="2496">
        <v>0.63</v>
      </c>
      <c r="K114" s="2497"/>
      <c r="L114" s="2495">
        <v>0.68</v>
      </c>
      <c r="M114" s="2495">
        <v>0.57999999999999996</v>
      </c>
      <c r="N114" s="2495">
        <v>0.66</v>
      </c>
      <c r="O114" s="2495">
        <v>0.61</v>
      </c>
      <c r="P114" s="84"/>
      <c r="Q114" s="699"/>
      <c r="R114" s="699"/>
    </row>
    <row r="115" spans="1:18" x14ac:dyDescent="0.25">
      <c r="A115" s="650"/>
      <c r="B115" s="165"/>
      <c r="C115" s="165"/>
      <c r="D115" s="631" t="s">
        <v>419</v>
      </c>
      <c r="E115" s="2495">
        <v>0.61</v>
      </c>
      <c r="F115" s="2495">
        <v>0.6</v>
      </c>
      <c r="G115" s="2495">
        <v>0.65</v>
      </c>
      <c r="H115" s="2495">
        <v>0.61</v>
      </c>
      <c r="I115" s="2495"/>
      <c r="J115" s="2496">
        <v>0.6</v>
      </c>
      <c r="K115" s="2497"/>
      <c r="L115" s="2495">
        <v>0.66</v>
      </c>
      <c r="M115" s="2495">
        <v>0.66</v>
      </c>
      <c r="N115" s="2495">
        <v>0.66</v>
      </c>
      <c r="O115" s="2495">
        <v>0.63</v>
      </c>
      <c r="P115" s="84"/>
      <c r="Q115" s="699"/>
      <c r="R115" s="699"/>
    </row>
    <row r="116" spans="1:18" x14ac:dyDescent="0.25">
      <c r="A116" s="650"/>
      <c r="B116" s="165"/>
      <c r="C116" s="165"/>
      <c r="D116" s="631" t="s">
        <v>414</v>
      </c>
      <c r="E116" s="2495">
        <v>0.56999999999999995</v>
      </c>
      <c r="F116" s="2495">
        <v>0.67</v>
      </c>
      <c r="G116" s="2495">
        <v>0.6</v>
      </c>
      <c r="H116" s="2495">
        <v>0.61</v>
      </c>
      <c r="I116" s="2495"/>
      <c r="J116" s="2496">
        <v>0.62</v>
      </c>
      <c r="K116" s="2497"/>
      <c r="L116" s="2495">
        <v>0.67</v>
      </c>
      <c r="M116" s="2495">
        <v>0.65</v>
      </c>
      <c r="N116" s="2495">
        <v>0.61</v>
      </c>
      <c r="O116" s="2495">
        <v>0.64</v>
      </c>
      <c r="P116" s="84"/>
      <c r="Q116" s="699"/>
      <c r="R116" s="699"/>
    </row>
    <row r="117" spans="1:18" x14ac:dyDescent="0.25">
      <c r="A117" s="650"/>
      <c r="B117" s="165"/>
      <c r="C117" s="165"/>
      <c r="D117" s="2500" t="s">
        <v>0</v>
      </c>
      <c r="E117" s="2501">
        <v>0.64</v>
      </c>
      <c r="F117" s="2501">
        <v>0.67</v>
      </c>
      <c r="G117" s="2501">
        <v>0.7</v>
      </c>
      <c r="H117" s="2501">
        <v>0.64</v>
      </c>
      <c r="I117" s="2501"/>
      <c r="J117" s="2502">
        <v>0.68</v>
      </c>
      <c r="K117" s="2503"/>
      <c r="L117" s="2501">
        <v>0.72</v>
      </c>
      <c r="M117" s="2501">
        <v>0.7</v>
      </c>
      <c r="N117" s="2501">
        <v>0.7</v>
      </c>
      <c r="O117" s="2501">
        <v>0.71</v>
      </c>
      <c r="P117" s="84"/>
      <c r="Q117" s="699"/>
      <c r="R117" s="699"/>
    </row>
  </sheetData>
  <mergeCells count="17">
    <mergeCell ref="E106:J106"/>
    <mergeCell ref="K106:O106"/>
    <mergeCell ref="Q108:R108"/>
    <mergeCell ref="Q37:R37"/>
    <mergeCell ref="E64:H64"/>
    <mergeCell ref="J64:M64"/>
    <mergeCell ref="Q66:R66"/>
    <mergeCell ref="D94:S94"/>
    <mergeCell ref="D95:S95"/>
    <mergeCell ref="D96:S96"/>
    <mergeCell ref="D97:S97"/>
    <mergeCell ref="D98:S98"/>
    <mergeCell ref="D2:S2"/>
    <mergeCell ref="D3:S3"/>
    <mergeCell ref="D4:S4"/>
    <mergeCell ref="E35:J35"/>
    <mergeCell ref="K35:O35"/>
  </mergeCells>
  <pageMargins left="0.74803149606299213" right="0.74803149606299213" top="0.98425196850393704" bottom="0.98425196850393704" header="0.51181102362204722" footer="0.51181102362204722"/>
  <pageSetup paperSize="9" scale="2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E42"/>
  <sheetViews>
    <sheetView showGridLines="0" view="pageBreakPreview" zoomScaleNormal="100" zoomScaleSheetLayoutView="100" workbookViewId="0">
      <selection activeCell="G10" sqref="G10:G20"/>
    </sheetView>
  </sheetViews>
  <sheetFormatPr defaultColWidth="9.140625" defaultRowHeight="15" x14ac:dyDescent="0.25"/>
  <cols>
    <col min="1" max="1" width="3.7109375" style="686" customWidth="1"/>
    <col min="2" max="2" width="13.7109375" style="726" customWidth="1"/>
    <col min="3" max="3" width="3.7109375" style="726" customWidth="1"/>
    <col min="4" max="4" width="18.5703125" style="84" customWidth="1"/>
    <col min="5" max="6" width="11.5703125" style="84" customWidth="1"/>
    <col min="7" max="12" width="11.5703125" style="725" customWidth="1"/>
    <col min="13" max="19" width="10.28515625" style="725" customWidth="1"/>
    <col min="20" max="20" width="10.28515625" style="724" customWidth="1"/>
    <col min="21" max="21" width="11" style="724" customWidth="1"/>
    <col min="22" max="23" width="5.42578125" style="724" customWidth="1"/>
    <col min="24" max="24" width="5.42578125" style="723" customWidth="1"/>
    <col min="25" max="25" width="9.7109375" style="723" customWidth="1"/>
    <col min="26" max="26" width="10" style="723" customWidth="1"/>
    <col min="27" max="27" width="9.140625" style="723"/>
    <col min="28" max="28" width="10.85546875" style="723" customWidth="1"/>
    <col min="29" max="29" width="10.140625" style="723" customWidth="1"/>
    <col min="30" max="30" width="9.140625" style="723"/>
    <col min="31" max="31" width="10.28515625" style="723" customWidth="1"/>
    <col min="32" max="32" width="10.42578125" style="723" customWidth="1"/>
    <col min="33" max="256" width="9.140625" style="723"/>
    <col min="257" max="257" width="3.7109375" style="723" customWidth="1"/>
    <col min="258" max="258" width="13.7109375" style="723" customWidth="1"/>
    <col min="259" max="259" width="3.7109375" style="723" customWidth="1"/>
    <col min="260" max="260" width="11.7109375" style="723" customWidth="1"/>
    <col min="261" max="261" width="30.42578125" style="723" customWidth="1"/>
    <col min="262" max="262" width="21.140625" style="723" customWidth="1"/>
    <col min="263" max="265" width="10.28515625" style="723" customWidth="1"/>
    <col min="266" max="266" width="11.5703125" style="723" customWidth="1"/>
    <col min="267" max="276" width="10.28515625" style="723" customWidth="1"/>
    <col min="277" max="277" width="11" style="723" customWidth="1"/>
    <col min="278" max="279" width="10.28515625" style="723" customWidth="1"/>
    <col min="280" max="280" width="9" style="723" customWidth="1"/>
    <col min="281" max="281" width="9.7109375" style="723" customWidth="1"/>
    <col min="282" max="282" width="10" style="723" customWidth="1"/>
    <col min="283" max="283" width="9.140625" style="723"/>
    <col min="284" max="284" width="10.85546875" style="723" customWidth="1"/>
    <col min="285" max="285" width="10.140625" style="723" customWidth="1"/>
    <col min="286" max="286" width="9.140625" style="723"/>
    <col min="287" max="287" width="10.28515625" style="723" customWidth="1"/>
    <col min="288" max="288" width="10.42578125" style="723" customWidth="1"/>
    <col min="289" max="512" width="9.140625" style="723"/>
    <col min="513" max="513" width="3.7109375" style="723" customWidth="1"/>
    <col min="514" max="514" width="13.7109375" style="723" customWidth="1"/>
    <col min="515" max="515" width="3.7109375" style="723" customWidth="1"/>
    <col min="516" max="516" width="11.7109375" style="723" customWidth="1"/>
    <col min="517" max="517" width="30.42578125" style="723" customWidth="1"/>
    <col min="518" max="518" width="21.140625" style="723" customWidth="1"/>
    <col min="519" max="521" width="10.28515625" style="723" customWidth="1"/>
    <col min="522" max="522" width="11.5703125" style="723" customWidth="1"/>
    <col min="523" max="532" width="10.28515625" style="723" customWidth="1"/>
    <col min="533" max="533" width="11" style="723" customWidth="1"/>
    <col min="534" max="535" width="10.28515625" style="723" customWidth="1"/>
    <col min="536" max="536" width="9" style="723" customWidth="1"/>
    <col min="537" max="537" width="9.7109375" style="723" customWidth="1"/>
    <col min="538" max="538" width="10" style="723" customWidth="1"/>
    <col min="539" max="539" width="9.140625" style="723"/>
    <col min="540" max="540" width="10.85546875" style="723" customWidth="1"/>
    <col min="541" max="541" width="10.140625" style="723" customWidth="1"/>
    <col min="542" max="542" width="9.140625" style="723"/>
    <col min="543" max="543" width="10.28515625" style="723" customWidth="1"/>
    <col min="544" max="544" width="10.42578125" style="723" customWidth="1"/>
    <col min="545" max="768" width="9.140625" style="723"/>
    <col min="769" max="769" width="3.7109375" style="723" customWidth="1"/>
    <col min="770" max="770" width="13.7109375" style="723" customWidth="1"/>
    <col min="771" max="771" width="3.7109375" style="723" customWidth="1"/>
    <col min="772" max="772" width="11.7109375" style="723" customWidth="1"/>
    <col min="773" max="773" width="30.42578125" style="723" customWidth="1"/>
    <col min="774" max="774" width="21.140625" style="723" customWidth="1"/>
    <col min="775" max="777" width="10.28515625" style="723" customWidth="1"/>
    <col min="778" max="778" width="11.5703125" style="723" customWidth="1"/>
    <col min="779" max="788" width="10.28515625" style="723" customWidth="1"/>
    <col min="789" max="789" width="11" style="723" customWidth="1"/>
    <col min="790" max="791" width="10.28515625" style="723" customWidth="1"/>
    <col min="792" max="792" width="9" style="723" customWidth="1"/>
    <col min="793" max="793" width="9.7109375" style="723" customWidth="1"/>
    <col min="794" max="794" width="10" style="723" customWidth="1"/>
    <col min="795" max="795" width="9.140625" style="723"/>
    <col min="796" max="796" width="10.85546875" style="723" customWidth="1"/>
    <col min="797" max="797" width="10.140625" style="723" customWidth="1"/>
    <col min="798" max="798" width="9.140625" style="723"/>
    <col min="799" max="799" width="10.28515625" style="723" customWidth="1"/>
    <col min="800" max="800" width="10.42578125" style="723" customWidth="1"/>
    <col min="801" max="1024" width="9.140625" style="723"/>
    <col min="1025" max="1025" width="3.7109375" style="723" customWidth="1"/>
    <col min="1026" max="1026" width="13.7109375" style="723" customWidth="1"/>
    <col min="1027" max="1027" width="3.7109375" style="723" customWidth="1"/>
    <col min="1028" max="1028" width="11.7109375" style="723" customWidth="1"/>
    <col min="1029" max="1029" width="30.42578125" style="723" customWidth="1"/>
    <col min="1030" max="1030" width="21.140625" style="723" customWidth="1"/>
    <col min="1031" max="1033" width="10.28515625" style="723" customWidth="1"/>
    <col min="1034" max="1034" width="11.5703125" style="723" customWidth="1"/>
    <col min="1035" max="1044" width="10.28515625" style="723" customWidth="1"/>
    <col min="1045" max="1045" width="11" style="723" customWidth="1"/>
    <col min="1046" max="1047" width="10.28515625" style="723" customWidth="1"/>
    <col min="1048" max="1048" width="9" style="723" customWidth="1"/>
    <col min="1049" max="1049" width="9.7109375" style="723" customWidth="1"/>
    <col min="1050" max="1050" width="10" style="723" customWidth="1"/>
    <col min="1051" max="1051" width="9.140625" style="723"/>
    <col min="1052" max="1052" width="10.85546875" style="723" customWidth="1"/>
    <col min="1053" max="1053" width="10.140625" style="723" customWidth="1"/>
    <col min="1054" max="1054" width="9.140625" style="723"/>
    <col min="1055" max="1055" width="10.28515625" style="723" customWidth="1"/>
    <col min="1056" max="1056" width="10.42578125" style="723" customWidth="1"/>
    <col min="1057" max="1280" width="9.140625" style="723"/>
    <col min="1281" max="1281" width="3.7109375" style="723" customWidth="1"/>
    <col min="1282" max="1282" width="13.7109375" style="723" customWidth="1"/>
    <col min="1283" max="1283" width="3.7109375" style="723" customWidth="1"/>
    <col min="1284" max="1284" width="11.7109375" style="723" customWidth="1"/>
    <col min="1285" max="1285" width="30.42578125" style="723" customWidth="1"/>
    <col min="1286" max="1286" width="21.140625" style="723" customWidth="1"/>
    <col min="1287" max="1289" width="10.28515625" style="723" customWidth="1"/>
    <col min="1290" max="1290" width="11.5703125" style="723" customWidth="1"/>
    <col min="1291" max="1300" width="10.28515625" style="723" customWidth="1"/>
    <col min="1301" max="1301" width="11" style="723" customWidth="1"/>
    <col min="1302" max="1303" width="10.28515625" style="723" customWidth="1"/>
    <col min="1304" max="1304" width="9" style="723" customWidth="1"/>
    <col min="1305" max="1305" width="9.7109375" style="723" customWidth="1"/>
    <col min="1306" max="1306" width="10" style="723" customWidth="1"/>
    <col min="1307" max="1307" width="9.140625" style="723"/>
    <col min="1308" max="1308" width="10.85546875" style="723" customWidth="1"/>
    <col min="1309" max="1309" width="10.140625" style="723" customWidth="1"/>
    <col min="1310" max="1310" width="9.140625" style="723"/>
    <col min="1311" max="1311" width="10.28515625" style="723" customWidth="1"/>
    <col min="1312" max="1312" width="10.42578125" style="723" customWidth="1"/>
    <col min="1313" max="1536" width="9.140625" style="723"/>
    <col min="1537" max="1537" width="3.7109375" style="723" customWidth="1"/>
    <col min="1538" max="1538" width="13.7109375" style="723" customWidth="1"/>
    <col min="1539" max="1539" width="3.7109375" style="723" customWidth="1"/>
    <col min="1540" max="1540" width="11.7109375" style="723" customWidth="1"/>
    <col min="1541" max="1541" width="30.42578125" style="723" customWidth="1"/>
    <col min="1542" max="1542" width="21.140625" style="723" customWidth="1"/>
    <col min="1543" max="1545" width="10.28515625" style="723" customWidth="1"/>
    <col min="1546" max="1546" width="11.5703125" style="723" customWidth="1"/>
    <col min="1547" max="1556" width="10.28515625" style="723" customWidth="1"/>
    <col min="1557" max="1557" width="11" style="723" customWidth="1"/>
    <col min="1558" max="1559" width="10.28515625" style="723" customWidth="1"/>
    <col min="1560" max="1560" width="9" style="723" customWidth="1"/>
    <col min="1561" max="1561" width="9.7109375" style="723" customWidth="1"/>
    <col min="1562" max="1562" width="10" style="723" customWidth="1"/>
    <col min="1563" max="1563" width="9.140625" style="723"/>
    <col min="1564" max="1564" width="10.85546875" style="723" customWidth="1"/>
    <col min="1565" max="1565" width="10.140625" style="723" customWidth="1"/>
    <col min="1566" max="1566" width="9.140625" style="723"/>
    <col min="1567" max="1567" width="10.28515625" style="723" customWidth="1"/>
    <col min="1568" max="1568" width="10.42578125" style="723" customWidth="1"/>
    <col min="1569" max="1792" width="9.140625" style="723"/>
    <col min="1793" max="1793" width="3.7109375" style="723" customWidth="1"/>
    <col min="1794" max="1794" width="13.7109375" style="723" customWidth="1"/>
    <col min="1795" max="1795" width="3.7109375" style="723" customWidth="1"/>
    <col min="1796" max="1796" width="11.7109375" style="723" customWidth="1"/>
    <col min="1797" max="1797" width="30.42578125" style="723" customWidth="1"/>
    <col min="1798" max="1798" width="21.140625" style="723" customWidth="1"/>
    <col min="1799" max="1801" width="10.28515625" style="723" customWidth="1"/>
    <col min="1802" max="1802" width="11.5703125" style="723" customWidth="1"/>
    <col min="1803" max="1812" width="10.28515625" style="723" customWidth="1"/>
    <col min="1813" max="1813" width="11" style="723" customWidth="1"/>
    <col min="1814" max="1815" width="10.28515625" style="723" customWidth="1"/>
    <col min="1816" max="1816" width="9" style="723" customWidth="1"/>
    <col min="1817" max="1817" width="9.7109375" style="723" customWidth="1"/>
    <col min="1818" max="1818" width="10" style="723" customWidth="1"/>
    <col min="1819" max="1819" width="9.140625" style="723"/>
    <col min="1820" max="1820" width="10.85546875" style="723" customWidth="1"/>
    <col min="1821" max="1821" width="10.140625" style="723" customWidth="1"/>
    <col min="1822" max="1822" width="9.140625" style="723"/>
    <col min="1823" max="1823" width="10.28515625" style="723" customWidth="1"/>
    <col min="1824" max="1824" width="10.42578125" style="723" customWidth="1"/>
    <col min="1825" max="2048" width="9.140625" style="723"/>
    <col min="2049" max="2049" width="3.7109375" style="723" customWidth="1"/>
    <col min="2050" max="2050" width="13.7109375" style="723" customWidth="1"/>
    <col min="2051" max="2051" width="3.7109375" style="723" customWidth="1"/>
    <col min="2052" max="2052" width="11.7109375" style="723" customWidth="1"/>
    <col min="2053" max="2053" width="30.42578125" style="723" customWidth="1"/>
    <col min="2054" max="2054" width="21.140625" style="723" customWidth="1"/>
    <col min="2055" max="2057" width="10.28515625" style="723" customWidth="1"/>
    <col min="2058" max="2058" width="11.5703125" style="723" customWidth="1"/>
    <col min="2059" max="2068" width="10.28515625" style="723" customWidth="1"/>
    <col min="2069" max="2069" width="11" style="723" customWidth="1"/>
    <col min="2070" max="2071" width="10.28515625" style="723" customWidth="1"/>
    <col min="2072" max="2072" width="9" style="723" customWidth="1"/>
    <col min="2073" max="2073" width="9.7109375" style="723" customWidth="1"/>
    <col min="2074" max="2074" width="10" style="723" customWidth="1"/>
    <col min="2075" max="2075" width="9.140625" style="723"/>
    <col min="2076" max="2076" width="10.85546875" style="723" customWidth="1"/>
    <col min="2077" max="2077" width="10.140625" style="723" customWidth="1"/>
    <col min="2078" max="2078" width="9.140625" style="723"/>
    <col min="2079" max="2079" width="10.28515625" style="723" customWidth="1"/>
    <col min="2080" max="2080" width="10.42578125" style="723" customWidth="1"/>
    <col min="2081" max="2304" width="9.140625" style="723"/>
    <col min="2305" max="2305" width="3.7109375" style="723" customWidth="1"/>
    <col min="2306" max="2306" width="13.7109375" style="723" customWidth="1"/>
    <col min="2307" max="2307" width="3.7109375" style="723" customWidth="1"/>
    <col min="2308" max="2308" width="11.7109375" style="723" customWidth="1"/>
    <col min="2309" max="2309" width="30.42578125" style="723" customWidth="1"/>
    <col min="2310" max="2310" width="21.140625" style="723" customWidth="1"/>
    <col min="2311" max="2313" width="10.28515625" style="723" customWidth="1"/>
    <col min="2314" max="2314" width="11.5703125" style="723" customWidth="1"/>
    <col min="2315" max="2324" width="10.28515625" style="723" customWidth="1"/>
    <col min="2325" max="2325" width="11" style="723" customWidth="1"/>
    <col min="2326" max="2327" width="10.28515625" style="723" customWidth="1"/>
    <col min="2328" max="2328" width="9" style="723" customWidth="1"/>
    <col min="2329" max="2329" width="9.7109375" style="723" customWidth="1"/>
    <col min="2330" max="2330" width="10" style="723" customWidth="1"/>
    <col min="2331" max="2331" width="9.140625" style="723"/>
    <col min="2332" max="2332" width="10.85546875" style="723" customWidth="1"/>
    <col min="2333" max="2333" width="10.140625" style="723" customWidth="1"/>
    <col min="2334" max="2334" width="9.140625" style="723"/>
    <col min="2335" max="2335" width="10.28515625" style="723" customWidth="1"/>
    <col min="2336" max="2336" width="10.42578125" style="723" customWidth="1"/>
    <col min="2337" max="2560" width="9.140625" style="723"/>
    <col min="2561" max="2561" width="3.7109375" style="723" customWidth="1"/>
    <col min="2562" max="2562" width="13.7109375" style="723" customWidth="1"/>
    <col min="2563" max="2563" width="3.7109375" style="723" customWidth="1"/>
    <col min="2564" max="2564" width="11.7109375" style="723" customWidth="1"/>
    <col min="2565" max="2565" width="30.42578125" style="723" customWidth="1"/>
    <col min="2566" max="2566" width="21.140625" style="723" customWidth="1"/>
    <col min="2567" max="2569" width="10.28515625" style="723" customWidth="1"/>
    <col min="2570" max="2570" width="11.5703125" style="723" customWidth="1"/>
    <col min="2571" max="2580" width="10.28515625" style="723" customWidth="1"/>
    <col min="2581" max="2581" width="11" style="723" customWidth="1"/>
    <col min="2582" max="2583" width="10.28515625" style="723" customWidth="1"/>
    <col min="2584" max="2584" width="9" style="723" customWidth="1"/>
    <col min="2585" max="2585" width="9.7109375" style="723" customWidth="1"/>
    <col min="2586" max="2586" width="10" style="723" customWidth="1"/>
    <col min="2587" max="2587" width="9.140625" style="723"/>
    <col min="2588" max="2588" width="10.85546875" style="723" customWidth="1"/>
    <col min="2589" max="2589" width="10.140625" style="723" customWidth="1"/>
    <col min="2590" max="2590" width="9.140625" style="723"/>
    <col min="2591" max="2591" width="10.28515625" style="723" customWidth="1"/>
    <col min="2592" max="2592" width="10.42578125" style="723" customWidth="1"/>
    <col min="2593" max="2816" width="9.140625" style="723"/>
    <col min="2817" max="2817" width="3.7109375" style="723" customWidth="1"/>
    <col min="2818" max="2818" width="13.7109375" style="723" customWidth="1"/>
    <col min="2819" max="2819" width="3.7109375" style="723" customWidth="1"/>
    <col min="2820" max="2820" width="11.7109375" style="723" customWidth="1"/>
    <col min="2821" max="2821" width="30.42578125" style="723" customWidth="1"/>
    <col min="2822" max="2822" width="21.140625" style="723" customWidth="1"/>
    <col min="2823" max="2825" width="10.28515625" style="723" customWidth="1"/>
    <col min="2826" max="2826" width="11.5703125" style="723" customWidth="1"/>
    <col min="2827" max="2836" width="10.28515625" style="723" customWidth="1"/>
    <col min="2837" max="2837" width="11" style="723" customWidth="1"/>
    <col min="2838" max="2839" width="10.28515625" style="723" customWidth="1"/>
    <col min="2840" max="2840" width="9" style="723" customWidth="1"/>
    <col min="2841" max="2841" width="9.7109375" style="723" customWidth="1"/>
    <col min="2842" max="2842" width="10" style="723" customWidth="1"/>
    <col min="2843" max="2843" width="9.140625" style="723"/>
    <col min="2844" max="2844" width="10.85546875" style="723" customWidth="1"/>
    <col min="2845" max="2845" width="10.140625" style="723" customWidth="1"/>
    <col min="2846" max="2846" width="9.140625" style="723"/>
    <col min="2847" max="2847" width="10.28515625" style="723" customWidth="1"/>
    <col min="2848" max="2848" width="10.42578125" style="723" customWidth="1"/>
    <col min="2849" max="3072" width="9.140625" style="723"/>
    <col min="3073" max="3073" width="3.7109375" style="723" customWidth="1"/>
    <col min="3074" max="3074" width="13.7109375" style="723" customWidth="1"/>
    <col min="3075" max="3075" width="3.7109375" style="723" customWidth="1"/>
    <col min="3076" max="3076" width="11.7109375" style="723" customWidth="1"/>
    <col min="3077" max="3077" width="30.42578125" style="723" customWidth="1"/>
    <col min="3078" max="3078" width="21.140625" style="723" customWidth="1"/>
    <col min="3079" max="3081" width="10.28515625" style="723" customWidth="1"/>
    <col min="3082" max="3082" width="11.5703125" style="723" customWidth="1"/>
    <col min="3083" max="3092" width="10.28515625" style="723" customWidth="1"/>
    <col min="3093" max="3093" width="11" style="723" customWidth="1"/>
    <col min="3094" max="3095" width="10.28515625" style="723" customWidth="1"/>
    <col min="3096" max="3096" width="9" style="723" customWidth="1"/>
    <col min="3097" max="3097" width="9.7109375" style="723" customWidth="1"/>
    <col min="3098" max="3098" width="10" style="723" customWidth="1"/>
    <col min="3099" max="3099" width="9.140625" style="723"/>
    <col min="3100" max="3100" width="10.85546875" style="723" customWidth="1"/>
    <col min="3101" max="3101" width="10.140625" style="723" customWidth="1"/>
    <col min="3102" max="3102" width="9.140625" style="723"/>
    <col min="3103" max="3103" width="10.28515625" style="723" customWidth="1"/>
    <col min="3104" max="3104" width="10.42578125" style="723" customWidth="1"/>
    <col min="3105" max="3328" width="9.140625" style="723"/>
    <col min="3329" max="3329" width="3.7109375" style="723" customWidth="1"/>
    <col min="3330" max="3330" width="13.7109375" style="723" customWidth="1"/>
    <col min="3331" max="3331" width="3.7109375" style="723" customWidth="1"/>
    <col min="3332" max="3332" width="11.7109375" style="723" customWidth="1"/>
    <col min="3333" max="3333" width="30.42578125" style="723" customWidth="1"/>
    <col min="3334" max="3334" width="21.140625" style="723" customWidth="1"/>
    <col min="3335" max="3337" width="10.28515625" style="723" customWidth="1"/>
    <col min="3338" max="3338" width="11.5703125" style="723" customWidth="1"/>
    <col min="3339" max="3348" width="10.28515625" style="723" customWidth="1"/>
    <col min="3349" max="3349" width="11" style="723" customWidth="1"/>
    <col min="3350" max="3351" width="10.28515625" style="723" customWidth="1"/>
    <col min="3352" max="3352" width="9" style="723" customWidth="1"/>
    <col min="3353" max="3353" width="9.7109375" style="723" customWidth="1"/>
    <col min="3354" max="3354" width="10" style="723" customWidth="1"/>
    <col min="3355" max="3355" width="9.140625" style="723"/>
    <col min="3356" max="3356" width="10.85546875" style="723" customWidth="1"/>
    <col min="3357" max="3357" width="10.140625" style="723" customWidth="1"/>
    <col min="3358" max="3358" width="9.140625" style="723"/>
    <col min="3359" max="3359" width="10.28515625" style="723" customWidth="1"/>
    <col min="3360" max="3360" width="10.42578125" style="723" customWidth="1"/>
    <col min="3361" max="3584" width="9.140625" style="723"/>
    <col min="3585" max="3585" width="3.7109375" style="723" customWidth="1"/>
    <col min="3586" max="3586" width="13.7109375" style="723" customWidth="1"/>
    <col min="3587" max="3587" width="3.7109375" style="723" customWidth="1"/>
    <col min="3588" max="3588" width="11.7109375" style="723" customWidth="1"/>
    <col min="3589" max="3589" width="30.42578125" style="723" customWidth="1"/>
    <col min="3590" max="3590" width="21.140625" style="723" customWidth="1"/>
    <col min="3591" max="3593" width="10.28515625" style="723" customWidth="1"/>
    <col min="3594" max="3594" width="11.5703125" style="723" customWidth="1"/>
    <col min="3595" max="3604" width="10.28515625" style="723" customWidth="1"/>
    <col min="3605" max="3605" width="11" style="723" customWidth="1"/>
    <col min="3606" max="3607" width="10.28515625" style="723" customWidth="1"/>
    <col min="3608" max="3608" width="9" style="723" customWidth="1"/>
    <col min="3609" max="3609" width="9.7109375" style="723" customWidth="1"/>
    <col min="3610" max="3610" width="10" style="723" customWidth="1"/>
    <col min="3611" max="3611" width="9.140625" style="723"/>
    <col min="3612" max="3612" width="10.85546875" style="723" customWidth="1"/>
    <col min="3613" max="3613" width="10.140625" style="723" customWidth="1"/>
    <col min="3614" max="3614" width="9.140625" style="723"/>
    <col min="3615" max="3615" width="10.28515625" style="723" customWidth="1"/>
    <col min="3616" max="3616" width="10.42578125" style="723" customWidth="1"/>
    <col min="3617" max="3840" width="9.140625" style="723"/>
    <col min="3841" max="3841" width="3.7109375" style="723" customWidth="1"/>
    <col min="3842" max="3842" width="13.7109375" style="723" customWidth="1"/>
    <col min="3843" max="3843" width="3.7109375" style="723" customWidth="1"/>
    <col min="3844" max="3844" width="11.7109375" style="723" customWidth="1"/>
    <col min="3845" max="3845" width="30.42578125" style="723" customWidth="1"/>
    <col min="3846" max="3846" width="21.140625" style="723" customWidth="1"/>
    <col min="3847" max="3849" width="10.28515625" style="723" customWidth="1"/>
    <col min="3850" max="3850" width="11.5703125" style="723" customWidth="1"/>
    <col min="3851" max="3860" width="10.28515625" style="723" customWidth="1"/>
    <col min="3861" max="3861" width="11" style="723" customWidth="1"/>
    <col min="3862" max="3863" width="10.28515625" style="723" customWidth="1"/>
    <col min="3864" max="3864" width="9" style="723" customWidth="1"/>
    <col min="3865" max="3865" width="9.7109375" style="723" customWidth="1"/>
    <col min="3866" max="3866" width="10" style="723" customWidth="1"/>
    <col min="3867" max="3867" width="9.140625" style="723"/>
    <col min="3868" max="3868" width="10.85546875" style="723" customWidth="1"/>
    <col min="3869" max="3869" width="10.140625" style="723" customWidth="1"/>
    <col min="3870" max="3870" width="9.140625" style="723"/>
    <col min="3871" max="3871" width="10.28515625" style="723" customWidth="1"/>
    <col min="3872" max="3872" width="10.42578125" style="723" customWidth="1"/>
    <col min="3873" max="4096" width="9.140625" style="723"/>
    <col min="4097" max="4097" width="3.7109375" style="723" customWidth="1"/>
    <col min="4098" max="4098" width="13.7109375" style="723" customWidth="1"/>
    <col min="4099" max="4099" width="3.7109375" style="723" customWidth="1"/>
    <col min="4100" max="4100" width="11.7109375" style="723" customWidth="1"/>
    <col min="4101" max="4101" width="30.42578125" style="723" customWidth="1"/>
    <col min="4102" max="4102" width="21.140625" style="723" customWidth="1"/>
    <col min="4103" max="4105" width="10.28515625" style="723" customWidth="1"/>
    <col min="4106" max="4106" width="11.5703125" style="723" customWidth="1"/>
    <col min="4107" max="4116" width="10.28515625" style="723" customWidth="1"/>
    <col min="4117" max="4117" width="11" style="723" customWidth="1"/>
    <col min="4118" max="4119" width="10.28515625" style="723" customWidth="1"/>
    <col min="4120" max="4120" width="9" style="723" customWidth="1"/>
    <col min="4121" max="4121" width="9.7109375" style="723" customWidth="1"/>
    <col min="4122" max="4122" width="10" style="723" customWidth="1"/>
    <col min="4123" max="4123" width="9.140625" style="723"/>
    <col min="4124" max="4124" width="10.85546875" style="723" customWidth="1"/>
    <col min="4125" max="4125" width="10.140625" style="723" customWidth="1"/>
    <col min="4126" max="4126" width="9.140625" style="723"/>
    <col min="4127" max="4127" width="10.28515625" style="723" customWidth="1"/>
    <col min="4128" max="4128" width="10.42578125" style="723" customWidth="1"/>
    <col min="4129" max="4352" width="9.140625" style="723"/>
    <col min="4353" max="4353" width="3.7109375" style="723" customWidth="1"/>
    <col min="4354" max="4354" width="13.7109375" style="723" customWidth="1"/>
    <col min="4355" max="4355" width="3.7109375" style="723" customWidth="1"/>
    <col min="4356" max="4356" width="11.7109375" style="723" customWidth="1"/>
    <col min="4357" max="4357" width="30.42578125" style="723" customWidth="1"/>
    <col min="4358" max="4358" width="21.140625" style="723" customWidth="1"/>
    <col min="4359" max="4361" width="10.28515625" style="723" customWidth="1"/>
    <col min="4362" max="4362" width="11.5703125" style="723" customWidth="1"/>
    <col min="4363" max="4372" width="10.28515625" style="723" customWidth="1"/>
    <col min="4373" max="4373" width="11" style="723" customWidth="1"/>
    <col min="4374" max="4375" width="10.28515625" style="723" customWidth="1"/>
    <col min="4376" max="4376" width="9" style="723" customWidth="1"/>
    <col min="4377" max="4377" width="9.7109375" style="723" customWidth="1"/>
    <col min="4378" max="4378" width="10" style="723" customWidth="1"/>
    <col min="4379" max="4379" width="9.140625" style="723"/>
    <col min="4380" max="4380" width="10.85546875" style="723" customWidth="1"/>
    <col min="4381" max="4381" width="10.140625" style="723" customWidth="1"/>
    <col min="4382" max="4382" width="9.140625" style="723"/>
    <col min="4383" max="4383" width="10.28515625" style="723" customWidth="1"/>
    <col min="4384" max="4384" width="10.42578125" style="723" customWidth="1"/>
    <col min="4385" max="4608" width="9.140625" style="723"/>
    <col min="4609" max="4609" width="3.7109375" style="723" customWidth="1"/>
    <col min="4610" max="4610" width="13.7109375" style="723" customWidth="1"/>
    <col min="4611" max="4611" width="3.7109375" style="723" customWidth="1"/>
    <col min="4612" max="4612" width="11.7109375" style="723" customWidth="1"/>
    <col min="4613" max="4613" width="30.42578125" style="723" customWidth="1"/>
    <col min="4614" max="4614" width="21.140625" style="723" customWidth="1"/>
    <col min="4615" max="4617" width="10.28515625" style="723" customWidth="1"/>
    <col min="4618" max="4618" width="11.5703125" style="723" customWidth="1"/>
    <col min="4619" max="4628" width="10.28515625" style="723" customWidth="1"/>
    <col min="4629" max="4629" width="11" style="723" customWidth="1"/>
    <col min="4630" max="4631" width="10.28515625" style="723" customWidth="1"/>
    <col min="4632" max="4632" width="9" style="723" customWidth="1"/>
    <col min="4633" max="4633" width="9.7109375" style="723" customWidth="1"/>
    <col min="4634" max="4634" width="10" style="723" customWidth="1"/>
    <col min="4635" max="4635" width="9.140625" style="723"/>
    <col min="4636" max="4636" width="10.85546875" style="723" customWidth="1"/>
    <col min="4637" max="4637" width="10.140625" style="723" customWidth="1"/>
    <col min="4638" max="4638" width="9.140625" style="723"/>
    <col min="4639" max="4639" width="10.28515625" style="723" customWidth="1"/>
    <col min="4640" max="4640" width="10.42578125" style="723" customWidth="1"/>
    <col min="4641" max="4864" width="9.140625" style="723"/>
    <col min="4865" max="4865" width="3.7109375" style="723" customWidth="1"/>
    <col min="4866" max="4866" width="13.7109375" style="723" customWidth="1"/>
    <col min="4867" max="4867" width="3.7109375" style="723" customWidth="1"/>
    <col min="4868" max="4868" width="11.7109375" style="723" customWidth="1"/>
    <col min="4869" max="4869" width="30.42578125" style="723" customWidth="1"/>
    <col min="4870" max="4870" width="21.140625" style="723" customWidth="1"/>
    <col min="4871" max="4873" width="10.28515625" style="723" customWidth="1"/>
    <col min="4874" max="4874" width="11.5703125" style="723" customWidth="1"/>
    <col min="4875" max="4884" width="10.28515625" style="723" customWidth="1"/>
    <col min="4885" max="4885" width="11" style="723" customWidth="1"/>
    <col min="4886" max="4887" width="10.28515625" style="723" customWidth="1"/>
    <col min="4888" max="4888" width="9" style="723" customWidth="1"/>
    <col min="4889" max="4889" width="9.7109375" style="723" customWidth="1"/>
    <col min="4890" max="4890" width="10" style="723" customWidth="1"/>
    <col min="4891" max="4891" width="9.140625" style="723"/>
    <col min="4892" max="4892" width="10.85546875" style="723" customWidth="1"/>
    <col min="4893" max="4893" width="10.140625" style="723" customWidth="1"/>
    <col min="4894" max="4894" width="9.140625" style="723"/>
    <col min="4895" max="4895" width="10.28515625" style="723" customWidth="1"/>
    <col min="4896" max="4896" width="10.42578125" style="723" customWidth="1"/>
    <col min="4897" max="5120" width="9.140625" style="723"/>
    <col min="5121" max="5121" width="3.7109375" style="723" customWidth="1"/>
    <col min="5122" max="5122" width="13.7109375" style="723" customWidth="1"/>
    <col min="5123" max="5123" width="3.7109375" style="723" customWidth="1"/>
    <col min="5124" max="5124" width="11.7109375" style="723" customWidth="1"/>
    <col min="5125" max="5125" width="30.42578125" style="723" customWidth="1"/>
    <col min="5126" max="5126" width="21.140625" style="723" customWidth="1"/>
    <col min="5127" max="5129" width="10.28515625" style="723" customWidth="1"/>
    <col min="5130" max="5130" width="11.5703125" style="723" customWidth="1"/>
    <col min="5131" max="5140" width="10.28515625" style="723" customWidth="1"/>
    <col min="5141" max="5141" width="11" style="723" customWidth="1"/>
    <col min="5142" max="5143" width="10.28515625" style="723" customWidth="1"/>
    <col min="5144" max="5144" width="9" style="723" customWidth="1"/>
    <col min="5145" max="5145" width="9.7109375" style="723" customWidth="1"/>
    <col min="5146" max="5146" width="10" style="723" customWidth="1"/>
    <col min="5147" max="5147" width="9.140625" style="723"/>
    <col min="5148" max="5148" width="10.85546875" style="723" customWidth="1"/>
    <col min="5149" max="5149" width="10.140625" style="723" customWidth="1"/>
    <col min="5150" max="5150" width="9.140625" style="723"/>
    <col min="5151" max="5151" width="10.28515625" style="723" customWidth="1"/>
    <col min="5152" max="5152" width="10.42578125" style="723" customWidth="1"/>
    <col min="5153" max="5376" width="9.140625" style="723"/>
    <col min="5377" max="5377" width="3.7109375" style="723" customWidth="1"/>
    <col min="5378" max="5378" width="13.7109375" style="723" customWidth="1"/>
    <col min="5379" max="5379" width="3.7109375" style="723" customWidth="1"/>
    <col min="5380" max="5380" width="11.7109375" style="723" customWidth="1"/>
    <col min="5381" max="5381" width="30.42578125" style="723" customWidth="1"/>
    <col min="5382" max="5382" width="21.140625" style="723" customWidth="1"/>
    <col min="5383" max="5385" width="10.28515625" style="723" customWidth="1"/>
    <col min="5386" max="5386" width="11.5703125" style="723" customWidth="1"/>
    <col min="5387" max="5396" width="10.28515625" style="723" customWidth="1"/>
    <col min="5397" max="5397" width="11" style="723" customWidth="1"/>
    <col min="5398" max="5399" width="10.28515625" style="723" customWidth="1"/>
    <col min="5400" max="5400" width="9" style="723" customWidth="1"/>
    <col min="5401" max="5401" width="9.7109375" style="723" customWidth="1"/>
    <col min="5402" max="5402" width="10" style="723" customWidth="1"/>
    <col min="5403" max="5403" width="9.140625" style="723"/>
    <col min="5404" max="5404" width="10.85546875" style="723" customWidth="1"/>
    <col min="5405" max="5405" width="10.140625" style="723" customWidth="1"/>
    <col min="5406" max="5406" width="9.140625" style="723"/>
    <col min="5407" max="5407" width="10.28515625" style="723" customWidth="1"/>
    <col min="5408" max="5408" width="10.42578125" style="723" customWidth="1"/>
    <col min="5409" max="5632" width="9.140625" style="723"/>
    <col min="5633" max="5633" width="3.7109375" style="723" customWidth="1"/>
    <col min="5634" max="5634" width="13.7109375" style="723" customWidth="1"/>
    <col min="5635" max="5635" width="3.7109375" style="723" customWidth="1"/>
    <col min="5636" max="5636" width="11.7109375" style="723" customWidth="1"/>
    <col min="5637" max="5637" width="30.42578125" style="723" customWidth="1"/>
    <col min="5638" max="5638" width="21.140625" style="723" customWidth="1"/>
    <col min="5639" max="5641" width="10.28515625" style="723" customWidth="1"/>
    <col min="5642" max="5642" width="11.5703125" style="723" customWidth="1"/>
    <col min="5643" max="5652" width="10.28515625" style="723" customWidth="1"/>
    <col min="5653" max="5653" width="11" style="723" customWidth="1"/>
    <col min="5654" max="5655" width="10.28515625" style="723" customWidth="1"/>
    <col min="5656" max="5656" width="9" style="723" customWidth="1"/>
    <col min="5657" max="5657" width="9.7109375" style="723" customWidth="1"/>
    <col min="5658" max="5658" width="10" style="723" customWidth="1"/>
    <col min="5659" max="5659" width="9.140625" style="723"/>
    <col min="5660" max="5660" width="10.85546875" style="723" customWidth="1"/>
    <col min="5661" max="5661" width="10.140625" style="723" customWidth="1"/>
    <col min="5662" max="5662" width="9.140625" style="723"/>
    <col min="5663" max="5663" width="10.28515625" style="723" customWidth="1"/>
    <col min="5664" max="5664" width="10.42578125" style="723" customWidth="1"/>
    <col min="5665" max="5888" width="9.140625" style="723"/>
    <col min="5889" max="5889" width="3.7109375" style="723" customWidth="1"/>
    <col min="5890" max="5890" width="13.7109375" style="723" customWidth="1"/>
    <col min="5891" max="5891" width="3.7109375" style="723" customWidth="1"/>
    <col min="5892" max="5892" width="11.7109375" style="723" customWidth="1"/>
    <col min="5893" max="5893" width="30.42578125" style="723" customWidth="1"/>
    <col min="5894" max="5894" width="21.140625" style="723" customWidth="1"/>
    <col min="5895" max="5897" width="10.28515625" style="723" customWidth="1"/>
    <col min="5898" max="5898" width="11.5703125" style="723" customWidth="1"/>
    <col min="5899" max="5908" width="10.28515625" style="723" customWidth="1"/>
    <col min="5909" max="5909" width="11" style="723" customWidth="1"/>
    <col min="5910" max="5911" width="10.28515625" style="723" customWidth="1"/>
    <col min="5912" max="5912" width="9" style="723" customWidth="1"/>
    <col min="5913" max="5913" width="9.7109375" style="723" customWidth="1"/>
    <col min="5914" max="5914" width="10" style="723" customWidth="1"/>
    <col min="5915" max="5915" width="9.140625" style="723"/>
    <col min="5916" max="5916" width="10.85546875" style="723" customWidth="1"/>
    <col min="5917" max="5917" width="10.140625" style="723" customWidth="1"/>
    <col min="5918" max="5918" width="9.140625" style="723"/>
    <col min="5919" max="5919" width="10.28515625" style="723" customWidth="1"/>
    <col min="5920" max="5920" width="10.42578125" style="723" customWidth="1"/>
    <col min="5921" max="6144" width="9.140625" style="723"/>
    <col min="6145" max="6145" width="3.7109375" style="723" customWidth="1"/>
    <col min="6146" max="6146" width="13.7109375" style="723" customWidth="1"/>
    <col min="6147" max="6147" width="3.7109375" style="723" customWidth="1"/>
    <col min="6148" max="6148" width="11.7109375" style="723" customWidth="1"/>
    <col min="6149" max="6149" width="30.42578125" style="723" customWidth="1"/>
    <col min="6150" max="6150" width="21.140625" style="723" customWidth="1"/>
    <col min="6151" max="6153" width="10.28515625" style="723" customWidth="1"/>
    <col min="6154" max="6154" width="11.5703125" style="723" customWidth="1"/>
    <col min="6155" max="6164" width="10.28515625" style="723" customWidth="1"/>
    <col min="6165" max="6165" width="11" style="723" customWidth="1"/>
    <col min="6166" max="6167" width="10.28515625" style="723" customWidth="1"/>
    <col min="6168" max="6168" width="9" style="723" customWidth="1"/>
    <col min="6169" max="6169" width="9.7109375" style="723" customWidth="1"/>
    <col min="6170" max="6170" width="10" style="723" customWidth="1"/>
    <col min="6171" max="6171" width="9.140625" style="723"/>
    <col min="6172" max="6172" width="10.85546875" style="723" customWidth="1"/>
    <col min="6173" max="6173" width="10.140625" style="723" customWidth="1"/>
    <col min="6174" max="6174" width="9.140625" style="723"/>
    <col min="6175" max="6175" width="10.28515625" style="723" customWidth="1"/>
    <col min="6176" max="6176" width="10.42578125" style="723" customWidth="1"/>
    <col min="6177" max="6400" width="9.140625" style="723"/>
    <col min="6401" max="6401" width="3.7109375" style="723" customWidth="1"/>
    <col min="6402" max="6402" width="13.7109375" style="723" customWidth="1"/>
    <col min="6403" max="6403" width="3.7109375" style="723" customWidth="1"/>
    <col min="6404" max="6404" width="11.7109375" style="723" customWidth="1"/>
    <col min="6405" max="6405" width="30.42578125" style="723" customWidth="1"/>
    <col min="6406" max="6406" width="21.140625" style="723" customWidth="1"/>
    <col min="6407" max="6409" width="10.28515625" style="723" customWidth="1"/>
    <col min="6410" max="6410" width="11.5703125" style="723" customWidth="1"/>
    <col min="6411" max="6420" width="10.28515625" style="723" customWidth="1"/>
    <col min="6421" max="6421" width="11" style="723" customWidth="1"/>
    <col min="6422" max="6423" width="10.28515625" style="723" customWidth="1"/>
    <col min="6424" max="6424" width="9" style="723" customWidth="1"/>
    <col min="6425" max="6425" width="9.7109375" style="723" customWidth="1"/>
    <col min="6426" max="6426" width="10" style="723" customWidth="1"/>
    <col min="6427" max="6427" width="9.140625" style="723"/>
    <col min="6428" max="6428" width="10.85546875" style="723" customWidth="1"/>
    <col min="6429" max="6429" width="10.140625" style="723" customWidth="1"/>
    <col min="6430" max="6430" width="9.140625" style="723"/>
    <col min="6431" max="6431" width="10.28515625" style="723" customWidth="1"/>
    <col min="6432" max="6432" width="10.42578125" style="723" customWidth="1"/>
    <col min="6433" max="6656" width="9.140625" style="723"/>
    <col min="6657" max="6657" width="3.7109375" style="723" customWidth="1"/>
    <col min="6658" max="6658" width="13.7109375" style="723" customWidth="1"/>
    <col min="6659" max="6659" width="3.7109375" style="723" customWidth="1"/>
    <col min="6660" max="6660" width="11.7109375" style="723" customWidth="1"/>
    <col min="6661" max="6661" width="30.42578125" style="723" customWidth="1"/>
    <col min="6662" max="6662" width="21.140625" style="723" customWidth="1"/>
    <col min="6663" max="6665" width="10.28515625" style="723" customWidth="1"/>
    <col min="6666" max="6666" width="11.5703125" style="723" customWidth="1"/>
    <col min="6667" max="6676" width="10.28515625" style="723" customWidth="1"/>
    <col min="6677" max="6677" width="11" style="723" customWidth="1"/>
    <col min="6678" max="6679" width="10.28515625" style="723" customWidth="1"/>
    <col min="6680" max="6680" width="9" style="723" customWidth="1"/>
    <col min="6681" max="6681" width="9.7109375" style="723" customWidth="1"/>
    <col min="6682" max="6682" width="10" style="723" customWidth="1"/>
    <col min="6683" max="6683" width="9.140625" style="723"/>
    <col min="6684" max="6684" width="10.85546875" style="723" customWidth="1"/>
    <col min="6685" max="6685" width="10.140625" style="723" customWidth="1"/>
    <col min="6686" max="6686" width="9.140625" style="723"/>
    <col min="6687" max="6687" width="10.28515625" style="723" customWidth="1"/>
    <col min="6688" max="6688" width="10.42578125" style="723" customWidth="1"/>
    <col min="6689" max="6912" width="9.140625" style="723"/>
    <col min="6913" max="6913" width="3.7109375" style="723" customWidth="1"/>
    <col min="6914" max="6914" width="13.7109375" style="723" customWidth="1"/>
    <col min="6915" max="6915" width="3.7109375" style="723" customWidth="1"/>
    <col min="6916" max="6916" width="11.7109375" style="723" customWidth="1"/>
    <col min="6917" max="6917" width="30.42578125" style="723" customWidth="1"/>
    <col min="6918" max="6918" width="21.140625" style="723" customWidth="1"/>
    <col min="6919" max="6921" width="10.28515625" style="723" customWidth="1"/>
    <col min="6922" max="6922" width="11.5703125" style="723" customWidth="1"/>
    <col min="6923" max="6932" width="10.28515625" style="723" customWidth="1"/>
    <col min="6933" max="6933" width="11" style="723" customWidth="1"/>
    <col min="6934" max="6935" width="10.28515625" style="723" customWidth="1"/>
    <col min="6936" max="6936" width="9" style="723" customWidth="1"/>
    <col min="6937" max="6937" width="9.7109375" style="723" customWidth="1"/>
    <col min="6938" max="6938" width="10" style="723" customWidth="1"/>
    <col min="6939" max="6939" width="9.140625" style="723"/>
    <col min="6940" max="6940" width="10.85546875" style="723" customWidth="1"/>
    <col min="6941" max="6941" width="10.140625" style="723" customWidth="1"/>
    <col min="6942" max="6942" width="9.140625" style="723"/>
    <col min="6943" max="6943" width="10.28515625" style="723" customWidth="1"/>
    <col min="6944" max="6944" width="10.42578125" style="723" customWidth="1"/>
    <col min="6945" max="7168" width="9.140625" style="723"/>
    <col min="7169" max="7169" width="3.7109375" style="723" customWidth="1"/>
    <col min="7170" max="7170" width="13.7109375" style="723" customWidth="1"/>
    <col min="7171" max="7171" width="3.7109375" style="723" customWidth="1"/>
    <col min="7172" max="7172" width="11.7109375" style="723" customWidth="1"/>
    <col min="7173" max="7173" width="30.42578125" style="723" customWidth="1"/>
    <col min="7174" max="7174" width="21.140625" style="723" customWidth="1"/>
    <col min="7175" max="7177" width="10.28515625" style="723" customWidth="1"/>
    <col min="7178" max="7178" width="11.5703125" style="723" customWidth="1"/>
    <col min="7179" max="7188" width="10.28515625" style="723" customWidth="1"/>
    <col min="7189" max="7189" width="11" style="723" customWidth="1"/>
    <col min="7190" max="7191" width="10.28515625" style="723" customWidth="1"/>
    <col min="7192" max="7192" width="9" style="723" customWidth="1"/>
    <col min="7193" max="7193" width="9.7109375" style="723" customWidth="1"/>
    <col min="7194" max="7194" width="10" style="723" customWidth="1"/>
    <col min="7195" max="7195" width="9.140625" style="723"/>
    <col min="7196" max="7196" width="10.85546875" style="723" customWidth="1"/>
    <col min="7197" max="7197" width="10.140625" style="723" customWidth="1"/>
    <col min="7198" max="7198" width="9.140625" style="723"/>
    <col min="7199" max="7199" width="10.28515625" style="723" customWidth="1"/>
    <col min="7200" max="7200" width="10.42578125" style="723" customWidth="1"/>
    <col min="7201" max="7424" width="9.140625" style="723"/>
    <col min="7425" max="7425" width="3.7109375" style="723" customWidth="1"/>
    <col min="7426" max="7426" width="13.7109375" style="723" customWidth="1"/>
    <col min="7427" max="7427" width="3.7109375" style="723" customWidth="1"/>
    <col min="7428" max="7428" width="11.7109375" style="723" customWidth="1"/>
    <col min="7429" max="7429" width="30.42578125" style="723" customWidth="1"/>
    <col min="7430" max="7430" width="21.140625" style="723" customWidth="1"/>
    <col min="7431" max="7433" width="10.28515625" style="723" customWidth="1"/>
    <col min="7434" max="7434" width="11.5703125" style="723" customWidth="1"/>
    <col min="7435" max="7444" width="10.28515625" style="723" customWidth="1"/>
    <col min="7445" max="7445" width="11" style="723" customWidth="1"/>
    <col min="7446" max="7447" width="10.28515625" style="723" customWidth="1"/>
    <col min="7448" max="7448" width="9" style="723" customWidth="1"/>
    <col min="7449" max="7449" width="9.7109375" style="723" customWidth="1"/>
    <col min="7450" max="7450" width="10" style="723" customWidth="1"/>
    <col min="7451" max="7451" width="9.140625" style="723"/>
    <col min="7452" max="7452" width="10.85546875" style="723" customWidth="1"/>
    <col min="7453" max="7453" width="10.140625" style="723" customWidth="1"/>
    <col min="7454" max="7454" width="9.140625" style="723"/>
    <col min="7455" max="7455" width="10.28515625" style="723" customWidth="1"/>
    <col min="7456" max="7456" width="10.42578125" style="723" customWidth="1"/>
    <col min="7457" max="7680" width="9.140625" style="723"/>
    <col min="7681" max="7681" width="3.7109375" style="723" customWidth="1"/>
    <col min="7682" max="7682" width="13.7109375" style="723" customWidth="1"/>
    <col min="7683" max="7683" width="3.7109375" style="723" customWidth="1"/>
    <col min="7684" max="7684" width="11.7109375" style="723" customWidth="1"/>
    <col min="7685" max="7685" width="30.42578125" style="723" customWidth="1"/>
    <col min="7686" max="7686" width="21.140625" style="723" customWidth="1"/>
    <col min="7687" max="7689" width="10.28515625" style="723" customWidth="1"/>
    <col min="7690" max="7690" width="11.5703125" style="723" customWidth="1"/>
    <col min="7691" max="7700" width="10.28515625" style="723" customWidth="1"/>
    <col min="7701" max="7701" width="11" style="723" customWidth="1"/>
    <col min="7702" max="7703" width="10.28515625" style="723" customWidth="1"/>
    <col min="7704" max="7704" width="9" style="723" customWidth="1"/>
    <col min="7705" max="7705" width="9.7109375" style="723" customWidth="1"/>
    <col min="7706" max="7706" width="10" style="723" customWidth="1"/>
    <col min="7707" max="7707" width="9.140625" style="723"/>
    <col min="7708" max="7708" width="10.85546875" style="723" customWidth="1"/>
    <col min="7709" max="7709" width="10.140625" style="723" customWidth="1"/>
    <col min="7710" max="7710" width="9.140625" style="723"/>
    <col min="7711" max="7711" width="10.28515625" style="723" customWidth="1"/>
    <col min="7712" max="7712" width="10.42578125" style="723" customWidth="1"/>
    <col min="7713" max="7936" width="9.140625" style="723"/>
    <col min="7937" max="7937" width="3.7109375" style="723" customWidth="1"/>
    <col min="7938" max="7938" width="13.7109375" style="723" customWidth="1"/>
    <col min="7939" max="7939" width="3.7109375" style="723" customWidth="1"/>
    <col min="7940" max="7940" width="11.7109375" style="723" customWidth="1"/>
    <col min="7941" max="7941" width="30.42578125" style="723" customWidth="1"/>
    <col min="7942" max="7942" width="21.140625" style="723" customWidth="1"/>
    <col min="7943" max="7945" width="10.28515625" style="723" customWidth="1"/>
    <col min="7946" max="7946" width="11.5703125" style="723" customWidth="1"/>
    <col min="7947" max="7956" width="10.28515625" style="723" customWidth="1"/>
    <col min="7957" max="7957" width="11" style="723" customWidth="1"/>
    <col min="7958" max="7959" width="10.28515625" style="723" customWidth="1"/>
    <col min="7960" max="7960" width="9" style="723" customWidth="1"/>
    <col min="7961" max="7961" width="9.7109375" style="723" customWidth="1"/>
    <col min="7962" max="7962" width="10" style="723" customWidth="1"/>
    <col min="7963" max="7963" width="9.140625" style="723"/>
    <col min="7964" max="7964" width="10.85546875" style="723" customWidth="1"/>
    <col min="7965" max="7965" width="10.140625" style="723" customWidth="1"/>
    <col min="7966" max="7966" width="9.140625" style="723"/>
    <col min="7967" max="7967" width="10.28515625" style="723" customWidth="1"/>
    <col min="7968" max="7968" width="10.42578125" style="723" customWidth="1"/>
    <col min="7969" max="8192" width="9.140625" style="723"/>
    <col min="8193" max="8193" width="3.7109375" style="723" customWidth="1"/>
    <col min="8194" max="8194" width="13.7109375" style="723" customWidth="1"/>
    <col min="8195" max="8195" width="3.7109375" style="723" customWidth="1"/>
    <col min="8196" max="8196" width="11.7109375" style="723" customWidth="1"/>
    <col min="8197" max="8197" width="30.42578125" style="723" customWidth="1"/>
    <col min="8198" max="8198" width="21.140625" style="723" customWidth="1"/>
    <col min="8199" max="8201" width="10.28515625" style="723" customWidth="1"/>
    <col min="8202" max="8202" width="11.5703125" style="723" customWidth="1"/>
    <col min="8203" max="8212" width="10.28515625" style="723" customWidth="1"/>
    <col min="8213" max="8213" width="11" style="723" customWidth="1"/>
    <col min="8214" max="8215" width="10.28515625" style="723" customWidth="1"/>
    <col min="8216" max="8216" width="9" style="723" customWidth="1"/>
    <col min="8217" max="8217" width="9.7109375" style="723" customWidth="1"/>
    <col min="8218" max="8218" width="10" style="723" customWidth="1"/>
    <col min="8219" max="8219" width="9.140625" style="723"/>
    <col min="8220" max="8220" width="10.85546875" style="723" customWidth="1"/>
    <col min="8221" max="8221" width="10.140625" style="723" customWidth="1"/>
    <col min="8222" max="8222" width="9.140625" style="723"/>
    <col min="8223" max="8223" width="10.28515625" style="723" customWidth="1"/>
    <col min="8224" max="8224" width="10.42578125" style="723" customWidth="1"/>
    <col min="8225" max="8448" width="9.140625" style="723"/>
    <col min="8449" max="8449" width="3.7109375" style="723" customWidth="1"/>
    <col min="8450" max="8450" width="13.7109375" style="723" customWidth="1"/>
    <col min="8451" max="8451" width="3.7109375" style="723" customWidth="1"/>
    <col min="8452" max="8452" width="11.7109375" style="723" customWidth="1"/>
    <col min="8453" max="8453" width="30.42578125" style="723" customWidth="1"/>
    <col min="8454" max="8454" width="21.140625" style="723" customWidth="1"/>
    <col min="8455" max="8457" width="10.28515625" style="723" customWidth="1"/>
    <col min="8458" max="8458" width="11.5703125" style="723" customWidth="1"/>
    <col min="8459" max="8468" width="10.28515625" style="723" customWidth="1"/>
    <col min="8469" max="8469" width="11" style="723" customWidth="1"/>
    <col min="8470" max="8471" width="10.28515625" style="723" customWidth="1"/>
    <col min="8472" max="8472" width="9" style="723" customWidth="1"/>
    <col min="8473" max="8473" width="9.7109375" style="723" customWidth="1"/>
    <col min="8474" max="8474" width="10" style="723" customWidth="1"/>
    <col min="8475" max="8475" width="9.140625" style="723"/>
    <col min="8476" max="8476" width="10.85546875" style="723" customWidth="1"/>
    <col min="8477" max="8477" width="10.140625" style="723" customWidth="1"/>
    <col min="8478" max="8478" width="9.140625" style="723"/>
    <col min="8479" max="8479" width="10.28515625" style="723" customWidth="1"/>
    <col min="8480" max="8480" width="10.42578125" style="723" customWidth="1"/>
    <col min="8481" max="8704" width="9.140625" style="723"/>
    <col min="8705" max="8705" width="3.7109375" style="723" customWidth="1"/>
    <col min="8706" max="8706" width="13.7109375" style="723" customWidth="1"/>
    <col min="8707" max="8707" width="3.7109375" style="723" customWidth="1"/>
    <col min="8708" max="8708" width="11.7109375" style="723" customWidth="1"/>
    <col min="8709" max="8709" width="30.42578125" style="723" customWidth="1"/>
    <col min="8710" max="8710" width="21.140625" style="723" customWidth="1"/>
    <col min="8711" max="8713" width="10.28515625" style="723" customWidth="1"/>
    <col min="8714" max="8714" width="11.5703125" style="723" customWidth="1"/>
    <col min="8715" max="8724" width="10.28515625" style="723" customWidth="1"/>
    <col min="8725" max="8725" width="11" style="723" customWidth="1"/>
    <col min="8726" max="8727" width="10.28515625" style="723" customWidth="1"/>
    <col min="8728" max="8728" width="9" style="723" customWidth="1"/>
    <col min="8729" max="8729" width="9.7109375" style="723" customWidth="1"/>
    <col min="8730" max="8730" width="10" style="723" customWidth="1"/>
    <col min="8731" max="8731" width="9.140625" style="723"/>
    <col min="8732" max="8732" width="10.85546875" style="723" customWidth="1"/>
    <col min="8733" max="8733" width="10.140625" style="723" customWidth="1"/>
    <col min="8734" max="8734" width="9.140625" style="723"/>
    <col min="8735" max="8735" width="10.28515625" style="723" customWidth="1"/>
    <col min="8736" max="8736" width="10.42578125" style="723" customWidth="1"/>
    <col min="8737" max="8960" width="9.140625" style="723"/>
    <col min="8961" max="8961" width="3.7109375" style="723" customWidth="1"/>
    <col min="8962" max="8962" width="13.7109375" style="723" customWidth="1"/>
    <col min="8963" max="8963" width="3.7109375" style="723" customWidth="1"/>
    <col min="8964" max="8964" width="11.7109375" style="723" customWidth="1"/>
    <col min="8965" max="8965" width="30.42578125" style="723" customWidth="1"/>
    <col min="8966" max="8966" width="21.140625" style="723" customWidth="1"/>
    <col min="8967" max="8969" width="10.28515625" style="723" customWidth="1"/>
    <col min="8970" max="8970" width="11.5703125" style="723" customWidth="1"/>
    <col min="8971" max="8980" width="10.28515625" style="723" customWidth="1"/>
    <col min="8981" max="8981" width="11" style="723" customWidth="1"/>
    <col min="8982" max="8983" width="10.28515625" style="723" customWidth="1"/>
    <col min="8984" max="8984" width="9" style="723" customWidth="1"/>
    <col min="8985" max="8985" width="9.7109375" style="723" customWidth="1"/>
    <col min="8986" max="8986" width="10" style="723" customWidth="1"/>
    <col min="8987" max="8987" width="9.140625" style="723"/>
    <col min="8988" max="8988" width="10.85546875" style="723" customWidth="1"/>
    <col min="8989" max="8989" width="10.140625" style="723" customWidth="1"/>
    <col min="8990" max="8990" width="9.140625" style="723"/>
    <col min="8991" max="8991" width="10.28515625" style="723" customWidth="1"/>
    <col min="8992" max="8992" width="10.42578125" style="723" customWidth="1"/>
    <col min="8993" max="9216" width="9.140625" style="723"/>
    <col min="9217" max="9217" width="3.7109375" style="723" customWidth="1"/>
    <col min="9218" max="9218" width="13.7109375" style="723" customWidth="1"/>
    <col min="9219" max="9219" width="3.7109375" style="723" customWidth="1"/>
    <col min="9220" max="9220" width="11.7109375" style="723" customWidth="1"/>
    <col min="9221" max="9221" width="30.42578125" style="723" customWidth="1"/>
    <col min="9222" max="9222" width="21.140625" style="723" customWidth="1"/>
    <col min="9223" max="9225" width="10.28515625" style="723" customWidth="1"/>
    <col min="9226" max="9226" width="11.5703125" style="723" customWidth="1"/>
    <col min="9227" max="9236" width="10.28515625" style="723" customWidth="1"/>
    <col min="9237" max="9237" width="11" style="723" customWidth="1"/>
    <col min="9238" max="9239" width="10.28515625" style="723" customWidth="1"/>
    <col min="9240" max="9240" width="9" style="723" customWidth="1"/>
    <col min="9241" max="9241" width="9.7109375" style="723" customWidth="1"/>
    <col min="9242" max="9242" width="10" style="723" customWidth="1"/>
    <col min="9243" max="9243" width="9.140625" style="723"/>
    <col min="9244" max="9244" width="10.85546875" style="723" customWidth="1"/>
    <col min="9245" max="9245" width="10.140625" style="723" customWidth="1"/>
    <col min="9246" max="9246" width="9.140625" style="723"/>
    <col min="9247" max="9247" width="10.28515625" style="723" customWidth="1"/>
    <col min="9248" max="9248" width="10.42578125" style="723" customWidth="1"/>
    <col min="9249" max="9472" width="9.140625" style="723"/>
    <col min="9473" max="9473" width="3.7109375" style="723" customWidth="1"/>
    <col min="9474" max="9474" width="13.7109375" style="723" customWidth="1"/>
    <col min="9475" max="9475" width="3.7109375" style="723" customWidth="1"/>
    <col min="9476" max="9476" width="11.7109375" style="723" customWidth="1"/>
    <col min="9477" max="9477" width="30.42578125" style="723" customWidth="1"/>
    <col min="9478" max="9478" width="21.140625" style="723" customWidth="1"/>
    <col min="9479" max="9481" width="10.28515625" style="723" customWidth="1"/>
    <col min="9482" max="9482" width="11.5703125" style="723" customWidth="1"/>
    <col min="9483" max="9492" width="10.28515625" style="723" customWidth="1"/>
    <col min="9493" max="9493" width="11" style="723" customWidth="1"/>
    <col min="9494" max="9495" width="10.28515625" style="723" customWidth="1"/>
    <col min="9496" max="9496" width="9" style="723" customWidth="1"/>
    <col min="9497" max="9497" width="9.7109375" style="723" customWidth="1"/>
    <col min="9498" max="9498" width="10" style="723" customWidth="1"/>
    <col min="9499" max="9499" width="9.140625" style="723"/>
    <col min="9500" max="9500" width="10.85546875" style="723" customWidth="1"/>
    <col min="9501" max="9501" width="10.140625" style="723" customWidth="1"/>
    <col min="9502" max="9502" width="9.140625" style="723"/>
    <col min="9503" max="9503" width="10.28515625" style="723" customWidth="1"/>
    <col min="9504" max="9504" width="10.42578125" style="723" customWidth="1"/>
    <col min="9505" max="9728" width="9.140625" style="723"/>
    <col min="9729" max="9729" width="3.7109375" style="723" customWidth="1"/>
    <col min="9730" max="9730" width="13.7109375" style="723" customWidth="1"/>
    <col min="9731" max="9731" width="3.7109375" style="723" customWidth="1"/>
    <col min="9732" max="9732" width="11.7109375" style="723" customWidth="1"/>
    <col min="9733" max="9733" width="30.42578125" style="723" customWidth="1"/>
    <col min="9734" max="9734" width="21.140625" style="723" customWidth="1"/>
    <col min="9735" max="9737" width="10.28515625" style="723" customWidth="1"/>
    <col min="9738" max="9738" width="11.5703125" style="723" customWidth="1"/>
    <col min="9739" max="9748" width="10.28515625" style="723" customWidth="1"/>
    <col min="9749" max="9749" width="11" style="723" customWidth="1"/>
    <col min="9750" max="9751" width="10.28515625" style="723" customWidth="1"/>
    <col min="9752" max="9752" width="9" style="723" customWidth="1"/>
    <col min="9753" max="9753" width="9.7109375" style="723" customWidth="1"/>
    <col min="9754" max="9754" width="10" style="723" customWidth="1"/>
    <col min="9755" max="9755" width="9.140625" style="723"/>
    <col min="9756" max="9756" width="10.85546875" style="723" customWidth="1"/>
    <col min="9757" max="9757" width="10.140625" style="723" customWidth="1"/>
    <col min="9758" max="9758" width="9.140625" style="723"/>
    <col min="9759" max="9759" width="10.28515625" style="723" customWidth="1"/>
    <col min="9760" max="9760" width="10.42578125" style="723" customWidth="1"/>
    <col min="9761" max="9984" width="9.140625" style="723"/>
    <col min="9985" max="9985" width="3.7109375" style="723" customWidth="1"/>
    <col min="9986" max="9986" width="13.7109375" style="723" customWidth="1"/>
    <col min="9987" max="9987" width="3.7109375" style="723" customWidth="1"/>
    <col min="9988" max="9988" width="11.7109375" style="723" customWidth="1"/>
    <col min="9989" max="9989" width="30.42578125" style="723" customWidth="1"/>
    <col min="9990" max="9990" width="21.140625" style="723" customWidth="1"/>
    <col min="9991" max="9993" width="10.28515625" style="723" customWidth="1"/>
    <col min="9994" max="9994" width="11.5703125" style="723" customWidth="1"/>
    <col min="9995" max="10004" width="10.28515625" style="723" customWidth="1"/>
    <col min="10005" max="10005" width="11" style="723" customWidth="1"/>
    <col min="10006" max="10007" width="10.28515625" style="723" customWidth="1"/>
    <col min="10008" max="10008" width="9" style="723" customWidth="1"/>
    <col min="10009" max="10009" width="9.7109375" style="723" customWidth="1"/>
    <col min="10010" max="10010" width="10" style="723" customWidth="1"/>
    <col min="10011" max="10011" width="9.140625" style="723"/>
    <col min="10012" max="10012" width="10.85546875" style="723" customWidth="1"/>
    <col min="10013" max="10013" width="10.140625" style="723" customWidth="1"/>
    <col min="10014" max="10014" width="9.140625" style="723"/>
    <col min="10015" max="10015" width="10.28515625" style="723" customWidth="1"/>
    <col min="10016" max="10016" width="10.42578125" style="723" customWidth="1"/>
    <col min="10017" max="10240" width="9.140625" style="723"/>
    <col min="10241" max="10241" width="3.7109375" style="723" customWidth="1"/>
    <col min="10242" max="10242" width="13.7109375" style="723" customWidth="1"/>
    <col min="10243" max="10243" width="3.7109375" style="723" customWidth="1"/>
    <col min="10244" max="10244" width="11.7109375" style="723" customWidth="1"/>
    <col min="10245" max="10245" width="30.42578125" style="723" customWidth="1"/>
    <col min="10246" max="10246" width="21.140625" style="723" customWidth="1"/>
    <col min="10247" max="10249" width="10.28515625" style="723" customWidth="1"/>
    <col min="10250" max="10250" width="11.5703125" style="723" customWidth="1"/>
    <col min="10251" max="10260" width="10.28515625" style="723" customWidth="1"/>
    <col min="10261" max="10261" width="11" style="723" customWidth="1"/>
    <col min="10262" max="10263" width="10.28515625" style="723" customWidth="1"/>
    <col min="10264" max="10264" width="9" style="723" customWidth="1"/>
    <col min="10265" max="10265" width="9.7109375" style="723" customWidth="1"/>
    <col min="10266" max="10266" width="10" style="723" customWidth="1"/>
    <col min="10267" max="10267" width="9.140625" style="723"/>
    <col min="10268" max="10268" width="10.85546875" style="723" customWidth="1"/>
    <col min="10269" max="10269" width="10.140625" style="723" customWidth="1"/>
    <col min="10270" max="10270" width="9.140625" style="723"/>
    <col min="10271" max="10271" width="10.28515625" style="723" customWidth="1"/>
    <col min="10272" max="10272" width="10.42578125" style="723" customWidth="1"/>
    <col min="10273" max="10496" width="9.140625" style="723"/>
    <col min="10497" max="10497" width="3.7109375" style="723" customWidth="1"/>
    <col min="10498" max="10498" width="13.7109375" style="723" customWidth="1"/>
    <col min="10499" max="10499" width="3.7109375" style="723" customWidth="1"/>
    <col min="10500" max="10500" width="11.7109375" style="723" customWidth="1"/>
    <col min="10501" max="10501" width="30.42578125" style="723" customWidth="1"/>
    <col min="10502" max="10502" width="21.140625" style="723" customWidth="1"/>
    <col min="10503" max="10505" width="10.28515625" style="723" customWidth="1"/>
    <col min="10506" max="10506" width="11.5703125" style="723" customWidth="1"/>
    <col min="10507" max="10516" width="10.28515625" style="723" customWidth="1"/>
    <col min="10517" max="10517" width="11" style="723" customWidth="1"/>
    <col min="10518" max="10519" width="10.28515625" style="723" customWidth="1"/>
    <col min="10520" max="10520" width="9" style="723" customWidth="1"/>
    <col min="10521" max="10521" width="9.7109375" style="723" customWidth="1"/>
    <col min="10522" max="10522" width="10" style="723" customWidth="1"/>
    <col min="10523" max="10523" width="9.140625" style="723"/>
    <col min="10524" max="10524" width="10.85546875" style="723" customWidth="1"/>
    <col min="10525" max="10525" width="10.140625" style="723" customWidth="1"/>
    <col min="10526" max="10526" width="9.140625" style="723"/>
    <col min="10527" max="10527" width="10.28515625" style="723" customWidth="1"/>
    <col min="10528" max="10528" width="10.42578125" style="723" customWidth="1"/>
    <col min="10529" max="10752" width="9.140625" style="723"/>
    <col min="10753" max="10753" width="3.7109375" style="723" customWidth="1"/>
    <col min="10754" max="10754" width="13.7109375" style="723" customWidth="1"/>
    <col min="10755" max="10755" width="3.7109375" style="723" customWidth="1"/>
    <col min="10756" max="10756" width="11.7109375" style="723" customWidth="1"/>
    <col min="10757" max="10757" width="30.42578125" style="723" customWidth="1"/>
    <col min="10758" max="10758" width="21.140625" style="723" customWidth="1"/>
    <col min="10759" max="10761" width="10.28515625" style="723" customWidth="1"/>
    <col min="10762" max="10762" width="11.5703125" style="723" customWidth="1"/>
    <col min="10763" max="10772" width="10.28515625" style="723" customWidth="1"/>
    <col min="10773" max="10773" width="11" style="723" customWidth="1"/>
    <col min="10774" max="10775" width="10.28515625" style="723" customWidth="1"/>
    <col min="10776" max="10776" width="9" style="723" customWidth="1"/>
    <col min="10777" max="10777" width="9.7109375" style="723" customWidth="1"/>
    <col min="10778" max="10778" width="10" style="723" customWidth="1"/>
    <col min="10779" max="10779" width="9.140625" style="723"/>
    <col min="10780" max="10780" width="10.85546875" style="723" customWidth="1"/>
    <col min="10781" max="10781" width="10.140625" style="723" customWidth="1"/>
    <col min="10782" max="10782" width="9.140625" style="723"/>
    <col min="10783" max="10783" width="10.28515625" style="723" customWidth="1"/>
    <col min="10784" max="10784" width="10.42578125" style="723" customWidth="1"/>
    <col min="10785" max="11008" width="9.140625" style="723"/>
    <col min="11009" max="11009" width="3.7109375" style="723" customWidth="1"/>
    <col min="11010" max="11010" width="13.7109375" style="723" customWidth="1"/>
    <col min="11011" max="11011" width="3.7109375" style="723" customWidth="1"/>
    <col min="11012" max="11012" width="11.7109375" style="723" customWidth="1"/>
    <col min="11013" max="11013" width="30.42578125" style="723" customWidth="1"/>
    <col min="11014" max="11014" width="21.140625" style="723" customWidth="1"/>
    <col min="11015" max="11017" width="10.28515625" style="723" customWidth="1"/>
    <col min="11018" max="11018" width="11.5703125" style="723" customWidth="1"/>
    <col min="11019" max="11028" width="10.28515625" style="723" customWidth="1"/>
    <col min="11029" max="11029" width="11" style="723" customWidth="1"/>
    <col min="11030" max="11031" width="10.28515625" style="723" customWidth="1"/>
    <col min="11032" max="11032" width="9" style="723" customWidth="1"/>
    <col min="11033" max="11033" width="9.7109375" style="723" customWidth="1"/>
    <col min="11034" max="11034" width="10" style="723" customWidth="1"/>
    <col min="11035" max="11035" width="9.140625" style="723"/>
    <col min="11036" max="11036" width="10.85546875" style="723" customWidth="1"/>
    <col min="11037" max="11037" width="10.140625" style="723" customWidth="1"/>
    <col min="11038" max="11038" width="9.140625" style="723"/>
    <col min="11039" max="11039" width="10.28515625" style="723" customWidth="1"/>
    <col min="11040" max="11040" width="10.42578125" style="723" customWidth="1"/>
    <col min="11041" max="11264" width="9.140625" style="723"/>
    <col min="11265" max="11265" width="3.7109375" style="723" customWidth="1"/>
    <col min="11266" max="11266" width="13.7109375" style="723" customWidth="1"/>
    <col min="11267" max="11267" width="3.7109375" style="723" customWidth="1"/>
    <col min="11268" max="11268" width="11.7109375" style="723" customWidth="1"/>
    <col min="11269" max="11269" width="30.42578125" style="723" customWidth="1"/>
    <col min="11270" max="11270" width="21.140625" style="723" customWidth="1"/>
    <col min="11271" max="11273" width="10.28515625" style="723" customWidth="1"/>
    <col min="11274" max="11274" width="11.5703125" style="723" customWidth="1"/>
    <col min="11275" max="11284" width="10.28515625" style="723" customWidth="1"/>
    <col min="11285" max="11285" width="11" style="723" customWidth="1"/>
    <col min="11286" max="11287" width="10.28515625" style="723" customWidth="1"/>
    <col min="11288" max="11288" width="9" style="723" customWidth="1"/>
    <col min="11289" max="11289" width="9.7109375" style="723" customWidth="1"/>
    <col min="11290" max="11290" width="10" style="723" customWidth="1"/>
    <col min="11291" max="11291" width="9.140625" style="723"/>
    <col min="11292" max="11292" width="10.85546875" style="723" customWidth="1"/>
    <col min="11293" max="11293" width="10.140625" style="723" customWidth="1"/>
    <col min="11294" max="11294" width="9.140625" style="723"/>
    <col min="11295" max="11295" width="10.28515625" style="723" customWidth="1"/>
    <col min="11296" max="11296" width="10.42578125" style="723" customWidth="1"/>
    <col min="11297" max="11520" width="9.140625" style="723"/>
    <col min="11521" max="11521" width="3.7109375" style="723" customWidth="1"/>
    <col min="11522" max="11522" width="13.7109375" style="723" customWidth="1"/>
    <col min="11523" max="11523" width="3.7109375" style="723" customWidth="1"/>
    <col min="11524" max="11524" width="11.7109375" style="723" customWidth="1"/>
    <col min="11525" max="11525" width="30.42578125" style="723" customWidth="1"/>
    <col min="11526" max="11526" width="21.140625" style="723" customWidth="1"/>
    <col min="11527" max="11529" width="10.28515625" style="723" customWidth="1"/>
    <col min="11530" max="11530" width="11.5703125" style="723" customWidth="1"/>
    <col min="11531" max="11540" width="10.28515625" style="723" customWidth="1"/>
    <col min="11541" max="11541" width="11" style="723" customWidth="1"/>
    <col min="11542" max="11543" width="10.28515625" style="723" customWidth="1"/>
    <col min="11544" max="11544" width="9" style="723" customWidth="1"/>
    <col min="11545" max="11545" width="9.7109375" style="723" customWidth="1"/>
    <col min="11546" max="11546" width="10" style="723" customWidth="1"/>
    <col min="11547" max="11547" width="9.140625" style="723"/>
    <col min="11548" max="11548" width="10.85546875" style="723" customWidth="1"/>
    <col min="11549" max="11549" width="10.140625" style="723" customWidth="1"/>
    <col min="11550" max="11550" width="9.140625" style="723"/>
    <col min="11551" max="11551" width="10.28515625" style="723" customWidth="1"/>
    <col min="11552" max="11552" width="10.42578125" style="723" customWidth="1"/>
    <col min="11553" max="11776" width="9.140625" style="723"/>
    <col min="11777" max="11777" width="3.7109375" style="723" customWidth="1"/>
    <col min="11778" max="11778" width="13.7109375" style="723" customWidth="1"/>
    <col min="11779" max="11779" width="3.7109375" style="723" customWidth="1"/>
    <col min="11780" max="11780" width="11.7109375" style="723" customWidth="1"/>
    <col min="11781" max="11781" width="30.42578125" style="723" customWidth="1"/>
    <col min="11782" max="11782" width="21.140625" style="723" customWidth="1"/>
    <col min="11783" max="11785" width="10.28515625" style="723" customWidth="1"/>
    <col min="11786" max="11786" width="11.5703125" style="723" customWidth="1"/>
    <col min="11787" max="11796" width="10.28515625" style="723" customWidth="1"/>
    <col min="11797" max="11797" width="11" style="723" customWidth="1"/>
    <col min="11798" max="11799" width="10.28515625" style="723" customWidth="1"/>
    <col min="11800" max="11800" width="9" style="723" customWidth="1"/>
    <col min="11801" max="11801" width="9.7109375" style="723" customWidth="1"/>
    <col min="11802" max="11802" width="10" style="723" customWidth="1"/>
    <col min="11803" max="11803" width="9.140625" style="723"/>
    <col min="11804" max="11804" width="10.85546875" style="723" customWidth="1"/>
    <col min="11805" max="11805" width="10.140625" style="723" customWidth="1"/>
    <col min="11806" max="11806" width="9.140625" style="723"/>
    <col min="11807" max="11807" width="10.28515625" style="723" customWidth="1"/>
    <col min="11808" max="11808" width="10.42578125" style="723" customWidth="1"/>
    <col min="11809" max="12032" width="9.140625" style="723"/>
    <col min="12033" max="12033" width="3.7109375" style="723" customWidth="1"/>
    <col min="12034" max="12034" width="13.7109375" style="723" customWidth="1"/>
    <col min="12035" max="12035" width="3.7109375" style="723" customWidth="1"/>
    <col min="12036" max="12036" width="11.7109375" style="723" customWidth="1"/>
    <col min="12037" max="12037" width="30.42578125" style="723" customWidth="1"/>
    <col min="12038" max="12038" width="21.140625" style="723" customWidth="1"/>
    <col min="12039" max="12041" width="10.28515625" style="723" customWidth="1"/>
    <col min="12042" max="12042" width="11.5703125" style="723" customWidth="1"/>
    <col min="12043" max="12052" width="10.28515625" style="723" customWidth="1"/>
    <col min="12053" max="12053" width="11" style="723" customWidth="1"/>
    <col min="12054" max="12055" width="10.28515625" style="723" customWidth="1"/>
    <col min="12056" max="12056" width="9" style="723" customWidth="1"/>
    <col min="12057" max="12057" width="9.7109375" style="723" customWidth="1"/>
    <col min="12058" max="12058" width="10" style="723" customWidth="1"/>
    <col min="12059" max="12059" width="9.140625" style="723"/>
    <col min="12060" max="12060" width="10.85546875" style="723" customWidth="1"/>
    <col min="12061" max="12061" width="10.140625" style="723" customWidth="1"/>
    <col min="12062" max="12062" width="9.140625" style="723"/>
    <col min="12063" max="12063" width="10.28515625" style="723" customWidth="1"/>
    <col min="12064" max="12064" width="10.42578125" style="723" customWidth="1"/>
    <col min="12065" max="12288" width="9.140625" style="723"/>
    <col min="12289" max="12289" width="3.7109375" style="723" customWidth="1"/>
    <col min="12290" max="12290" width="13.7109375" style="723" customWidth="1"/>
    <col min="12291" max="12291" width="3.7109375" style="723" customWidth="1"/>
    <col min="12292" max="12292" width="11.7109375" style="723" customWidth="1"/>
    <col min="12293" max="12293" width="30.42578125" style="723" customWidth="1"/>
    <col min="12294" max="12294" width="21.140625" style="723" customWidth="1"/>
    <col min="12295" max="12297" width="10.28515625" style="723" customWidth="1"/>
    <col min="12298" max="12298" width="11.5703125" style="723" customWidth="1"/>
    <col min="12299" max="12308" width="10.28515625" style="723" customWidth="1"/>
    <col min="12309" max="12309" width="11" style="723" customWidth="1"/>
    <col min="12310" max="12311" width="10.28515625" style="723" customWidth="1"/>
    <col min="12312" max="12312" width="9" style="723" customWidth="1"/>
    <col min="12313" max="12313" width="9.7109375" style="723" customWidth="1"/>
    <col min="12314" max="12314" width="10" style="723" customWidth="1"/>
    <col min="12315" max="12315" width="9.140625" style="723"/>
    <col min="12316" max="12316" width="10.85546875" style="723" customWidth="1"/>
    <col min="12317" max="12317" width="10.140625" style="723" customWidth="1"/>
    <col min="12318" max="12318" width="9.140625" style="723"/>
    <col min="12319" max="12319" width="10.28515625" style="723" customWidth="1"/>
    <col min="12320" max="12320" width="10.42578125" style="723" customWidth="1"/>
    <col min="12321" max="12544" width="9.140625" style="723"/>
    <col min="12545" max="12545" width="3.7109375" style="723" customWidth="1"/>
    <col min="12546" max="12546" width="13.7109375" style="723" customWidth="1"/>
    <col min="12547" max="12547" width="3.7109375" style="723" customWidth="1"/>
    <col min="12548" max="12548" width="11.7109375" style="723" customWidth="1"/>
    <col min="12549" max="12549" width="30.42578125" style="723" customWidth="1"/>
    <col min="12550" max="12550" width="21.140625" style="723" customWidth="1"/>
    <col min="12551" max="12553" width="10.28515625" style="723" customWidth="1"/>
    <col min="12554" max="12554" width="11.5703125" style="723" customWidth="1"/>
    <col min="12555" max="12564" width="10.28515625" style="723" customWidth="1"/>
    <col min="12565" max="12565" width="11" style="723" customWidth="1"/>
    <col min="12566" max="12567" width="10.28515625" style="723" customWidth="1"/>
    <col min="12568" max="12568" width="9" style="723" customWidth="1"/>
    <col min="12569" max="12569" width="9.7109375" style="723" customWidth="1"/>
    <col min="12570" max="12570" width="10" style="723" customWidth="1"/>
    <col min="12571" max="12571" width="9.140625" style="723"/>
    <col min="12572" max="12572" width="10.85546875" style="723" customWidth="1"/>
    <col min="12573" max="12573" width="10.140625" style="723" customWidth="1"/>
    <col min="12574" max="12574" width="9.140625" style="723"/>
    <col min="12575" max="12575" width="10.28515625" style="723" customWidth="1"/>
    <col min="12576" max="12576" width="10.42578125" style="723" customWidth="1"/>
    <col min="12577" max="12800" width="9.140625" style="723"/>
    <col min="12801" max="12801" width="3.7109375" style="723" customWidth="1"/>
    <col min="12802" max="12802" width="13.7109375" style="723" customWidth="1"/>
    <col min="12803" max="12803" width="3.7109375" style="723" customWidth="1"/>
    <col min="12804" max="12804" width="11.7109375" style="723" customWidth="1"/>
    <col min="12805" max="12805" width="30.42578125" style="723" customWidth="1"/>
    <col min="12806" max="12806" width="21.140625" style="723" customWidth="1"/>
    <col min="12807" max="12809" width="10.28515625" style="723" customWidth="1"/>
    <col min="12810" max="12810" width="11.5703125" style="723" customWidth="1"/>
    <col min="12811" max="12820" width="10.28515625" style="723" customWidth="1"/>
    <col min="12821" max="12821" width="11" style="723" customWidth="1"/>
    <col min="12822" max="12823" width="10.28515625" style="723" customWidth="1"/>
    <col min="12824" max="12824" width="9" style="723" customWidth="1"/>
    <col min="12825" max="12825" width="9.7109375" style="723" customWidth="1"/>
    <col min="12826" max="12826" width="10" style="723" customWidth="1"/>
    <col min="12827" max="12827" width="9.140625" style="723"/>
    <col min="12828" max="12828" width="10.85546875" style="723" customWidth="1"/>
    <col min="12829" max="12829" width="10.140625" style="723" customWidth="1"/>
    <col min="12830" max="12830" width="9.140625" style="723"/>
    <col min="12831" max="12831" width="10.28515625" style="723" customWidth="1"/>
    <col min="12832" max="12832" width="10.42578125" style="723" customWidth="1"/>
    <col min="12833" max="13056" width="9.140625" style="723"/>
    <col min="13057" max="13057" width="3.7109375" style="723" customWidth="1"/>
    <col min="13058" max="13058" width="13.7109375" style="723" customWidth="1"/>
    <col min="13059" max="13059" width="3.7109375" style="723" customWidth="1"/>
    <col min="13060" max="13060" width="11.7109375" style="723" customWidth="1"/>
    <col min="13061" max="13061" width="30.42578125" style="723" customWidth="1"/>
    <col min="13062" max="13062" width="21.140625" style="723" customWidth="1"/>
    <col min="13063" max="13065" width="10.28515625" style="723" customWidth="1"/>
    <col min="13066" max="13066" width="11.5703125" style="723" customWidth="1"/>
    <col min="13067" max="13076" width="10.28515625" style="723" customWidth="1"/>
    <col min="13077" max="13077" width="11" style="723" customWidth="1"/>
    <col min="13078" max="13079" width="10.28515625" style="723" customWidth="1"/>
    <col min="13080" max="13080" width="9" style="723" customWidth="1"/>
    <col min="13081" max="13081" width="9.7109375" style="723" customWidth="1"/>
    <col min="13082" max="13082" width="10" style="723" customWidth="1"/>
    <col min="13083" max="13083" width="9.140625" style="723"/>
    <col min="13084" max="13084" width="10.85546875" style="723" customWidth="1"/>
    <col min="13085" max="13085" width="10.140625" style="723" customWidth="1"/>
    <col min="13086" max="13086" width="9.140625" style="723"/>
    <col min="13087" max="13087" width="10.28515625" style="723" customWidth="1"/>
    <col min="13088" max="13088" width="10.42578125" style="723" customWidth="1"/>
    <col min="13089" max="13312" width="9.140625" style="723"/>
    <col min="13313" max="13313" width="3.7109375" style="723" customWidth="1"/>
    <col min="13314" max="13314" width="13.7109375" style="723" customWidth="1"/>
    <col min="13315" max="13315" width="3.7109375" style="723" customWidth="1"/>
    <col min="13316" max="13316" width="11.7109375" style="723" customWidth="1"/>
    <col min="13317" max="13317" width="30.42578125" style="723" customWidth="1"/>
    <col min="13318" max="13318" width="21.140625" style="723" customWidth="1"/>
    <col min="13319" max="13321" width="10.28515625" style="723" customWidth="1"/>
    <col min="13322" max="13322" width="11.5703125" style="723" customWidth="1"/>
    <col min="13323" max="13332" width="10.28515625" style="723" customWidth="1"/>
    <col min="13333" max="13333" width="11" style="723" customWidth="1"/>
    <col min="13334" max="13335" width="10.28515625" style="723" customWidth="1"/>
    <col min="13336" max="13336" width="9" style="723" customWidth="1"/>
    <col min="13337" max="13337" width="9.7109375" style="723" customWidth="1"/>
    <col min="13338" max="13338" width="10" style="723" customWidth="1"/>
    <col min="13339" max="13339" width="9.140625" style="723"/>
    <col min="13340" max="13340" width="10.85546875" style="723" customWidth="1"/>
    <col min="13341" max="13341" width="10.140625" style="723" customWidth="1"/>
    <col min="13342" max="13342" width="9.140625" style="723"/>
    <col min="13343" max="13343" width="10.28515625" style="723" customWidth="1"/>
    <col min="13344" max="13344" width="10.42578125" style="723" customWidth="1"/>
    <col min="13345" max="13568" width="9.140625" style="723"/>
    <col min="13569" max="13569" width="3.7109375" style="723" customWidth="1"/>
    <col min="13570" max="13570" width="13.7109375" style="723" customWidth="1"/>
    <col min="13571" max="13571" width="3.7109375" style="723" customWidth="1"/>
    <col min="13572" max="13572" width="11.7109375" style="723" customWidth="1"/>
    <col min="13573" max="13573" width="30.42578125" style="723" customWidth="1"/>
    <col min="13574" max="13574" width="21.140625" style="723" customWidth="1"/>
    <col min="13575" max="13577" width="10.28515625" style="723" customWidth="1"/>
    <col min="13578" max="13578" width="11.5703125" style="723" customWidth="1"/>
    <col min="13579" max="13588" width="10.28515625" style="723" customWidth="1"/>
    <col min="13589" max="13589" width="11" style="723" customWidth="1"/>
    <col min="13590" max="13591" width="10.28515625" style="723" customWidth="1"/>
    <col min="13592" max="13592" width="9" style="723" customWidth="1"/>
    <col min="13593" max="13593" width="9.7109375" style="723" customWidth="1"/>
    <col min="13594" max="13594" width="10" style="723" customWidth="1"/>
    <col min="13595" max="13595" width="9.140625" style="723"/>
    <col min="13596" max="13596" width="10.85546875" style="723" customWidth="1"/>
    <col min="13597" max="13597" width="10.140625" style="723" customWidth="1"/>
    <col min="13598" max="13598" width="9.140625" style="723"/>
    <col min="13599" max="13599" width="10.28515625" style="723" customWidth="1"/>
    <col min="13600" max="13600" width="10.42578125" style="723" customWidth="1"/>
    <col min="13601" max="13824" width="9.140625" style="723"/>
    <col min="13825" max="13825" width="3.7109375" style="723" customWidth="1"/>
    <col min="13826" max="13826" width="13.7109375" style="723" customWidth="1"/>
    <col min="13827" max="13827" width="3.7109375" style="723" customWidth="1"/>
    <col min="13828" max="13828" width="11.7109375" style="723" customWidth="1"/>
    <col min="13829" max="13829" width="30.42578125" style="723" customWidth="1"/>
    <col min="13830" max="13830" width="21.140625" style="723" customWidth="1"/>
    <col min="13831" max="13833" width="10.28515625" style="723" customWidth="1"/>
    <col min="13834" max="13834" width="11.5703125" style="723" customWidth="1"/>
    <col min="13835" max="13844" width="10.28515625" style="723" customWidth="1"/>
    <col min="13845" max="13845" width="11" style="723" customWidth="1"/>
    <col min="13846" max="13847" width="10.28515625" style="723" customWidth="1"/>
    <col min="13848" max="13848" width="9" style="723" customWidth="1"/>
    <col min="13849" max="13849" width="9.7109375" style="723" customWidth="1"/>
    <col min="13850" max="13850" width="10" style="723" customWidth="1"/>
    <col min="13851" max="13851" width="9.140625" style="723"/>
    <col min="13852" max="13852" width="10.85546875" style="723" customWidth="1"/>
    <col min="13853" max="13853" width="10.140625" style="723" customWidth="1"/>
    <col min="13854" max="13854" width="9.140625" style="723"/>
    <col min="13855" max="13855" width="10.28515625" style="723" customWidth="1"/>
    <col min="13856" max="13856" width="10.42578125" style="723" customWidth="1"/>
    <col min="13857" max="14080" width="9.140625" style="723"/>
    <col min="14081" max="14081" width="3.7109375" style="723" customWidth="1"/>
    <col min="14082" max="14082" width="13.7109375" style="723" customWidth="1"/>
    <col min="14083" max="14083" width="3.7109375" style="723" customWidth="1"/>
    <col min="14084" max="14084" width="11.7109375" style="723" customWidth="1"/>
    <col min="14085" max="14085" width="30.42578125" style="723" customWidth="1"/>
    <col min="14086" max="14086" width="21.140625" style="723" customWidth="1"/>
    <col min="14087" max="14089" width="10.28515625" style="723" customWidth="1"/>
    <col min="14090" max="14090" width="11.5703125" style="723" customWidth="1"/>
    <col min="14091" max="14100" width="10.28515625" style="723" customWidth="1"/>
    <col min="14101" max="14101" width="11" style="723" customWidth="1"/>
    <col min="14102" max="14103" width="10.28515625" style="723" customWidth="1"/>
    <col min="14104" max="14104" width="9" style="723" customWidth="1"/>
    <col min="14105" max="14105" width="9.7109375" style="723" customWidth="1"/>
    <col min="14106" max="14106" width="10" style="723" customWidth="1"/>
    <col min="14107" max="14107" width="9.140625" style="723"/>
    <col min="14108" max="14108" width="10.85546875" style="723" customWidth="1"/>
    <col min="14109" max="14109" width="10.140625" style="723" customWidth="1"/>
    <col min="14110" max="14110" width="9.140625" style="723"/>
    <col min="14111" max="14111" width="10.28515625" style="723" customWidth="1"/>
    <col min="14112" max="14112" width="10.42578125" style="723" customWidth="1"/>
    <col min="14113" max="14336" width="9.140625" style="723"/>
    <col min="14337" max="14337" width="3.7109375" style="723" customWidth="1"/>
    <col min="14338" max="14338" width="13.7109375" style="723" customWidth="1"/>
    <col min="14339" max="14339" width="3.7109375" style="723" customWidth="1"/>
    <col min="14340" max="14340" width="11.7109375" style="723" customWidth="1"/>
    <col min="14341" max="14341" width="30.42578125" style="723" customWidth="1"/>
    <col min="14342" max="14342" width="21.140625" style="723" customWidth="1"/>
    <col min="14343" max="14345" width="10.28515625" style="723" customWidth="1"/>
    <col min="14346" max="14346" width="11.5703125" style="723" customWidth="1"/>
    <col min="14347" max="14356" width="10.28515625" style="723" customWidth="1"/>
    <col min="14357" max="14357" width="11" style="723" customWidth="1"/>
    <col min="14358" max="14359" width="10.28515625" style="723" customWidth="1"/>
    <col min="14360" max="14360" width="9" style="723" customWidth="1"/>
    <col min="14361" max="14361" width="9.7109375" style="723" customWidth="1"/>
    <col min="14362" max="14362" width="10" style="723" customWidth="1"/>
    <col min="14363" max="14363" width="9.140625" style="723"/>
    <col min="14364" max="14364" width="10.85546875" style="723" customWidth="1"/>
    <col min="14365" max="14365" width="10.140625" style="723" customWidth="1"/>
    <col min="14366" max="14366" width="9.140625" style="723"/>
    <col min="14367" max="14367" width="10.28515625" style="723" customWidth="1"/>
    <col min="14368" max="14368" width="10.42578125" style="723" customWidth="1"/>
    <col min="14369" max="14592" width="9.140625" style="723"/>
    <col min="14593" max="14593" width="3.7109375" style="723" customWidth="1"/>
    <col min="14594" max="14594" width="13.7109375" style="723" customWidth="1"/>
    <col min="14595" max="14595" width="3.7109375" style="723" customWidth="1"/>
    <col min="14596" max="14596" width="11.7109375" style="723" customWidth="1"/>
    <col min="14597" max="14597" width="30.42578125" style="723" customWidth="1"/>
    <col min="14598" max="14598" width="21.140625" style="723" customWidth="1"/>
    <col min="14599" max="14601" width="10.28515625" style="723" customWidth="1"/>
    <col min="14602" max="14602" width="11.5703125" style="723" customWidth="1"/>
    <col min="14603" max="14612" width="10.28515625" style="723" customWidth="1"/>
    <col min="14613" max="14613" width="11" style="723" customWidth="1"/>
    <col min="14614" max="14615" width="10.28515625" style="723" customWidth="1"/>
    <col min="14616" max="14616" width="9" style="723" customWidth="1"/>
    <col min="14617" max="14617" width="9.7109375" style="723" customWidth="1"/>
    <col min="14618" max="14618" width="10" style="723" customWidth="1"/>
    <col min="14619" max="14619" width="9.140625" style="723"/>
    <col min="14620" max="14620" width="10.85546875" style="723" customWidth="1"/>
    <col min="14621" max="14621" width="10.140625" style="723" customWidth="1"/>
    <col min="14622" max="14622" width="9.140625" style="723"/>
    <col min="14623" max="14623" width="10.28515625" style="723" customWidth="1"/>
    <col min="14624" max="14624" width="10.42578125" style="723" customWidth="1"/>
    <col min="14625" max="14848" width="9.140625" style="723"/>
    <col min="14849" max="14849" width="3.7109375" style="723" customWidth="1"/>
    <col min="14850" max="14850" width="13.7109375" style="723" customWidth="1"/>
    <col min="14851" max="14851" width="3.7109375" style="723" customWidth="1"/>
    <col min="14852" max="14852" width="11.7109375" style="723" customWidth="1"/>
    <col min="14853" max="14853" width="30.42578125" style="723" customWidth="1"/>
    <col min="14854" max="14854" width="21.140625" style="723" customWidth="1"/>
    <col min="14855" max="14857" width="10.28515625" style="723" customWidth="1"/>
    <col min="14858" max="14858" width="11.5703125" style="723" customWidth="1"/>
    <col min="14859" max="14868" width="10.28515625" style="723" customWidth="1"/>
    <col min="14869" max="14869" width="11" style="723" customWidth="1"/>
    <col min="14870" max="14871" width="10.28515625" style="723" customWidth="1"/>
    <col min="14872" max="14872" width="9" style="723" customWidth="1"/>
    <col min="14873" max="14873" width="9.7109375" style="723" customWidth="1"/>
    <col min="14874" max="14874" width="10" style="723" customWidth="1"/>
    <col min="14875" max="14875" width="9.140625" style="723"/>
    <col min="14876" max="14876" width="10.85546875" style="723" customWidth="1"/>
    <col min="14877" max="14877" width="10.140625" style="723" customWidth="1"/>
    <col min="14878" max="14878" width="9.140625" style="723"/>
    <col min="14879" max="14879" width="10.28515625" style="723" customWidth="1"/>
    <col min="14880" max="14880" width="10.42578125" style="723" customWidth="1"/>
    <col min="14881" max="15104" width="9.140625" style="723"/>
    <col min="15105" max="15105" width="3.7109375" style="723" customWidth="1"/>
    <col min="15106" max="15106" width="13.7109375" style="723" customWidth="1"/>
    <col min="15107" max="15107" width="3.7109375" style="723" customWidth="1"/>
    <col min="15108" max="15108" width="11.7109375" style="723" customWidth="1"/>
    <col min="15109" max="15109" width="30.42578125" style="723" customWidth="1"/>
    <col min="15110" max="15110" width="21.140625" style="723" customWidth="1"/>
    <col min="15111" max="15113" width="10.28515625" style="723" customWidth="1"/>
    <col min="15114" max="15114" width="11.5703125" style="723" customWidth="1"/>
    <col min="15115" max="15124" width="10.28515625" style="723" customWidth="1"/>
    <col min="15125" max="15125" width="11" style="723" customWidth="1"/>
    <col min="15126" max="15127" width="10.28515625" style="723" customWidth="1"/>
    <col min="15128" max="15128" width="9" style="723" customWidth="1"/>
    <col min="15129" max="15129" width="9.7109375" style="723" customWidth="1"/>
    <col min="15130" max="15130" width="10" style="723" customWidth="1"/>
    <col min="15131" max="15131" width="9.140625" style="723"/>
    <col min="15132" max="15132" width="10.85546875" style="723" customWidth="1"/>
    <col min="15133" max="15133" width="10.140625" style="723" customWidth="1"/>
    <col min="15134" max="15134" width="9.140625" style="723"/>
    <col min="15135" max="15135" width="10.28515625" style="723" customWidth="1"/>
    <col min="15136" max="15136" width="10.42578125" style="723" customWidth="1"/>
    <col min="15137" max="15360" width="9.140625" style="723"/>
    <col min="15361" max="15361" width="3.7109375" style="723" customWidth="1"/>
    <col min="15362" max="15362" width="13.7109375" style="723" customWidth="1"/>
    <col min="15363" max="15363" width="3.7109375" style="723" customWidth="1"/>
    <col min="15364" max="15364" width="11.7109375" style="723" customWidth="1"/>
    <col min="15365" max="15365" width="30.42578125" style="723" customWidth="1"/>
    <col min="15366" max="15366" width="21.140625" style="723" customWidth="1"/>
    <col min="15367" max="15369" width="10.28515625" style="723" customWidth="1"/>
    <col min="15370" max="15370" width="11.5703125" style="723" customWidth="1"/>
    <col min="15371" max="15380" width="10.28515625" style="723" customWidth="1"/>
    <col min="15381" max="15381" width="11" style="723" customWidth="1"/>
    <col min="15382" max="15383" width="10.28515625" style="723" customWidth="1"/>
    <col min="15384" max="15384" width="9" style="723" customWidth="1"/>
    <col min="15385" max="15385" width="9.7109375" style="723" customWidth="1"/>
    <col min="15386" max="15386" width="10" style="723" customWidth="1"/>
    <col min="15387" max="15387" width="9.140625" style="723"/>
    <col min="15388" max="15388" width="10.85546875" style="723" customWidth="1"/>
    <col min="15389" max="15389" width="10.140625" style="723" customWidth="1"/>
    <col min="15390" max="15390" width="9.140625" style="723"/>
    <col min="15391" max="15391" width="10.28515625" style="723" customWidth="1"/>
    <col min="15392" max="15392" width="10.42578125" style="723" customWidth="1"/>
    <col min="15393" max="15616" width="9.140625" style="723"/>
    <col min="15617" max="15617" width="3.7109375" style="723" customWidth="1"/>
    <col min="15618" max="15618" width="13.7109375" style="723" customWidth="1"/>
    <col min="15619" max="15619" width="3.7109375" style="723" customWidth="1"/>
    <col min="15620" max="15620" width="11.7109375" style="723" customWidth="1"/>
    <col min="15621" max="15621" width="30.42578125" style="723" customWidth="1"/>
    <col min="15622" max="15622" width="21.140625" style="723" customWidth="1"/>
    <col min="15623" max="15625" width="10.28515625" style="723" customWidth="1"/>
    <col min="15626" max="15626" width="11.5703125" style="723" customWidth="1"/>
    <col min="15627" max="15636" width="10.28515625" style="723" customWidth="1"/>
    <col min="15637" max="15637" width="11" style="723" customWidth="1"/>
    <col min="15638" max="15639" width="10.28515625" style="723" customWidth="1"/>
    <col min="15640" max="15640" width="9" style="723" customWidth="1"/>
    <col min="15641" max="15641" width="9.7109375" style="723" customWidth="1"/>
    <col min="15642" max="15642" width="10" style="723" customWidth="1"/>
    <col min="15643" max="15643" width="9.140625" style="723"/>
    <col min="15644" max="15644" width="10.85546875" style="723" customWidth="1"/>
    <col min="15645" max="15645" width="10.140625" style="723" customWidth="1"/>
    <col min="15646" max="15646" width="9.140625" style="723"/>
    <col min="15647" max="15647" width="10.28515625" style="723" customWidth="1"/>
    <col min="15648" max="15648" width="10.42578125" style="723" customWidth="1"/>
    <col min="15649" max="15872" width="9.140625" style="723"/>
    <col min="15873" max="15873" width="3.7109375" style="723" customWidth="1"/>
    <col min="15874" max="15874" width="13.7109375" style="723" customWidth="1"/>
    <col min="15875" max="15875" width="3.7109375" style="723" customWidth="1"/>
    <col min="15876" max="15876" width="11.7109375" style="723" customWidth="1"/>
    <col min="15877" max="15877" width="30.42578125" style="723" customWidth="1"/>
    <col min="15878" max="15878" width="21.140625" style="723" customWidth="1"/>
    <col min="15879" max="15881" width="10.28515625" style="723" customWidth="1"/>
    <col min="15882" max="15882" width="11.5703125" style="723" customWidth="1"/>
    <col min="15883" max="15892" width="10.28515625" style="723" customWidth="1"/>
    <col min="15893" max="15893" width="11" style="723" customWidth="1"/>
    <col min="15894" max="15895" width="10.28515625" style="723" customWidth="1"/>
    <col min="15896" max="15896" width="9" style="723" customWidth="1"/>
    <col min="15897" max="15897" width="9.7109375" style="723" customWidth="1"/>
    <col min="15898" max="15898" width="10" style="723" customWidth="1"/>
    <col min="15899" max="15899" width="9.140625" style="723"/>
    <col min="15900" max="15900" width="10.85546875" style="723" customWidth="1"/>
    <col min="15901" max="15901" width="10.140625" style="723" customWidth="1"/>
    <col min="15902" max="15902" width="9.140625" style="723"/>
    <col min="15903" max="15903" width="10.28515625" style="723" customWidth="1"/>
    <col min="15904" max="15904" width="10.42578125" style="723" customWidth="1"/>
    <col min="15905" max="16128" width="9.140625" style="723"/>
    <col min="16129" max="16129" width="3.7109375" style="723" customWidth="1"/>
    <col min="16130" max="16130" width="13.7109375" style="723" customWidth="1"/>
    <col min="16131" max="16131" width="3.7109375" style="723" customWidth="1"/>
    <col min="16132" max="16132" width="11.7109375" style="723" customWidth="1"/>
    <col min="16133" max="16133" width="30.42578125" style="723" customWidth="1"/>
    <col min="16134" max="16134" width="21.140625" style="723" customWidth="1"/>
    <col min="16135" max="16137" width="10.28515625" style="723" customWidth="1"/>
    <col min="16138" max="16138" width="11.5703125" style="723" customWidth="1"/>
    <col min="16139" max="16148" width="10.28515625" style="723" customWidth="1"/>
    <col min="16149" max="16149" width="11" style="723" customWidth="1"/>
    <col min="16150" max="16151" width="10.28515625" style="723" customWidth="1"/>
    <col min="16152" max="16152" width="9" style="723" customWidth="1"/>
    <col min="16153" max="16153" width="9.7109375" style="723" customWidth="1"/>
    <col min="16154" max="16154" width="10" style="723" customWidth="1"/>
    <col min="16155" max="16155" width="9.140625" style="723"/>
    <col min="16156" max="16156" width="10.85546875" style="723" customWidth="1"/>
    <col min="16157" max="16157" width="10.140625" style="723" customWidth="1"/>
    <col min="16158" max="16158" width="9.140625" style="723"/>
    <col min="16159" max="16159" width="10.28515625" style="723" customWidth="1"/>
    <col min="16160" max="16160" width="10.42578125" style="723" customWidth="1"/>
    <col min="16161" max="16384" width="9.140625" style="723"/>
  </cols>
  <sheetData>
    <row r="1" spans="1:25" x14ac:dyDescent="0.25">
      <c r="A1" s="650"/>
      <c r="B1" s="745"/>
      <c r="C1" s="745"/>
      <c r="D1" s="744"/>
      <c r="E1" s="744"/>
      <c r="F1" s="744"/>
      <c r="G1" s="743"/>
      <c r="H1" s="743"/>
      <c r="I1" s="743"/>
      <c r="J1" s="743"/>
      <c r="K1" s="743"/>
      <c r="L1" s="743"/>
      <c r="M1" s="743"/>
      <c r="N1" s="743"/>
      <c r="O1" s="743"/>
      <c r="P1" s="743"/>
      <c r="Q1" s="743"/>
      <c r="R1" s="743"/>
      <c r="S1" s="765"/>
      <c r="T1" s="742"/>
      <c r="W1" s="764"/>
    </row>
    <row r="2" spans="1:25" ht="15" customHeight="1" x14ac:dyDescent="0.25">
      <c r="A2" s="650">
        <v>1</v>
      </c>
      <c r="B2" s="650" t="s">
        <v>24</v>
      </c>
      <c r="C2" s="650">
        <f>1+[13]Inequality!C2</f>
        <v>24</v>
      </c>
      <c r="D2" s="3726" t="s">
        <v>610</v>
      </c>
      <c r="E2" s="3727"/>
      <c r="F2" s="3727"/>
      <c r="G2" s="3727"/>
      <c r="H2" s="3727"/>
      <c r="I2" s="3727"/>
      <c r="J2" s="3727"/>
      <c r="K2" s="3727"/>
      <c r="L2" s="3727"/>
      <c r="M2" s="3727"/>
      <c r="N2" s="3727"/>
      <c r="O2" s="3727"/>
      <c r="P2" s="3727"/>
      <c r="Q2" s="3727"/>
      <c r="R2" s="3727"/>
      <c r="S2" s="3727"/>
      <c r="T2" s="3727"/>
      <c r="U2" s="3727"/>
      <c r="V2" s="3727"/>
      <c r="W2" s="3728"/>
    </row>
    <row r="3" spans="1:25" ht="12.75" customHeight="1" x14ac:dyDescent="0.25">
      <c r="A3" s="650">
        <v>2</v>
      </c>
      <c r="B3" s="650" t="s">
        <v>26</v>
      </c>
      <c r="C3" s="650"/>
      <c r="D3" s="3553" t="s">
        <v>551</v>
      </c>
      <c r="E3" s="3554"/>
      <c r="F3" s="3554"/>
      <c r="G3" s="3554"/>
      <c r="H3" s="3554"/>
      <c r="I3" s="3554"/>
      <c r="J3" s="3554"/>
      <c r="K3" s="3554"/>
      <c r="L3" s="3554"/>
      <c r="M3" s="3554"/>
      <c r="N3" s="3554"/>
      <c r="O3" s="3554"/>
      <c r="P3" s="3554"/>
      <c r="Q3" s="3554"/>
      <c r="R3" s="3554"/>
      <c r="S3" s="3554"/>
      <c r="T3" s="3554"/>
      <c r="U3" s="3554"/>
      <c r="V3" s="3554"/>
      <c r="W3" s="3555"/>
      <c r="X3" s="58"/>
      <c r="Y3" s="58"/>
    </row>
    <row r="4" spans="1:25" ht="15" customHeight="1" x14ac:dyDescent="0.25">
      <c r="A4" s="650">
        <v>3</v>
      </c>
      <c r="B4" s="650" t="s">
        <v>28</v>
      </c>
      <c r="C4" s="650"/>
      <c r="D4" s="3553" t="s">
        <v>609</v>
      </c>
      <c r="E4" s="3554"/>
      <c r="F4" s="3554"/>
      <c r="G4" s="3554"/>
      <c r="H4" s="3554"/>
      <c r="I4" s="3554"/>
      <c r="J4" s="3554"/>
      <c r="K4" s="3554"/>
      <c r="L4" s="3554"/>
      <c r="M4" s="3554"/>
      <c r="N4" s="3554"/>
      <c r="O4" s="3554"/>
      <c r="P4" s="3554"/>
      <c r="Q4" s="3554"/>
      <c r="R4" s="3554"/>
      <c r="S4" s="3554"/>
      <c r="T4" s="3554"/>
      <c r="U4" s="3554"/>
      <c r="V4" s="3554"/>
      <c r="W4" s="3555"/>
      <c r="X4" s="752"/>
      <c r="Y4" s="58"/>
    </row>
    <row r="5" spans="1:25" ht="15" customHeight="1" x14ac:dyDescent="0.25">
      <c r="A5" s="650"/>
      <c r="B5" s="650"/>
      <c r="C5" s="650"/>
      <c r="D5" s="138"/>
      <c r="E5" s="138"/>
      <c r="F5" s="138"/>
      <c r="G5" s="138"/>
      <c r="H5" s="138"/>
      <c r="I5" s="138"/>
      <c r="J5" s="138"/>
      <c r="K5" s="138"/>
      <c r="L5" s="138"/>
      <c r="M5" s="138"/>
      <c r="N5" s="138"/>
      <c r="O5" s="138"/>
      <c r="P5" s="138"/>
      <c r="Q5" s="138"/>
      <c r="R5" s="138"/>
      <c r="S5" s="138"/>
      <c r="T5" s="138"/>
      <c r="U5" s="138"/>
      <c r="V5" s="138"/>
      <c r="W5" s="138"/>
      <c r="X5" s="752"/>
      <c r="Y5" s="58"/>
    </row>
    <row r="6" spans="1:25" x14ac:dyDescent="0.25">
      <c r="A6" s="650">
        <v>4</v>
      </c>
      <c r="B6" s="650" t="s">
        <v>1</v>
      </c>
      <c r="C6" s="650"/>
      <c r="G6" s="763"/>
      <c r="H6" s="762"/>
      <c r="S6" s="724"/>
      <c r="X6" s="761"/>
      <c r="Y6" s="58"/>
    </row>
    <row r="7" spans="1:25" s="58" customFormat="1" ht="11.25" x14ac:dyDescent="0.2">
      <c r="A7" s="738"/>
      <c r="B7" s="737"/>
      <c r="C7" s="737"/>
      <c r="D7" s="421"/>
      <c r="E7" s="421"/>
      <c r="F7" s="421"/>
      <c r="G7" s="760"/>
      <c r="H7" s="760"/>
      <c r="I7" s="2471"/>
      <c r="J7" s="760"/>
      <c r="K7" s="760"/>
      <c r="L7" s="759"/>
      <c r="M7" s="759"/>
      <c r="N7" s="2471"/>
      <c r="O7" s="760"/>
      <c r="P7" s="759"/>
      <c r="Q7" s="759"/>
      <c r="R7" s="759"/>
      <c r="S7" s="2471"/>
      <c r="T7" s="759"/>
      <c r="U7" s="758"/>
      <c r="V7" s="758"/>
      <c r="W7" s="758"/>
      <c r="Y7" s="758"/>
    </row>
    <row r="8" spans="1:25" s="751" customFormat="1" ht="11.25" x14ac:dyDescent="0.2">
      <c r="A8" s="738"/>
      <c r="B8" s="737"/>
      <c r="C8" s="737" t="s">
        <v>326</v>
      </c>
      <c r="D8" s="173"/>
      <c r="E8" s="655"/>
      <c r="F8" s="757"/>
      <c r="G8" s="757"/>
      <c r="H8" s="757"/>
      <c r="I8" s="757"/>
      <c r="J8" s="757"/>
      <c r="L8" s="757"/>
      <c r="M8" s="756"/>
      <c r="N8" s="756"/>
      <c r="O8" s="756"/>
      <c r="P8" s="756"/>
      <c r="Q8" s="755"/>
      <c r="W8" s="58"/>
      <c r="X8" s="758"/>
    </row>
    <row r="9" spans="1:25" s="751" customFormat="1" ht="21.6" customHeight="1" x14ac:dyDescent="0.2">
      <c r="A9" s="738"/>
      <c r="B9" s="737"/>
      <c r="C9" s="737"/>
      <c r="D9" s="173" t="s">
        <v>31</v>
      </c>
      <c r="E9" s="74" t="s">
        <v>608</v>
      </c>
      <c r="F9" s="754"/>
      <c r="G9" s="754"/>
      <c r="H9" s="754"/>
      <c r="I9" s="754"/>
      <c r="J9" s="754"/>
      <c r="K9" s="3732"/>
      <c r="L9" s="3732"/>
      <c r="M9" s="3732"/>
      <c r="N9" s="3732"/>
      <c r="O9" s="3732"/>
      <c r="P9" s="3732"/>
      <c r="Q9" s="1477"/>
      <c r="W9" s="58"/>
      <c r="X9" s="758"/>
    </row>
    <row r="10" spans="1:25" s="751" customFormat="1" ht="16.899999999999999" customHeight="1" x14ac:dyDescent="0.25">
      <c r="A10" s="738"/>
      <c r="B10" s="737"/>
      <c r="C10" s="737"/>
      <c r="D10" s="3351" t="s">
        <v>583</v>
      </c>
      <c r="E10" s="753">
        <v>2006</v>
      </c>
      <c r="F10" s="753">
        <v>2009</v>
      </c>
      <c r="G10" s="3350">
        <v>2011</v>
      </c>
      <c r="H10" s="754"/>
      <c r="I10" s="752"/>
      <c r="J10" s="752"/>
      <c r="K10" s="752"/>
      <c r="L10" s="752"/>
      <c r="M10" s="752"/>
      <c r="N10" s="752"/>
      <c r="O10" s="752"/>
      <c r="P10" s="752"/>
      <c r="Q10" s="752"/>
      <c r="R10" s="1477"/>
      <c r="X10" s="58"/>
      <c r="Y10" s="758"/>
    </row>
    <row r="11" spans="1:25" s="751" customFormat="1" ht="16.899999999999999" customHeight="1" x14ac:dyDescent="0.25">
      <c r="A11" s="738"/>
      <c r="B11" s="737"/>
      <c r="C11" s="737"/>
      <c r="D11" s="3352" t="s">
        <v>415</v>
      </c>
      <c r="E11" s="750">
        <v>69.5</v>
      </c>
      <c r="F11" s="2472">
        <v>70.599999999999994</v>
      </c>
      <c r="G11" s="3355">
        <v>60.8</v>
      </c>
      <c r="H11" s="754"/>
      <c r="I11" s="752"/>
      <c r="J11" s="752"/>
      <c r="K11" s="752"/>
      <c r="L11" s="752"/>
      <c r="M11" s="752"/>
      <c r="N11" s="752"/>
      <c r="O11" s="752"/>
      <c r="P11" s="752"/>
      <c r="Q11" s="752"/>
      <c r="R11" s="1477"/>
      <c r="X11" s="58"/>
      <c r="Y11" s="758"/>
    </row>
    <row r="12" spans="1:25" s="751" customFormat="1" ht="16.899999999999999" customHeight="1" x14ac:dyDescent="0.25">
      <c r="A12" s="738"/>
      <c r="B12" s="737"/>
      <c r="C12" s="737"/>
      <c r="D12" s="3352" t="s">
        <v>417</v>
      </c>
      <c r="E12" s="750">
        <v>53.2</v>
      </c>
      <c r="F12" s="2472">
        <v>61.9</v>
      </c>
      <c r="G12" s="3355">
        <v>41.2</v>
      </c>
      <c r="H12" s="754"/>
      <c r="I12" s="752"/>
      <c r="J12" s="752"/>
      <c r="K12" s="752"/>
      <c r="L12" s="752"/>
      <c r="M12" s="752"/>
      <c r="N12" s="752"/>
      <c r="O12" s="752"/>
      <c r="P12" s="752"/>
      <c r="Q12" s="752"/>
      <c r="R12" s="1477"/>
      <c r="X12" s="58"/>
      <c r="Y12" s="758"/>
    </row>
    <row r="13" spans="1:25" s="751" customFormat="1" ht="16.899999999999999" customHeight="1" x14ac:dyDescent="0.25">
      <c r="A13" s="738"/>
      <c r="B13" s="737"/>
      <c r="C13" s="737"/>
      <c r="D13" s="3352" t="s">
        <v>420</v>
      </c>
      <c r="E13" s="750">
        <v>32.4</v>
      </c>
      <c r="F13" s="2472">
        <v>33</v>
      </c>
      <c r="G13" s="3355">
        <v>22.9</v>
      </c>
      <c r="H13" s="754"/>
      <c r="I13" s="752"/>
      <c r="J13" s="752"/>
      <c r="K13" s="752"/>
      <c r="L13" s="752"/>
      <c r="M13" s="752"/>
      <c r="N13" s="752"/>
      <c r="O13" s="752"/>
      <c r="P13" s="752"/>
      <c r="Q13" s="752"/>
      <c r="R13" s="1477"/>
      <c r="X13" s="58"/>
      <c r="Y13" s="758"/>
    </row>
    <row r="14" spans="1:25" s="751" customFormat="1" ht="16.899999999999999" customHeight="1" x14ac:dyDescent="0.25">
      <c r="A14" s="738"/>
      <c r="B14" s="737"/>
      <c r="C14" s="737"/>
      <c r="D14" s="3352" t="s">
        <v>418</v>
      </c>
      <c r="E14" s="750">
        <v>69.099999999999994</v>
      </c>
      <c r="F14" s="2472">
        <v>65</v>
      </c>
      <c r="G14" s="3355">
        <v>56.6</v>
      </c>
      <c r="H14" s="754"/>
      <c r="I14" s="752"/>
      <c r="J14" s="752"/>
      <c r="K14" s="752"/>
      <c r="L14" s="752"/>
      <c r="M14" s="752"/>
      <c r="N14" s="752"/>
      <c r="O14" s="752"/>
      <c r="P14" s="752"/>
      <c r="Q14" s="752"/>
      <c r="R14" s="1477"/>
      <c r="X14" s="58"/>
      <c r="Y14" s="758"/>
    </row>
    <row r="15" spans="1:25" s="58" customFormat="1" ht="15.75" customHeight="1" x14ac:dyDescent="0.25">
      <c r="A15" s="738"/>
      <c r="B15" s="737"/>
      <c r="C15" s="737"/>
      <c r="D15" s="3352" t="s">
        <v>422</v>
      </c>
      <c r="E15" s="750">
        <v>74.400000000000006</v>
      </c>
      <c r="F15" s="2472">
        <v>78.900000000000006</v>
      </c>
      <c r="G15" s="3355">
        <v>63.8</v>
      </c>
      <c r="H15" s="754"/>
      <c r="I15" s="736"/>
      <c r="J15" s="736"/>
      <c r="K15" s="2483"/>
      <c r="L15" s="736"/>
      <c r="M15" s="2483"/>
      <c r="N15" s="736"/>
      <c r="O15" s="2483"/>
      <c r="P15" s="736"/>
      <c r="Q15" s="2483"/>
      <c r="R15" s="733"/>
      <c r="Y15" s="758"/>
    </row>
    <row r="16" spans="1:25" s="58" customFormat="1" ht="15.75" customHeight="1" x14ac:dyDescent="0.25">
      <c r="A16" s="738"/>
      <c r="B16" s="737"/>
      <c r="C16" s="737"/>
      <c r="D16" s="3352" t="s">
        <v>421</v>
      </c>
      <c r="E16" s="750">
        <v>66.3</v>
      </c>
      <c r="F16" s="2472">
        <v>67.099999999999994</v>
      </c>
      <c r="G16" s="3355">
        <v>52.1</v>
      </c>
      <c r="H16" s="754"/>
      <c r="I16" s="736"/>
      <c r="J16" s="736"/>
      <c r="K16" s="2483"/>
      <c r="L16" s="736"/>
      <c r="M16" s="2483"/>
      <c r="N16" s="736"/>
      <c r="O16" s="2483"/>
      <c r="P16" s="736"/>
      <c r="Q16" s="2483"/>
      <c r="R16" s="733"/>
      <c r="Y16" s="758"/>
    </row>
    <row r="17" spans="1:28" s="58" customFormat="1" ht="15.75" customHeight="1" x14ac:dyDescent="0.25">
      <c r="A17" s="738"/>
      <c r="B17" s="737"/>
      <c r="C17" s="737"/>
      <c r="D17" s="3352" t="s">
        <v>416</v>
      </c>
      <c r="E17" s="750">
        <v>63.8</v>
      </c>
      <c r="F17" s="2472">
        <v>63</v>
      </c>
      <c r="G17" s="3355">
        <v>46.8</v>
      </c>
      <c r="H17" s="754"/>
      <c r="I17" s="736"/>
      <c r="J17" s="736"/>
      <c r="K17" s="2483"/>
      <c r="L17" s="736"/>
      <c r="M17" s="2483"/>
      <c r="N17" s="736"/>
      <c r="O17" s="2483"/>
      <c r="P17" s="736"/>
      <c r="Q17" s="2483"/>
      <c r="R17" s="733"/>
      <c r="Y17" s="758"/>
    </row>
    <row r="18" spans="1:28" s="58" customFormat="1" ht="15.75" customHeight="1" x14ac:dyDescent="0.25">
      <c r="A18" s="738"/>
      <c r="B18" s="737"/>
      <c r="C18" s="737"/>
      <c r="D18" s="3352" t="s">
        <v>419</v>
      </c>
      <c r="E18" s="750">
        <v>60.2</v>
      </c>
      <c r="F18" s="2472">
        <v>61.4</v>
      </c>
      <c r="G18" s="3355">
        <v>50.5</v>
      </c>
      <c r="H18" s="754"/>
      <c r="I18" s="736"/>
      <c r="J18" s="736"/>
      <c r="K18" s="2483"/>
      <c r="L18" s="736"/>
      <c r="M18" s="2483"/>
      <c r="N18" s="736"/>
      <c r="O18" s="2483"/>
      <c r="P18" s="736"/>
      <c r="Q18" s="2483"/>
      <c r="R18" s="733"/>
      <c r="Y18" s="758"/>
    </row>
    <row r="19" spans="1:28" s="58" customFormat="1" ht="15.75" customHeight="1" x14ac:dyDescent="0.25">
      <c r="A19" s="738"/>
      <c r="B19" s="737"/>
      <c r="C19" s="737"/>
      <c r="D19" s="3352" t="s">
        <v>414</v>
      </c>
      <c r="E19" s="750">
        <v>36.9</v>
      </c>
      <c r="F19" s="2472">
        <v>35.4</v>
      </c>
      <c r="G19" s="3355">
        <v>24.7</v>
      </c>
      <c r="H19" s="754"/>
      <c r="I19" s="736"/>
      <c r="J19" s="736"/>
      <c r="K19" s="2483"/>
      <c r="L19" s="736"/>
      <c r="M19" s="2483"/>
      <c r="N19" s="736"/>
      <c r="O19" s="2483"/>
      <c r="P19" s="736"/>
      <c r="Q19" s="2483"/>
      <c r="R19" s="733"/>
      <c r="Y19" s="758"/>
    </row>
    <row r="20" spans="1:28" s="746" customFormat="1" ht="16.5" customHeight="1" x14ac:dyDescent="0.25">
      <c r="A20" s="738"/>
      <c r="B20" s="749"/>
      <c r="C20" s="749"/>
      <c r="D20" s="3353" t="s">
        <v>261</v>
      </c>
      <c r="E20" s="2473">
        <v>57.2</v>
      </c>
      <c r="F20" s="2473">
        <v>56.8</v>
      </c>
      <c r="G20" s="3349">
        <v>45.5</v>
      </c>
      <c r="H20" s="754"/>
      <c r="I20" s="741"/>
      <c r="J20" s="741"/>
      <c r="K20" s="2484"/>
      <c r="L20" s="741"/>
      <c r="M20" s="2484"/>
      <c r="N20" s="741"/>
      <c r="O20" s="2484"/>
      <c r="P20" s="741"/>
      <c r="Q20" s="2484"/>
      <c r="R20" s="748"/>
      <c r="X20" s="747"/>
      <c r="Y20" s="747"/>
    </row>
    <row r="21" spans="1:28" ht="15.75" x14ac:dyDescent="0.25">
      <c r="A21" s="650"/>
      <c r="B21" s="745"/>
      <c r="C21" s="745"/>
      <c r="D21" s="744"/>
      <c r="E21" s="744"/>
      <c r="F21" s="743"/>
      <c r="G21" s="743"/>
      <c r="H21" s="743"/>
      <c r="I21" s="723"/>
      <c r="J21" s="723"/>
      <c r="K21" s="723"/>
      <c r="L21" s="723"/>
      <c r="M21" s="723"/>
      <c r="N21" s="723"/>
      <c r="O21" s="723"/>
      <c r="P21" s="723"/>
      <c r="Q21" s="723"/>
      <c r="R21" s="723"/>
      <c r="S21" s="742"/>
      <c r="T21" s="742"/>
      <c r="U21" s="742"/>
      <c r="V21" s="742"/>
      <c r="W21" s="723"/>
      <c r="Z21" s="2485"/>
      <c r="AA21" s="2486"/>
      <c r="AB21" s="2487"/>
    </row>
    <row r="22" spans="1:28" ht="15.75" x14ac:dyDescent="0.25">
      <c r="A22" s="650"/>
      <c r="B22" s="745"/>
      <c r="C22" s="745"/>
      <c r="D22" s="744"/>
      <c r="E22" s="744"/>
      <c r="F22" s="743"/>
      <c r="G22" s="743"/>
      <c r="H22" s="743"/>
      <c r="I22" s="723"/>
      <c r="J22" s="723"/>
      <c r="K22" s="723"/>
      <c r="L22" s="723"/>
      <c r="M22" s="723"/>
      <c r="N22" s="723"/>
      <c r="O22" s="723"/>
      <c r="P22" s="723"/>
      <c r="Q22" s="723"/>
      <c r="R22" s="723"/>
      <c r="S22" s="742"/>
      <c r="T22" s="742"/>
      <c r="U22" s="742"/>
      <c r="V22" s="742"/>
      <c r="W22" s="723"/>
      <c r="Z22" s="2485"/>
      <c r="AA22" s="2486"/>
      <c r="AB22" s="2487"/>
    </row>
    <row r="23" spans="1:28" ht="15.75" x14ac:dyDescent="0.25">
      <c r="A23" s="650"/>
      <c r="B23" s="745"/>
      <c r="C23" s="745"/>
      <c r="D23" s="744"/>
      <c r="E23" s="744"/>
      <c r="F23" s="743"/>
      <c r="G23" s="743"/>
      <c r="H23" s="743"/>
      <c r="I23" s="723"/>
      <c r="J23" s="723"/>
      <c r="K23" s="723"/>
      <c r="L23" s="723"/>
      <c r="M23" s="723"/>
      <c r="N23" s="723"/>
      <c r="O23" s="723"/>
      <c r="P23" s="723"/>
      <c r="Q23" s="723"/>
      <c r="R23" s="723"/>
      <c r="S23" s="742"/>
      <c r="T23" s="742"/>
      <c r="U23" s="742"/>
      <c r="V23" s="742"/>
      <c r="W23" s="723"/>
      <c r="Z23" s="2485"/>
      <c r="AA23" s="2486"/>
      <c r="AB23" s="2487"/>
    </row>
    <row r="24" spans="1:28" ht="15.75" x14ac:dyDescent="0.25">
      <c r="A24" s="650"/>
      <c r="B24" s="745"/>
      <c r="C24" s="745"/>
      <c r="D24" s="744"/>
      <c r="E24" s="744"/>
      <c r="F24" s="743"/>
      <c r="G24" s="743"/>
      <c r="H24" s="743"/>
      <c r="I24" s="723"/>
      <c r="J24" s="723"/>
      <c r="K24" s="723"/>
      <c r="L24" s="723"/>
      <c r="M24" s="723"/>
      <c r="N24" s="723"/>
      <c r="O24" s="723"/>
      <c r="P24" s="723"/>
      <c r="Q24" s="723"/>
      <c r="R24" s="723"/>
      <c r="S24" s="742"/>
      <c r="T24" s="742"/>
      <c r="U24" s="742"/>
      <c r="V24" s="742"/>
      <c r="W24" s="723"/>
      <c r="Z24" s="2485"/>
      <c r="AA24" s="2486"/>
      <c r="AB24" s="2487"/>
    </row>
    <row r="25" spans="1:28" ht="15.75" x14ac:dyDescent="0.25">
      <c r="A25" s="650"/>
      <c r="B25" s="745"/>
      <c r="C25" s="745"/>
      <c r="D25" s="744"/>
      <c r="E25" s="744"/>
      <c r="F25" s="743"/>
      <c r="G25" s="743"/>
      <c r="H25" s="743"/>
      <c r="I25" s="723"/>
      <c r="J25" s="723"/>
      <c r="K25" s="723"/>
      <c r="L25" s="723"/>
      <c r="M25" s="723"/>
      <c r="N25" s="723"/>
      <c r="O25" s="723"/>
      <c r="P25" s="723"/>
      <c r="Q25" s="723"/>
      <c r="R25" s="723"/>
      <c r="S25" s="742"/>
      <c r="T25" s="742"/>
      <c r="U25" s="742"/>
      <c r="V25" s="742"/>
      <c r="W25" s="723"/>
      <c r="Z25" s="2485"/>
      <c r="AA25" s="2486"/>
      <c r="AB25" s="2487"/>
    </row>
    <row r="26" spans="1:28" ht="15.75" x14ac:dyDescent="0.25">
      <c r="A26" s="650"/>
      <c r="B26" s="745"/>
      <c r="C26" s="745"/>
      <c r="D26" s="744"/>
      <c r="E26" s="744"/>
      <c r="F26" s="743"/>
      <c r="G26" s="743"/>
      <c r="H26" s="743"/>
      <c r="I26" s="723"/>
      <c r="J26" s="723"/>
      <c r="K26" s="723"/>
      <c r="L26" s="723"/>
      <c r="M26" s="723"/>
      <c r="N26" s="723"/>
      <c r="O26" s="723"/>
      <c r="P26" s="723"/>
      <c r="Q26" s="723"/>
      <c r="R26" s="723"/>
      <c r="S26" s="742"/>
      <c r="T26" s="742"/>
      <c r="U26" s="742"/>
      <c r="V26" s="742"/>
      <c r="W26" s="723"/>
      <c r="Z26" s="2485"/>
      <c r="AA26" s="2486"/>
      <c r="AB26" s="2487"/>
    </row>
    <row r="27" spans="1:28" ht="15.75" x14ac:dyDescent="0.25">
      <c r="A27" s="650"/>
      <c r="B27" s="745"/>
      <c r="C27" s="745"/>
      <c r="D27" s="744"/>
      <c r="E27" s="744"/>
      <c r="F27" s="743"/>
      <c r="G27" s="743"/>
      <c r="H27" s="743"/>
      <c r="I27" s="723"/>
      <c r="J27" s="723"/>
      <c r="K27" s="723"/>
      <c r="L27" s="723"/>
      <c r="M27" s="723"/>
      <c r="N27" s="723"/>
      <c r="O27" s="723"/>
      <c r="P27" s="723"/>
      <c r="Q27" s="723"/>
      <c r="R27" s="723"/>
      <c r="S27" s="742"/>
      <c r="T27" s="742"/>
      <c r="U27" s="742"/>
      <c r="V27" s="742"/>
      <c r="W27" s="723"/>
      <c r="Z27" s="2485"/>
      <c r="AA27" s="2486"/>
      <c r="AB27" s="2487"/>
    </row>
    <row r="28" spans="1:28" ht="15.75" x14ac:dyDescent="0.25">
      <c r="A28" s="650"/>
      <c r="B28" s="745"/>
      <c r="C28" s="745"/>
      <c r="D28" s="744"/>
      <c r="E28" s="744"/>
      <c r="F28" s="743"/>
      <c r="G28" s="743"/>
      <c r="H28" s="743"/>
      <c r="I28" s="723"/>
      <c r="J28" s="723"/>
      <c r="K28" s="723"/>
      <c r="L28" s="723"/>
      <c r="M28" s="723"/>
      <c r="N28" s="723"/>
      <c r="O28" s="723"/>
      <c r="P28" s="723"/>
      <c r="Q28" s="723"/>
      <c r="R28" s="723"/>
      <c r="S28" s="742"/>
      <c r="T28" s="742"/>
      <c r="U28" s="742"/>
      <c r="V28" s="742"/>
      <c r="W28" s="723"/>
      <c r="Z28" s="2485"/>
      <c r="AA28" s="2486"/>
      <c r="AB28" s="2487"/>
    </row>
    <row r="29" spans="1:28" ht="15.75" x14ac:dyDescent="0.25">
      <c r="A29" s="650"/>
      <c r="B29" s="745"/>
      <c r="C29" s="745"/>
      <c r="D29" s="744"/>
      <c r="E29" s="744"/>
      <c r="F29" s="743"/>
      <c r="G29" s="743"/>
      <c r="H29" s="743"/>
      <c r="I29" s="723"/>
      <c r="J29" s="723"/>
      <c r="K29" s="723"/>
      <c r="L29" s="723"/>
      <c r="M29" s="723"/>
      <c r="N29" s="723"/>
      <c r="O29" s="723"/>
      <c r="P29" s="723"/>
      <c r="Q29" s="723"/>
      <c r="R29" s="723"/>
      <c r="S29" s="742"/>
      <c r="T29" s="742"/>
      <c r="U29" s="742"/>
      <c r="V29" s="742"/>
      <c r="W29" s="723"/>
      <c r="Z29" s="2485"/>
      <c r="AA29" s="2486"/>
      <c r="AB29" s="2487"/>
    </row>
    <row r="30" spans="1:28" ht="15.75" x14ac:dyDescent="0.25">
      <c r="A30" s="650"/>
      <c r="B30" s="745"/>
      <c r="C30" s="745"/>
      <c r="D30" s="744"/>
      <c r="E30" s="744"/>
      <c r="F30" s="743"/>
      <c r="G30" s="743"/>
      <c r="H30" s="743"/>
      <c r="I30" s="723"/>
      <c r="J30" s="723"/>
      <c r="K30" s="723"/>
      <c r="L30" s="723"/>
      <c r="M30" s="723"/>
      <c r="N30" s="723"/>
      <c r="O30" s="723"/>
      <c r="P30" s="723"/>
      <c r="Q30" s="723"/>
      <c r="R30" s="723"/>
      <c r="S30" s="742"/>
      <c r="T30" s="742"/>
      <c r="U30" s="742"/>
      <c r="V30" s="742"/>
      <c r="W30" s="723"/>
      <c r="Z30" s="2485"/>
      <c r="AA30" s="2486"/>
      <c r="AB30" s="2487"/>
    </row>
    <row r="31" spans="1:28" ht="15.75" x14ac:dyDescent="0.25">
      <c r="A31" s="650"/>
      <c r="B31" s="745"/>
      <c r="C31" s="745"/>
      <c r="D31" s="744"/>
      <c r="E31" s="744"/>
      <c r="F31" s="743"/>
      <c r="G31" s="743"/>
      <c r="H31" s="743"/>
      <c r="I31" s="723"/>
      <c r="J31" s="723"/>
      <c r="K31" s="723"/>
      <c r="L31" s="723"/>
      <c r="M31" s="723"/>
      <c r="N31" s="723"/>
      <c r="O31" s="723"/>
      <c r="P31" s="723"/>
      <c r="Q31" s="723"/>
      <c r="R31" s="723"/>
      <c r="S31" s="742"/>
      <c r="T31" s="742"/>
      <c r="U31" s="742"/>
      <c r="V31" s="742"/>
      <c r="W31" s="723"/>
      <c r="Z31" s="2485"/>
      <c r="AA31" s="2486"/>
      <c r="AB31" s="2487"/>
    </row>
    <row r="32" spans="1:28" ht="15.75" x14ac:dyDescent="0.25">
      <c r="A32" s="650"/>
      <c r="B32" s="745"/>
      <c r="C32" s="745"/>
      <c r="D32" s="744"/>
      <c r="E32" s="744"/>
      <c r="F32" s="743"/>
      <c r="G32" s="743"/>
      <c r="H32" s="743"/>
      <c r="I32" s="723"/>
      <c r="J32" s="723"/>
      <c r="K32" s="723"/>
      <c r="L32" s="723"/>
      <c r="M32" s="723"/>
      <c r="N32" s="723"/>
      <c r="O32" s="723"/>
      <c r="P32" s="723"/>
      <c r="Q32" s="723"/>
      <c r="R32" s="723"/>
      <c r="S32" s="742"/>
      <c r="T32" s="742"/>
      <c r="U32" s="742"/>
      <c r="V32" s="742"/>
      <c r="W32" s="723"/>
      <c r="Z32" s="2485"/>
      <c r="AA32" s="2486"/>
      <c r="AB32" s="2487"/>
    </row>
    <row r="33" spans="1:31" ht="15.75" x14ac:dyDescent="0.25">
      <c r="A33" s="650"/>
      <c r="B33" s="745"/>
      <c r="C33" s="745"/>
      <c r="D33" s="744"/>
      <c r="E33" s="744"/>
      <c r="F33" s="743"/>
      <c r="G33" s="743"/>
      <c r="H33" s="743"/>
      <c r="I33" s="723"/>
      <c r="J33" s="723"/>
      <c r="K33" s="723"/>
      <c r="L33" s="723"/>
      <c r="M33" s="723"/>
      <c r="N33" s="723"/>
      <c r="O33" s="723"/>
      <c r="P33" s="723"/>
      <c r="Q33" s="723"/>
      <c r="R33" s="723"/>
      <c r="S33" s="742"/>
      <c r="T33" s="742"/>
      <c r="U33" s="742"/>
      <c r="V33" s="742"/>
      <c r="W33" s="723"/>
      <c r="Z33" s="2485"/>
      <c r="AA33" s="2486"/>
      <c r="AB33" s="2487"/>
    </row>
    <row r="34" spans="1:31" s="58" customFormat="1" ht="16.5" customHeight="1" x14ac:dyDescent="0.25">
      <c r="A34" s="738"/>
      <c r="B34" s="737"/>
      <c r="C34" s="737"/>
      <c r="D34" s="438"/>
      <c r="E34" s="741"/>
      <c r="F34" s="2484"/>
      <c r="G34" s="741"/>
      <c r="H34" s="741"/>
      <c r="I34" s="741"/>
      <c r="J34" s="2484"/>
      <c r="K34" s="740"/>
      <c r="L34" s="739"/>
      <c r="M34" s="740"/>
      <c r="N34" s="739"/>
      <c r="O34" s="740"/>
      <c r="P34" s="739"/>
      <c r="Q34" s="733"/>
      <c r="W34" s="723"/>
      <c r="X34" s="723"/>
    </row>
    <row r="35" spans="1:31" s="58" customFormat="1" ht="16.5" customHeight="1" x14ac:dyDescent="0.25">
      <c r="A35" s="738"/>
      <c r="B35" s="737"/>
      <c r="C35" s="737"/>
      <c r="D35" s="438"/>
      <c r="E35" s="736"/>
      <c r="F35" s="701"/>
      <c r="G35" s="736"/>
      <c r="H35" s="736"/>
      <c r="I35" s="701"/>
      <c r="J35" s="736"/>
      <c r="K35" s="731"/>
      <c r="L35" s="734"/>
      <c r="M35" s="730"/>
      <c r="N35" s="735"/>
      <c r="O35" s="734"/>
      <c r="P35" s="731"/>
      <c r="Q35" s="733"/>
      <c r="W35" s="723"/>
      <c r="X35" s="723"/>
    </row>
    <row r="36" spans="1:31" ht="12" customHeight="1" x14ac:dyDescent="0.25">
      <c r="D36" s="438"/>
      <c r="E36" s="732"/>
      <c r="F36" s="2488"/>
      <c r="G36" s="732"/>
      <c r="H36" s="732"/>
      <c r="I36" s="2488"/>
      <c r="J36" s="732"/>
      <c r="K36" s="731"/>
      <c r="L36" s="2488"/>
      <c r="M36" s="730"/>
      <c r="N36" s="731"/>
      <c r="O36" s="2488"/>
      <c r="P36" s="730"/>
      <c r="Q36" s="731"/>
      <c r="R36" s="2488"/>
      <c r="S36" s="730"/>
      <c r="T36" s="731"/>
      <c r="U36" s="2488"/>
      <c r="V36" s="730"/>
      <c r="W36" s="84"/>
      <c r="X36" s="727"/>
      <c r="Y36" s="730"/>
      <c r="Z36" s="731"/>
      <c r="AA36" s="2489"/>
      <c r="AB36" s="730"/>
      <c r="AC36" s="731"/>
      <c r="AD36" s="2489"/>
      <c r="AE36" s="730"/>
    </row>
    <row r="37" spans="1:31" ht="15.75" customHeight="1" x14ac:dyDescent="0.25">
      <c r="A37" s="650">
        <v>5</v>
      </c>
      <c r="B37" s="650" t="s">
        <v>78</v>
      </c>
      <c r="C37" s="687"/>
      <c r="D37" s="3729" t="s">
        <v>607</v>
      </c>
      <c r="E37" s="3730"/>
      <c r="F37" s="3730"/>
      <c r="G37" s="3730"/>
      <c r="H37" s="3730"/>
      <c r="I37" s="3730"/>
      <c r="J37" s="3730"/>
      <c r="K37" s="3730"/>
      <c r="L37" s="3730"/>
      <c r="M37" s="3730"/>
      <c r="N37" s="3730"/>
      <c r="O37" s="3730"/>
      <c r="P37" s="3730"/>
      <c r="Q37" s="3730"/>
      <c r="R37" s="3730"/>
      <c r="S37" s="3730"/>
      <c r="T37" s="3730"/>
      <c r="U37" s="3730"/>
      <c r="V37" s="3730"/>
      <c r="W37" s="3731"/>
      <c r="X37" s="84"/>
      <c r="Y37" s="727"/>
      <c r="AA37" s="2487"/>
      <c r="AB37" s="2490"/>
      <c r="AC37" s="2487"/>
    </row>
    <row r="38" spans="1:31" ht="18.600000000000001" customHeight="1" x14ac:dyDescent="0.25">
      <c r="A38" s="687">
        <v>6</v>
      </c>
      <c r="B38" s="687" t="s">
        <v>80</v>
      </c>
      <c r="C38" s="650"/>
      <c r="D38" s="3729" t="s">
        <v>606</v>
      </c>
      <c r="E38" s="3730"/>
      <c r="F38" s="3730"/>
      <c r="G38" s="3730"/>
      <c r="H38" s="3730"/>
      <c r="I38" s="3730"/>
      <c r="J38" s="3730"/>
      <c r="K38" s="3730"/>
      <c r="L38" s="3730"/>
      <c r="M38" s="3730"/>
      <c r="N38" s="3730"/>
      <c r="O38" s="3730"/>
      <c r="P38" s="3730"/>
      <c r="Q38" s="3730"/>
      <c r="R38" s="3730"/>
      <c r="S38" s="3730"/>
      <c r="T38" s="3730"/>
      <c r="U38" s="3730"/>
      <c r="V38" s="3730"/>
      <c r="W38" s="3731"/>
      <c r="Y38" s="727"/>
      <c r="AA38" s="2487"/>
      <c r="AB38" s="2490"/>
      <c r="AC38" s="2487"/>
    </row>
    <row r="39" spans="1:31" ht="45" customHeight="1" x14ac:dyDescent="0.25">
      <c r="A39" s="650">
        <v>7</v>
      </c>
      <c r="B39" s="650" t="s">
        <v>20</v>
      </c>
      <c r="C39" s="722"/>
      <c r="D39" s="3729" t="s">
        <v>605</v>
      </c>
      <c r="E39" s="3730"/>
      <c r="F39" s="3730"/>
      <c r="G39" s="3730"/>
      <c r="H39" s="3730"/>
      <c r="I39" s="3730"/>
      <c r="J39" s="3730"/>
      <c r="K39" s="3730"/>
      <c r="L39" s="3730"/>
      <c r="M39" s="3730"/>
      <c r="N39" s="3730"/>
      <c r="O39" s="3730"/>
      <c r="P39" s="3730"/>
      <c r="Q39" s="3730"/>
      <c r="R39" s="3730"/>
      <c r="S39" s="3730"/>
      <c r="T39" s="3730"/>
      <c r="U39" s="3730"/>
      <c r="V39" s="3730"/>
      <c r="W39" s="3731"/>
      <c r="AA39" s="2487"/>
      <c r="AB39" s="2490"/>
      <c r="AC39" s="2487"/>
      <c r="AD39" s="58"/>
    </row>
    <row r="40" spans="1:31" ht="37.15" customHeight="1" x14ac:dyDescent="0.25">
      <c r="A40" s="650">
        <v>8</v>
      </c>
      <c r="B40" s="729" t="s">
        <v>604</v>
      </c>
      <c r="C40" s="722"/>
      <c r="D40" s="3729" t="s">
        <v>603</v>
      </c>
      <c r="E40" s="3730"/>
      <c r="F40" s="3730"/>
      <c r="G40" s="3730"/>
      <c r="H40" s="3730"/>
      <c r="I40" s="3730"/>
      <c r="J40" s="3730"/>
      <c r="K40" s="3730"/>
      <c r="L40" s="3730"/>
      <c r="M40" s="3730"/>
      <c r="N40" s="3730"/>
      <c r="O40" s="3730"/>
      <c r="P40" s="3730"/>
      <c r="Q40" s="3730"/>
      <c r="R40" s="3730"/>
      <c r="S40" s="3730"/>
      <c r="T40" s="3730"/>
      <c r="U40" s="3730"/>
      <c r="V40" s="3730"/>
      <c r="W40" s="3731"/>
      <c r="AA40" s="2487"/>
      <c r="AB40" s="2490"/>
      <c r="AC40" s="2487"/>
    </row>
    <row r="41" spans="1:31" ht="15.75" x14ac:dyDescent="0.25">
      <c r="A41" s="728"/>
      <c r="B41" s="728"/>
      <c r="C41" s="728"/>
      <c r="D41" s="138"/>
      <c r="E41" s="138"/>
      <c r="F41" s="138"/>
      <c r="G41" s="138"/>
      <c r="H41" s="138"/>
      <c r="I41" s="138"/>
      <c r="J41" s="138"/>
      <c r="K41" s="138"/>
      <c r="L41" s="138"/>
      <c r="M41" s="138"/>
      <c r="N41" s="138"/>
      <c r="O41" s="138"/>
      <c r="P41" s="138"/>
      <c r="Q41" s="138"/>
      <c r="R41" s="138"/>
      <c r="S41" s="138"/>
      <c r="T41" s="138"/>
      <c r="U41" s="138"/>
      <c r="V41" s="138"/>
      <c r="W41" s="138"/>
      <c r="AA41" s="2487"/>
      <c r="AB41" s="2490"/>
      <c r="AC41" s="2487"/>
    </row>
    <row r="42" spans="1:31" ht="15.75" x14ac:dyDescent="0.25">
      <c r="A42" s="650"/>
      <c r="B42" s="728"/>
      <c r="C42" s="728"/>
      <c r="D42" s="138"/>
      <c r="E42" s="138"/>
      <c r="F42" s="138"/>
      <c r="G42" s="138"/>
      <c r="H42" s="138"/>
      <c r="I42" s="138"/>
      <c r="J42" s="138"/>
      <c r="K42" s="138"/>
      <c r="L42" s="138"/>
      <c r="M42" s="138"/>
      <c r="N42" s="138"/>
      <c r="O42" s="138"/>
      <c r="P42" s="138"/>
      <c r="Q42" s="138"/>
      <c r="R42" s="138"/>
      <c r="S42" s="138"/>
      <c r="T42" s="138"/>
      <c r="U42" s="138"/>
      <c r="V42" s="138"/>
      <c r="W42" s="138"/>
      <c r="Z42" s="727"/>
      <c r="AA42" s="2487"/>
      <c r="AB42" s="2490"/>
      <c r="AC42" s="2487"/>
    </row>
  </sheetData>
  <mergeCells count="8">
    <mergeCell ref="D2:W2"/>
    <mergeCell ref="D39:W39"/>
    <mergeCell ref="D40:W40"/>
    <mergeCell ref="D3:W3"/>
    <mergeCell ref="D4:W4"/>
    <mergeCell ref="K9:P9"/>
    <mergeCell ref="D37:W37"/>
    <mergeCell ref="D38:W38"/>
  </mergeCells>
  <pageMargins left="0.74803149606299213" right="0.74803149606299213" top="0.98425196850393704" bottom="0.98425196850393704" header="0.51181102362204722" footer="0.51181102362204722"/>
  <pageSetup paperSize="9" scale="5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P58"/>
  <sheetViews>
    <sheetView showGridLines="0" view="pageBreakPreview" topLeftCell="A31" zoomScaleNormal="100" zoomScaleSheetLayoutView="100" workbookViewId="0">
      <selection activeCell="J14" sqref="J14"/>
    </sheetView>
  </sheetViews>
  <sheetFormatPr defaultColWidth="9.140625" defaultRowHeight="15" x14ac:dyDescent="0.25"/>
  <cols>
    <col min="1" max="1" width="3.7109375" style="686" customWidth="1"/>
    <col min="2" max="2" width="14.42578125" style="726" customWidth="1"/>
    <col min="3" max="3" width="3.42578125" style="726" customWidth="1"/>
    <col min="4" max="4" width="14.28515625" style="723" customWidth="1"/>
    <col min="5" max="5" width="10.5703125" style="723" customWidth="1"/>
    <col min="6" max="6" width="9.28515625" style="723" customWidth="1"/>
    <col min="7" max="12" width="9.42578125" style="723" customWidth="1"/>
    <col min="13" max="239" width="9.140625" style="723"/>
    <col min="240" max="240" width="3.7109375" style="723" customWidth="1"/>
    <col min="241" max="241" width="14.42578125" style="723" customWidth="1"/>
    <col min="242" max="242" width="6.5703125" style="723" customWidth="1"/>
    <col min="243" max="243" width="23.85546875" style="723" customWidth="1"/>
    <col min="244" max="244" width="6.28515625" style="723" customWidth="1"/>
    <col min="245" max="257" width="5.42578125" style="723" customWidth="1"/>
    <col min="258" max="258" width="6.42578125" style="723" customWidth="1"/>
    <col min="259" max="259" width="6.28515625" style="723" customWidth="1"/>
    <col min="260" max="260" width="12.85546875" style="723" bestFit="1" customWidth="1"/>
    <col min="261" max="261" width="13.42578125" style="723" bestFit="1" customWidth="1"/>
    <col min="262" max="262" width="6.7109375" style="723" customWidth="1"/>
    <col min="263" max="263" width="10.5703125" style="723" customWidth="1"/>
    <col min="264" max="264" width="10.140625" style="723" customWidth="1"/>
    <col min="265" max="495" width="9.140625" style="723"/>
    <col min="496" max="496" width="3.7109375" style="723" customWidth="1"/>
    <col min="497" max="497" width="14.42578125" style="723" customWidth="1"/>
    <col min="498" max="498" width="6.5703125" style="723" customWidth="1"/>
    <col min="499" max="499" width="23.85546875" style="723" customWidth="1"/>
    <col min="500" max="500" width="6.28515625" style="723" customWidth="1"/>
    <col min="501" max="513" width="5.42578125" style="723" customWidth="1"/>
    <col min="514" max="514" width="6.42578125" style="723" customWidth="1"/>
    <col min="515" max="515" width="6.28515625" style="723" customWidth="1"/>
    <col min="516" max="516" width="12.85546875" style="723" bestFit="1" customWidth="1"/>
    <col min="517" max="517" width="13.42578125" style="723" bestFit="1" customWidth="1"/>
    <col min="518" max="518" width="6.7109375" style="723" customWidth="1"/>
    <col min="519" max="519" width="10.5703125" style="723" customWidth="1"/>
    <col min="520" max="520" width="10.140625" style="723" customWidth="1"/>
    <col min="521" max="751" width="9.140625" style="723"/>
    <col min="752" max="752" width="3.7109375" style="723" customWidth="1"/>
    <col min="753" max="753" width="14.42578125" style="723" customWidth="1"/>
    <col min="754" max="754" width="6.5703125" style="723" customWidth="1"/>
    <col min="755" max="755" width="23.85546875" style="723" customWidth="1"/>
    <col min="756" max="756" width="6.28515625" style="723" customWidth="1"/>
    <col min="757" max="769" width="5.42578125" style="723" customWidth="1"/>
    <col min="770" max="770" width="6.42578125" style="723" customWidth="1"/>
    <col min="771" max="771" width="6.28515625" style="723" customWidth="1"/>
    <col min="772" max="772" width="12.85546875" style="723" bestFit="1" customWidth="1"/>
    <col min="773" max="773" width="13.42578125" style="723" bestFit="1" customWidth="1"/>
    <col min="774" max="774" width="6.7109375" style="723" customWidth="1"/>
    <col min="775" max="775" width="10.5703125" style="723" customWidth="1"/>
    <col min="776" max="776" width="10.140625" style="723" customWidth="1"/>
    <col min="777" max="1007" width="9.140625" style="723"/>
    <col min="1008" max="1008" width="3.7109375" style="723" customWidth="1"/>
    <col min="1009" max="1009" width="14.42578125" style="723" customWidth="1"/>
    <col min="1010" max="1010" width="6.5703125" style="723" customWidth="1"/>
    <col min="1011" max="1011" width="23.85546875" style="723" customWidth="1"/>
    <col min="1012" max="1012" width="6.28515625" style="723" customWidth="1"/>
    <col min="1013" max="1025" width="5.42578125" style="723" customWidth="1"/>
    <col min="1026" max="1026" width="6.42578125" style="723" customWidth="1"/>
    <col min="1027" max="1027" width="6.28515625" style="723" customWidth="1"/>
    <col min="1028" max="1028" width="12.85546875" style="723" bestFit="1" customWidth="1"/>
    <col min="1029" max="1029" width="13.42578125" style="723" bestFit="1" customWidth="1"/>
    <col min="1030" max="1030" width="6.7109375" style="723" customWidth="1"/>
    <col min="1031" max="1031" width="10.5703125" style="723" customWidth="1"/>
    <col min="1032" max="1032" width="10.140625" style="723" customWidth="1"/>
    <col min="1033" max="1263" width="9.140625" style="723"/>
    <col min="1264" max="1264" width="3.7109375" style="723" customWidth="1"/>
    <col min="1265" max="1265" width="14.42578125" style="723" customWidth="1"/>
    <col min="1266" max="1266" width="6.5703125" style="723" customWidth="1"/>
    <col min="1267" max="1267" width="23.85546875" style="723" customWidth="1"/>
    <col min="1268" max="1268" width="6.28515625" style="723" customWidth="1"/>
    <col min="1269" max="1281" width="5.42578125" style="723" customWidth="1"/>
    <col min="1282" max="1282" width="6.42578125" style="723" customWidth="1"/>
    <col min="1283" max="1283" width="6.28515625" style="723" customWidth="1"/>
    <col min="1284" max="1284" width="12.85546875" style="723" bestFit="1" customWidth="1"/>
    <col min="1285" max="1285" width="13.42578125" style="723" bestFit="1" customWidth="1"/>
    <col min="1286" max="1286" width="6.7109375" style="723" customWidth="1"/>
    <col min="1287" max="1287" width="10.5703125" style="723" customWidth="1"/>
    <col min="1288" max="1288" width="10.140625" style="723" customWidth="1"/>
    <col min="1289" max="1519" width="9.140625" style="723"/>
    <col min="1520" max="1520" width="3.7109375" style="723" customWidth="1"/>
    <col min="1521" max="1521" width="14.42578125" style="723" customWidth="1"/>
    <col min="1522" max="1522" width="6.5703125" style="723" customWidth="1"/>
    <col min="1523" max="1523" width="23.85546875" style="723" customWidth="1"/>
    <col min="1524" max="1524" width="6.28515625" style="723" customWidth="1"/>
    <col min="1525" max="1537" width="5.42578125" style="723" customWidth="1"/>
    <col min="1538" max="1538" width="6.42578125" style="723" customWidth="1"/>
    <col min="1539" max="1539" width="6.28515625" style="723" customWidth="1"/>
    <col min="1540" max="1540" width="12.85546875" style="723" bestFit="1" customWidth="1"/>
    <col min="1541" max="1541" width="13.42578125" style="723" bestFit="1" customWidth="1"/>
    <col min="1542" max="1542" width="6.7109375" style="723" customWidth="1"/>
    <col min="1543" max="1543" width="10.5703125" style="723" customWidth="1"/>
    <col min="1544" max="1544" width="10.140625" style="723" customWidth="1"/>
    <col min="1545" max="1775" width="9.140625" style="723"/>
    <col min="1776" max="1776" width="3.7109375" style="723" customWidth="1"/>
    <col min="1777" max="1777" width="14.42578125" style="723" customWidth="1"/>
    <col min="1778" max="1778" width="6.5703125" style="723" customWidth="1"/>
    <col min="1779" max="1779" width="23.85546875" style="723" customWidth="1"/>
    <col min="1780" max="1780" width="6.28515625" style="723" customWidth="1"/>
    <col min="1781" max="1793" width="5.42578125" style="723" customWidth="1"/>
    <col min="1794" max="1794" width="6.42578125" style="723" customWidth="1"/>
    <col min="1795" max="1795" width="6.28515625" style="723" customWidth="1"/>
    <col min="1796" max="1796" width="12.85546875" style="723" bestFit="1" customWidth="1"/>
    <col min="1797" max="1797" width="13.42578125" style="723" bestFit="1" customWidth="1"/>
    <col min="1798" max="1798" width="6.7109375" style="723" customWidth="1"/>
    <col min="1799" max="1799" width="10.5703125" style="723" customWidth="1"/>
    <col min="1800" max="1800" width="10.140625" style="723" customWidth="1"/>
    <col min="1801" max="2031" width="9.140625" style="723"/>
    <col min="2032" max="2032" width="3.7109375" style="723" customWidth="1"/>
    <col min="2033" max="2033" width="14.42578125" style="723" customWidth="1"/>
    <col min="2034" max="2034" width="6.5703125" style="723" customWidth="1"/>
    <col min="2035" max="2035" width="23.85546875" style="723" customWidth="1"/>
    <col min="2036" max="2036" width="6.28515625" style="723" customWidth="1"/>
    <col min="2037" max="2049" width="5.42578125" style="723" customWidth="1"/>
    <col min="2050" max="2050" width="6.42578125" style="723" customWidth="1"/>
    <col min="2051" max="2051" width="6.28515625" style="723" customWidth="1"/>
    <col min="2052" max="2052" width="12.85546875" style="723" bestFit="1" customWidth="1"/>
    <col min="2053" max="2053" width="13.42578125" style="723" bestFit="1" customWidth="1"/>
    <col min="2054" max="2054" width="6.7109375" style="723" customWidth="1"/>
    <col min="2055" max="2055" width="10.5703125" style="723" customWidth="1"/>
    <col min="2056" max="2056" width="10.140625" style="723" customWidth="1"/>
    <col min="2057" max="2287" width="9.140625" style="723"/>
    <col min="2288" max="2288" width="3.7109375" style="723" customWidth="1"/>
    <col min="2289" max="2289" width="14.42578125" style="723" customWidth="1"/>
    <col min="2290" max="2290" width="6.5703125" style="723" customWidth="1"/>
    <col min="2291" max="2291" width="23.85546875" style="723" customWidth="1"/>
    <col min="2292" max="2292" width="6.28515625" style="723" customWidth="1"/>
    <col min="2293" max="2305" width="5.42578125" style="723" customWidth="1"/>
    <col min="2306" max="2306" width="6.42578125" style="723" customWidth="1"/>
    <col min="2307" max="2307" width="6.28515625" style="723" customWidth="1"/>
    <col min="2308" max="2308" width="12.85546875" style="723" bestFit="1" customWidth="1"/>
    <col min="2309" max="2309" width="13.42578125" style="723" bestFit="1" customWidth="1"/>
    <col min="2310" max="2310" width="6.7109375" style="723" customWidth="1"/>
    <col min="2311" max="2311" width="10.5703125" style="723" customWidth="1"/>
    <col min="2312" max="2312" width="10.140625" style="723" customWidth="1"/>
    <col min="2313" max="2543" width="9.140625" style="723"/>
    <col min="2544" max="2544" width="3.7109375" style="723" customWidth="1"/>
    <col min="2545" max="2545" width="14.42578125" style="723" customWidth="1"/>
    <col min="2546" max="2546" width="6.5703125" style="723" customWidth="1"/>
    <col min="2547" max="2547" width="23.85546875" style="723" customWidth="1"/>
    <col min="2548" max="2548" width="6.28515625" style="723" customWidth="1"/>
    <col min="2549" max="2561" width="5.42578125" style="723" customWidth="1"/>
    <col min="2562" max="2562" width="6.42578125" style="723" customWidth="1"/>
    <col min="2563" max="2563" width="6.28515625" style="723" customWidth="1"/>
    <col min="2564" max="2564" width="12.85546875" style="723" bestFit="1" customWidth="1"/>
    <col min="2565" max="2565" width="13.42578125" style="723" bestFit="1" customWidth="1"/>
    <col min="2566" max="2566" width="6.7109375" style="723" customWidth="1"/>
    <col min="2567" max="2567" width="10.5703125" style="723" customWidth="1"/>
    <col min="2568" max="2568" width="10.140625" style="723" customWidth="1"/>
    <col min="2569" max="2799" width="9.140625" style="723"/>
    <col min="2800" max="2800" width="3.7109375" style="723" customWidth="1"/>
    <col min="2801" max="2801" width="14.42578125" style="723" customWidth="1"/>
    <col min="2802" max="2802" width="6.5703125" style="723" customWidth="1"/>
    <col min="2803" max="2803" width="23.85546875" style="723" customWidth="1"/>
    <col min="2804" max="2804" width="6.28515625" style="723" customWidth="1"/>
    <col min="2805" max="2817" width="5.42578125" style="723" customWidth="1"/>
    <col min="2818" max="2818" width="6.42578125" style="723" customWidth="1"/>
    <col min="2819" max="2819" width="6.28515625" style="723" customWidth="1"/>
    <col min="2820" max="2820" width="12.85546875" style="723" bestFit="1" customWidth="1"/>
    <col min="2821" max="2821" width="13.42578125" style="723" bestFit="1" customWidth="1"/>
    <col min="2822" max="2822" width="6.7109375" style="723" customWidth="1"/>
    <col min="2823" max="2823" width="10.5703125" style="723" customWidth="1"/>
    <col min="2824" max="2824" width="10.140625" style="723" customWidth="1"/>
    <col min="2825" max="3055" width="9.140625" style="723"/>
    <col min="3056" max="3056" width="3.7109375" style="723" customWidth="1"/>
    <col min="3057" max="3057" width="14.42578125" style="723" customWidth="1"/>
    <col min="3058" max="3058" width="6.5703125" style="723" customWidth="1"/>
    <col min="3059" max="3059" width="23.85546875" style="723" customWidth="1"/>
    <col min="3060" max="3060" width="6.28515625" style="723" customWidth="1"/>
    <col min="3061" max="3073" width="5.42578125" style="723" customWidth="1"/>
    <col min="3074" max="3074" width="6.42578125" style="723" customWidth="1"/>
    <col min="3075" max="3075" width="6.28515625" style="723" customWidth="1"/>
    <col min="3076" max="3076" width="12.85546875" style="723" bestFit="1" customWidth="1"/>
    <col min="3077" max="3077" width="13.42578125" style="723" bestFit="1" customWidth="1"/>
    <col min="3078" max="3078" width="6.7109375" style="723" customWidth="1"/>
    <col min="3079" max="3079" width="10.5703125" style="723" customWidth="1"/>
    <col min="3080" max="3080" width="10.140625" style="723" customWidth="1"/>
    <col min="3081" max="3311" width="9.140625" style="723"/>
    <col min="3312" max="3312" width="3.7109375" style="723" customWidth="1"/>
    <col min="3313" max="3313" width="14.42578125" style="723" customWidth="1"/>
    <col min="3314" max="3314" width="6.5703125" style="723" customWidth="1"/>
    <col min="3315" max="3315" width="23.85546875" style="723" customWidth="1"/>
    <col min="3316" max="3316" width="6.28515625" style="723" customWidth="1"/>
    <col min="3317" max="3329" width="5.42578125" style="723" customWidth="1"/>
    <col min="3330" max="3330" width="6.42578125" style="723" customWidth="1"/>
    <col min="3331" max="3331" width="6.28515625" style="723" customWidth="1"/>
    <col min="3332" max="3332" width="12.85546875" style="723" bestFit="1" customWidth="1"/>
    <col min="3333" max="3333" width="13.42578125" style="723" bestFit="1" customWidth="1"/>
    <col min="3334" max="3334" width="6.7109375" style="723" customWidth="1"/>
    <col min="3335" max="3335" width="10.5703125" style="723" customWidth="1"/>
    <col min="3336" max="3336" width="10.140625" style="723" customWidth="1"/>
    <col min="3337" max="3567" width="9.140625" style="723"/>
    <col min="3568" max="3568" width="3.7109375" style="723" customWidth="1"/>
    <col min="3569" max="3569" width="14.42578125" style="723" customWidth="1"/>
    <col min="3570" max="3570" width="6.5703125" style="723" customWidth="1"/>
    <col min="3571" max="3571" width="23.85546875" style="723" customWidth="1"/>
    <col min="3572" max="3572" width="6.28515625" style="723" customWidth="1"/>
    <col min="3573" max="3585" width="5.42578125" style="723" customWidth="1"/>
    <col min="3586" max="3586" width="6.42578125" style="723" customWidth="1"/>
    <col min="3587" max="3587" width="6.28515625" style="723" customWidth="1"/>
    <col min="3588" max="3588" width="12.85546875" style="723" bestFit="1" customWidth="1"/>
    <col min="3589" max="3589" width="13.42578125" style="723" bestFit="1" customWidth="1"/>
    <col min="3590" max="3590" width="6.7109375" style="723" customWidth="1"/>
    <col min="3591" max="3591" width="10.5703125" style="723" customWidth="1"/>
    <col min="3592" max="3592" width="10.140625" style="723" customWidth="1"/>
    <col min="3593" max="3823" width="9.140625" style="723"/>
    <col min="3824" max="3824" width="3.7109375" style="723" customWidth="1"/>
    <col min="3825" max="3825" width="14.42578125" style="723" customWidth="1"/>
    <col min="3826" max="3826" width="6.5703125" style="723" customWidth="1"/>
    <col min="3827" max="3827" width="23.85546875" style="723" customWidth="1"/>
    <col min="3828" max="3828" width="6.28515625" style="723" customWidth="1"/>
    <col min="3829" max="3841" width="5.42578125" style="723" customWidth="1"/>
    <col min="3842" max="3842" width="6.42578125" style="723" customWidth="1"/>
    <col min="3843" max="3843" width="6.28515625" style="723" customWidth="1"/>
    <col min="3844" max="3844" width="12.85546875" style="723" bestFit="1" customWidth="1"/>
    <col min="3845" max="3845" width="13.42578125" style="723" bestFit="1" customWidth="1"/>
    <col min="3846" max="3846" width="6.7109375" style="723" customWidth="1"/>
    <col min="3847" max="3847" width="10.5703125" style="723" customWidth="1"/>
    <col min="3848" max="3848" width="10.140625" style="723" customWidth="1"/>
    <col min="3849" max="4079" width="9.140625" style="723"/>
    <col min="4080" max="4080" width="3.7109375" style="723" customWidth="1"/>
    <col min="4081" max="4081" width="14.42578125" style="723" customWidth="1"/>
    <col min="4082" max="4082" width="6.5703125" style="723" customWidth="1"/>
    <col min="4083" max="4083" width="23.85546875" style="723" customWidth="1"/>
    <col min="4084" max="4084" width="6.28515625" style="723" customWidth="1"/>
    <col min="4085" max="4097" width="5.42578125" style="723" customWidth="1"/>
    <col min="4098" max="4098" width="6.42578125" style="723" customWidth="1"/>
    <col min="4099" max="4099" width="6.28515625" style="723" customWidth="1"/>
    <col min="4100" max="4100" width="12.85546875" style="723" bestFit="1" customWidth="1"/>
    <col min="4101" max="4101" width="13.42578125" style="723" bestFit="1" customWidth="1"/>
    <col min="4102" max="4102" width="6.7109375" style="723" customWidth="1"/>
    <col min="4103" max="4103" width="10.5703125" style="723" customWidth="1"/>
    <col min="4104" max="4104" width="10.140625" style="723" customWidth="1"/>
    <col min="4105" max="4335" width="9.140625" style="723"/>
    <col min="4336" max="4336" width="3.7109375" style="723" customWidth="1"/>
    <col min="4337" max="4337" width="14.42578125" style="723" customWidth="1"/>
    <col min="4338" max="4338" width="6.5703125" style="723" customWidth="1"/>
    <col min="4339" max="4339" width="23.85546875" style="723" customWidth="1"/>
    <col min="4340" max="4340" width="6.28515625" style="723" customWidth="1"/>
    <col min="4341" max="4353" width="5.42578125" style="723" customWidth="1"/>
    <col min="4354" max="4354" width="6.42578125" style="723" customWidth="1"/>
    <col min="4355" max="4355" width="6.28515625" style="723" customWidth="1"/>
    <col min="4356" max="4356" width="12.85546875" style="723" bestFit="1" customWidth="1"/>
    <col min="4357" max="4357" width="13.42578125" style="723" bestFit="1" customWidth="1"/>
    <col min="4358" max="4358" width="6.7109375" style="723" customWidth="1"/>
    <col min="4359" max="4359" width="10.5703125" style="723" customWidth="1"/>
    <col min="4360" max="4360" width="10.140625" style="723" customWidth="1"/>
    <col min="4361" max="4591" width="9.140625" style="723"/>
    <col min="4592" max="4592" width="3.7109375" style="723" customWidth="1"/>
    <col min="4593" max="4593" width="14.42578125" style="723" customWidth="1"/>
    <col min="4594" max="4594" width="6.5703125" style="723" customWidth="1"/>
    <col min="4595" max="4595" width="23.85546875" style="723" customWidth="1"/>
    <col min="4596" max="4596" width="6.28515625" style="723" customWidth="1"/>
    <col min="4597" max="4609" width="5.42578125" style="723" customWidth="1"/>
    <col min="4610" max="4610" width="6.42578125" style="723" customWidth="1"/>
    <col min="4611" max="4611" width="6.28515625" style="723" customWidth="1"/>
    <col min="4612" max="4612" width="12.85546875" style="723" bestFit="1" customWidth="1"/>
    <col min="4613" max="4613" width="13.42578125" style="723" bestFit="1" customWidth="1"/>
    <col min="4614" max="4614" width="6.7109375" style="723" customWidth="1"/>
    <col min="4615" max="4615" width="10.5703125" style="723" customWidth="1"/>
    <col min="4616" max="4616" width="10.140625" style="723" customWidth="1"/>
    <col min="4617" max="4847" width="9.140625" style="723"/>
    <col min="4848" max="4848" width="3.7109375" style="723" customWidth="1"/>
    <col min="4849" max="4849" width="14.42578125" style="723" customWidth="1"/>
    <col min="4850" max="4850" width="6.5703125" style="723" customWidth="1"/>
    <col min="4851" max="4851" width="23.85546875" style="723" customWidth="1"/>
    <col min="4852" max="4852" width="6.28515625" style="723" customWidth="1"/>
    <col min="4853" max="4865" width="5.42578125" style="723" customWidth="1"/>
    <col min="4866" max="4866" width="6.42578125" style="723" customWidth="1"/>
    <col min="4867" max="4867" width="6.28515625" style="723" customWidth="1"/>
    <col min="4868" max="4868" width="12.85546875" style="723" bestFit="1" customWidth="1"/>
    <col min="4869" max="4869" width="13.42578125" style="723" bestFit="1" customWidth="1"/>
    <col min="4870" max="4870" width="6.7109375" style="723" customWidth="1"/>
    <col min="4871" max="4871" width="10.5703125" style="723" customWidth="1"/>
    <col min="4872" max="4872" width="10.140625" style="723" customWidth="1"/>
    <col min="4873" max="5103" width="9.140625" style="723"/>
    <col min="5104" max="5104" width="3.7109375" style="723" customWidth="1"/>
    <col min="5105" max="5105" width="14.42578125" style="723" customWidth="1"/>
    <col min="5106" max="5106" width="6.5703125" style="723" customWidth="1"/>
    <col min="5107" max="5107" width="23.85546875" style="723" customWidth="1"/>
    <col min="5108" max="5108" width="6.28515625" style="723" customWidth="1"/>
    <col min="5109" max="5121" width="5.42578125" style="723" customWidth="1"/>
    <col min="5122" max="5122" width="6.42578125" style="723" customWidth="1"/>
    <col min="5123" max="5123" width="6.28515625" style="723" customWidth="1"/>
    <col min="5124" max="5124" width="12.85546875" style="723" bestFit="1" customWidth="1"/>
    <col min="5125" max="5125" width="13.42578125" style="723" bestFit="1" customWidth="1"/>
    <col min="5126" max="5126" width="6.7109375" style="723" customWidth="1"/>
    <col min="5127" max="5127" width="10.5703125" style="723" customWidth="1"/>
    <col min="5128" max="5128" width="10.140625" style="723" customWidth="1"/>
    <col min="5129" max="5359" width="9.140625" style="723"/>
    <col min="5360" max="5360" width="3.7109375" style="723" customWidth="1"/>
    <col min="5361" max="5361" width="14.42578125" style="723" customWidth="1"/>
    <col min="5362" max="5362" width="6.5703125" style="723" customWidth="1"/>
    <col min="5363" max="5363" width="23.85546875" style="723" customWidth="1"/>
    <col min="5364" max="5364" width="6.28515625" style="723" customWidth="1"/>
    <col min="5365" max="5377" width="5.42578125" style="723" customWidth="1"/>
    <col min="5378" max="5378" width="6.42578125" style="723" customWidth="1"/>
    <col min="5379" max="5379" width="6.28515625" style="723" customWidth="1"/>
    <col min="5380" max="5380" width="12.85546875" style="723" bestFit="1" customWidth="1"/>
    <col min="5381" max="5381" width="13.42578125" style="723" bestFit="1" customWidth="1"/>
    <col min="5382" max="5382" width="6.7109375" style="723" customWidth="1"/>
    <col min="5383" max="5383" width="10.5703125" style="723" customWidth="1"/>
    <col min="5384" max="5384" width="10.140625" style="723" customWidth="1"/>
    <col min="5385" max="5615" width="9.140625" style="723"/>
    <col min="5616" max="5616" width="3.7109375" style="723" customWidth="1"/>
    <col min="5617" max="5617" width="14.42578125" style="723" customWidth="1"/>
    <col min="5618" max="5618" width="6.5703125" style="723" customWidth="1"/>
    <col min="5619" max="5619" width="23.85546875" style="723" customWidth="1"/>
    <col min="5620" max="5620" width="6.28515625" style="723" customWidth="1"/>
    <col min="5621" max="5633" width="5.42578125" style="723" customWidth="1"/>
    <col min="5634" max="5634" width="6.42578125" style="723" customWidth="1"/>
    <col min="5635" max="5635" width="6.28515625" style="723" customWidth="1"/>
    <col min="5636" max="5636" width="12.85546875" style="723" bestFit="1" customWidth="1"/>
    <col min="5637" max="5637" width="13.42578125" style="723" bestFit="1" customWidth="1"/>
    <col min="5638" max="5638" width="6.7109375" style="723" customWidth="1"/>
    <col min="5639" max="5639" width="10.5703125" style="723" customWidth="1"/>
    <col min="5640" max="5640" width="10.140625" style="723" customWidth="1"/>
    <col min="5641" max="5871" width="9.140625" style="723"/>
    <col min="5872" max="5872" width="3.7109375" style="723" customWidth="1"/>
    <col min="5873" max="5873" width="14.42578125" style="723" customWidth="1"/>
    <col min="5874" max="5874" width="6.5703125" style="723" customWidth="1"/>
    <col min="5875" max="5875" width="23.85546875" style="723" customWidth="1"/>
    <col min="5876" max="5876" width="6.28515625" style="723" customWidth="1"/>
    <col min="5877" max="5889" width="5.42578125" style="723" customWidth="1"/>
    <col min="5890" max="5890" width="6.42578125" style="723" customWidth="1"/>
    <col min="5891" max="5891" width="6.28515625" style="723" customWidth="1"/>
    <col min="5892" max="5892" width="12.85546875" style="723" bestFit="1" customWidth="1"/>
    <col min="5893" max="5893" width="13.42578125" style="723" bestFit="1" customWidth="1"/>
    <col min="5894" max="5894" width="6.7109375" style="723" customWidth="1"/>
    <col min="5895" max="5895" width="10.5703125" style="723" customWidth="1"/>
    <col min="5896" max="5896" width="10.140625" style="723" customWidth="1"/>
    <col min="5897" max="6127" width="9.140625" style="723"/>
    <col min="6128" max="6128" width="3.7109375" style="723" customWidth="1"/>
    <col min="6129" max="6129" width="14.42578125" style="723" customWidth="1"/>
    <col min="6130" max="6130" width="6.5703125" style="723" customWidth="1"/>
    <col min="6131" max="6131" width="23.85546875" style="723" customWidth="1"/>
    <col min="6132" max="6132" width="6.28515625" style="723" customWidth="1"/>
    <col min="6133" max="6145" width="5.42578125" style="723" customWidth="1"/>
    <col min="6146" max="6146" width="6.42578125" style="723" customWidth="1"/>
    <col min="6147" max="6147" width="6.28515625" style="723" customWidth="1"/>
    <col min="6148" max="6148" width="12.85546875" style="723" bestFit="1" customWidth="1"/>
    <col min="6149" max="6149" width="13.42578125" style="723" bestFit="1" customWidth="1"/>
    <col min="6150" max="6150" width="6.7109375" style="723" customWidth="1"/>
    <col min="6151" max="6151" width="10.5703125" style="723" customWidth="1"/>
    <col min="6152" max="6152" width="10.140625" style="723" customWidth="1"/>
    <col min="6153" max="6383" width="9.140625" style="723"/>
    <col min="6384" max="6384" width="3.7109375" style="723" customWidth="1"/>
    <col min="6385" max="6385" width="14.42578125" style="723" customWidth="1"/>
    <col min="6386" max="6386" width="6.5703125" style="723" customWidth="1"/>
    <col min="6387" max="6387" width="23.85546875" style="723" customWidth="1"/>
    <col min="6388" max="6388" width="6.28515625" style="723" customWidth="1"/>
    <col min="6389" max="6401" width="5.42578125" style="723" customWidth="1"/>
    <col min="6402" max="6402" width="6.42578125" style="723" customWidth="1"/>
    <col min="6403" max="6403" width="6.28515625" style="723" customWidth="1"/>
    <col min="6404" max="6404" width="12.85546875" style="723" bestFit="1" customWidth="1"/>
    <col min="6405" max="6405" width="13.42578125" style="723" bestFit="1" customWidth="1"/>
    <col min="6406" max="6406" width="6.7109375" style="723" customWidth="1"/>
    <col min="6407" max="6407" width="10.5703125" style="723" customWidth="1"/>
    <col min="6408" max="6408" width="10.140625" style="723" customWidth="1"/>
    <col min="6409" max="6639" width="9.140625" style="723"/>
    <col min="6640" max="6640" width="3.7109375" style="723" customWidth="1"/>
    <col min="6641" max="6641" width="14.42578125" style="723" customWidth="1"/>
    <col min="6642" max="6642" width="6.5703125" style="723" customWidth="1"/>
    <col min="6643" max="6643" width="23.85546875" style="723" customWidth="1"/>
    <col min="6644" max="6644" width="6.28515625" style="723" customWidth="1"/>
    <col min="6645" max="6657" width="5.42578125" style="723" customWidth="1"/>
    <col min="6658" max="6658" width="6.42578125" style="723" customWidth="1"/>
    <col min="6659" max="6659" width="6.28515625" style="723" customWidth="1"/>
    <col min="6660" max="6660" width="12.85546875" style="723" bestFit="1" customWidth="1"/>
    <col min="6661" max="6661" width="13.42578125" style="723" bestFit="1" customWidth="1"/>
    <col min="6662" max="6662" width="6.7109375" style="723" customWidth="1"/>
    <col min="6663" max="6663" width="10.5703125" style="723" customWidth="1"/>
    <col min="6664" max="6664" width="10.140625" style="723" customWidth="1"/>
    <col min="6665" max="6895" width="9.140625" style="723"/>
    <col min="6896" max="6896" width="3.7109375" style="723" customWidth="1"/>
    <col min="6897" max="6897" width="14.42578125" style="723" customWidth="1"/>
    <col min="6898" max="6898" width="6.5703125" style="723" customWidth="1"/>
    <col min="6899" max="6899" width="23.85546875" style="723" customWidth="1"/>
    <col min="6900" max="6900" width="6.28515625" style="723" customWidth="1"/>
    <col min="6901" max="6913" width="5.42578125" style="723" customWidth="1"/>
    <col min="6914" max="6914" width="6.42578125" style="723" customWidth="1"/>
    <col min="6915" max="6915" width="6.28515625" style="723" customWidth="1"/>
    <col min="6916" max="6916" width="12.85546875" style="723" bestFit="1" customWidth="1"/>
    <col min="6917" max="6917" width="13.42578125" style="723" bestFit="1" customWidth="1"/>
    <col min="6918" max="6918" width="6.7109375" style="723" customWidth="1"/>
    <col min="6919" max="6919" width="10.5703125" style="723" customWidth="1"/>
    <col min="6920" max="6920" width="10.140625" style="723" customWidth="1"/>
    <col min="6921" max="7151" width="9.140625" style="723"/>
    <col min="7152" max="7152" width="3.7109375" style="723" customWidth="1"/>
    <col min="7153" max="7153" width="14.42578125" style="723" customWidth="1"/>
    <col min="7154" max="7154" width="6.5703125" style="723" customWidth="1"/>
    <col min="7155" max="7155" width="23.85546875" style="723" customWidth="1"/>
    <col min="7156" max="7156" width="6.28515625" style="723" customWidth="1"/>
    <col min="7157" max="7169" width="5.42578125" style="723" customWidth="1"/>
    <col min="7170" max="7170" width="6.42578125" style="723" customWidth="1"/>
    <col min="7171" max="7171" width="6.28515625" style="723" customWidth="1"/>
    <col min="7172" max="7172" width="12.85546875" style="723" bestFit="1" customWidth="1"/>
    <col min="7173" max="7173" width="13.42578125" style="723" bestFit="1" customWidth="1"/>
    <col min="7174" max="7174" width="6.7109375" style="723" customWidth="1"/>
    <col min="7175" max="7175" width="10.5703125" style="723" customWidth="1"/>
    <col min="7176" max="7176" width="10.140625" style="723" customWidth="1"/>
    <col min="7177" max="7407" width="9.140625" style="723"/>
    <col min="7408" max="7408" width="3.7109375" style="723" customWidth="1"/>
    <col min="7409" max="7409" width="14.42578125" style="723" customWidth="1"/>
    <col min="7410" max="7410" width="6.5703125" style="723" customWidth="1"/>
    <col min="7411" max="7411" width="23.85546875" style="723" customWidth="1"/>
    <col min="7412" max="7412" width="6.28515625" style="723" customWidth="1"/>
    <col min="7413" max="7425" width="5.42578125" style="723" customWidth="1"/>
    <col min="7426" max="7426" width="6.42578125" style="723" customWidth="1"/>
    <col min="7427" max="7427" width="6.28515625" style="723" customWidth="1"/>
    <col min="7428" max="7428" width="12.85546875" style="723" bestFit="1" customWidth="1"/>
    <col min="7429" max="7429" width="13.42578125" style="723" bestFit="1" customWidth="1"/>
    <col min="7430" max="7430" width="6.7109375" style="723" customWidth="1"/>
    <col min="7431" max="7431" width="10.5703125" style="723" customWidth="1"/>
    <col min="7432" max="7432" width="10.140625" style="723" customWidth="1"/>
    <col min="7433" max="7663" width="9.140625" style="723"/>
    <col min="7664" max="7664" width="3.7109375" style="723" customWidth="1"/>
    <col min="7665" max="7665" width="14.42578125" style="723" customWidth="1"/>
    <col min="7666" max="7666" width="6.5703125" style="723" customWidth="1"/>
    <col min="7667" max="7667" width="23.85546875" style="723" customWidth="1"/>
    <col min="7668" max="7668" width="6.28515625" style="723" customWidth="1"/>
    <col min="7669" max="7681" width="5.42578125" style="723" customWidth="1"/>
    <col min="7682" max="7682" width="6.42578125" style="723" customWidth="1"/>
    <col min="7683" max="7683" width="6.28515625" style="723" customWidth="1"/>
    <col min="7684" max="7684" width="12.85546875" style="723" bestFit="1" customWidth="1"/>
    <col min="7685" max="7685" width="13.42578125" style="723" bestFit="1" customWidth="1"/>
    <col min="7686" max="7686" width="6.7109375" style="723" customWidth="1"/>
    <col min="7687" max="7687" width="10.5703125" style="723" customWidth="1"/>
    <col min="7688" max="7688" width="10.140625" style="723" customWidth="1"/>
    <col min="7689" max="7919" width="9.140625" style="723"/>
    <col min="7920" max="7920" width="3.7109375" style="723" customWidth="1"/>
    <col min="7921" max="7921" width="14.42578125" style="723" customWidth="1"/>
    <col min="7922" max="7922" width="6.5703125" style="723" customWidth="1"/>
    <col min="7923" max="7923" width="23.85546875" style="723" customWidth="1"/>
    <col min="7924" max="7924" width="6.28515625" style="723" customWidth="1"/>
    <col min="7925" max="7937" width="5.42578125" style="723" customWidth="1"/>
    <col min="7938" max="7938" width="6.42578125" style="723" customWidth="1"/>
    <col min="7939" max="7939" width="6.28515625" style="723" customWidth="1"/>
    <col min="7940" max="7940" width="12.85546875" style="723" bestFit="1" customWidth="1"/>
    <col min="7941" max="7941" width="13.42578125" style="723" bestFit="1" customWidth="1"/>
    <col min="7942" max="7942" width="6.7109375" style="723" customWidth="1"/>
    <col min="7943" max="7943" width="10.5703125" style="723" customWidth="1"/>
    <col min="7944" max="7944" width="10.140625" style="723" customWidth="1"/>
    <col min="7945" max="8175" width="9.140625" style="723"/>
    <col min="8176" max="8176" width="3.7109375" style="723" customWidth="1"/>
    <col min="8177" max="8177" width="14.42578125" style="723" customWidth="1"/>
    <col min="8178" max="8178" width="6.5703125" style="723" customWidth="1"/>
    <col min="8179" max="8179" width="23.85546875" style="723" customWidth="1"/>
    <col min="8180" max="8180" width="6.28515625" style="723" customWidth="1"/>
    <col min="8181" max="8193" width="5.42578125" style="723" customWidth="1"/>
    <col min="8194" max="8194" width="6.42578125" style="723" customWidth="1"/>
    <col min="8195" max="8195" width="6.28515625" style="723" customWidth="1"/>
    <col min="8196" max="8196" width="12.85546875" style="723" bestFit="1" customWidth="1"/>
    <col min="8197" max="8197" width="13.42578125" style="723" bestFit="1" customWidth="1"/>
    <col min="8198" max="8198" width="6.7109375" style="723" customWidth="1"/>
    <col min="8199" max="8199" width="10.5703125" style="723" customWidth="1"/>
    <col min="8200" max="8200" width="10.140625" style="723" customWidth="1"/>
    <col min="8201" max="8431" width="9.140625" style="723"/>
    <col min="8432" max="8432" width="3.7109375" style="723" customWidth="1"/>
    <col min="8433" max="8433" width="14.42578125" style="723" customWidth="1"/>
    <col min="8434" max="8434" width="6.5703125" style="723" customWidth="1"/>
    <col min="8435" max="8435" width="23.85546875" style="723" customWidth="1"/>
    <col min="8436" max="8436" width="6.28515625" style="723" customWidth="1"/>
    <col min="8437" max="8449" width="5.42578125" style="723" customWidth="1"/>
    <col min="8450" max="8450" width="6.42578125" style="723" customWidth="1"/>
    <col min="8451" max="8451" width="6.28515625" style="723" customWidth="1"/>
    <col min="8452" max="8452" width="12.85546875" style="723" bestFit="1" customWidth="1"/>
    <col min="8453" max="8453" width="13.42578125" style="723" bestFit="1" customWidth="1"/>
    <col min="8454" max="8454" width="6.7109375" style="723" customWidth="1"/>
    <col min="8455" max="8455" width="10.5703125" style="723" customWidth="1"/>
    <col min="8456" max="8456" width="10.140625" style="723" customWidth="1"/>
    <col min="8457" max="8687" width="9.140625" style="723"/>
    <col min="8688" max="8688" width="3.7109375" style="723" customWidth="1"/>
    <col min="8689" max="8689" width="14.42578125" style="723" customWidth="1"/>
    <col min="8690" max="8690" width="6.5703125" style="723" customWidth="1"/>
    <col min="8691" max="8691" width="23.85546875" style="723" customWidth="1"/>
    <col min="8692" max="8692" width="6.28515625" style="723" customWidth="1"/>
    <col min="8693" max="8705" width="5.42578125" style="723" customWidth="1"/>
    <col min="8706" max="8706" width="6.42578125" style="723" customWidth="1"/>
    <col min="8707" max="8707" width="6.28515625" style="723" customWidth="1"/>
    <col min="8708" max="8708" width="12.85546875" style="723" bestFit="1" customWidth="1"/>
    <col min="8709" max="8709" width="13.42578125" style="723" bestFit="1" customWidth="1"/>
    <col min="8710" max="8710" width="6.7109375" style="723" customWidth="1"/>
    <col min="8711" max="8711" width="10.5703125" style="723" customWidth="1"/>
    <col min="8712" max="8712" width="10.140625" style="723" customWidth="1"/>
    <col min="8713" max="8943" width="9.140625" style="723"/>
    <col min="8944" max="8944" width="3.7109375" style="723" customWidth="1"/>
    <col min="8945" max="8945" width="14.42578125" style="723" customWidth="1"/>
    <col min="8946" max="8946" width="6.5703125" style="723" customWidth="1"/>
    <col min="8947" max="8947" width="23.85546875" style="723" customWidth="1"/>
    <col min="8948" max="8948" width="6.28515625" style="723" customWidth="1"/>
    <col min="8949" max="8961" width="5.42578125" style="723" customWidth="1"/>
    <col min="8962" max="8962" width="6.42578125" style="723" customWidth="1"/>
    <col min="8963" max="8963" width="6.28515625" style="723" customWidth="1"/>
    <col min="8964" max="8964" width="12.85546875" style="723" bestFit="1" customWidth="1"/>
    <col min="8965" max="8965" width="13.42578125" style="723" bestFit="1" customWidth="1"/>
    <col min="8966" max="8966" width="6.7109375" style="723" customWidth="1"/>
    <col min="8967" max="8967" width="10.5703125" style="723" customWidth="1"/>
    <col min="8968" max="8968" width="10.140625" style="723" customWidth="1"/>
    <col min="8969" max="9199" width="9.140625" style="723"/>
    <col min="9200" max="9200" width="3.7109375" style="723" customWidth="1"/>
    <col min="9201" max="9201" width="14.42578125" style="723" customWidth="1"/>
    <col min="9202" max="9202" width="6.5703125" style="723" customWidth="1"/>
    <col min="9203" max="9203" width="23.85546875" style="723" customWidth="1"/>
    <col min="9204" max="9204" width="6.28515625" style="723" customWidth="1"/>
    <col min="9205" max="9217" width="5.42578125" style="723" customWidth="1"/>
    <col min="9218" max="9218" width="6.42578125" style="723" customWidth="1"/>
    <col min="9219" max="9219" width="6.28515625" style="723" customWidth="1"/>
    <col min="9220" max="9220" width="12.85546875" style="723" bestFit="1" customWidth="1"/>
    <col min="9221" max="9221" width="13.42578125" style="723" bestFit="1" customWidth="1"/>
    <col min="9222" max="9222" width="6.7109375" style="723" customWidth="1"/>
    <col min="9223" max="9223" width="10.5703125" style="723" customWidth="1"/>
    <col min="9224" max="9224" width="10.140625" style="723" customWidth="1"/>
    <col min="9225" max="9455" width="9.140625" style="723"/>
    <col min="9456" max="9456" width="3.7109375" style="723" customWidth="1"/>
    <col min="9457" max="9457" width="14.42578125" style="723" customWidth="1"/>
    <col min="9458" max="9458" width="6.5703125" style="723" customWidth="1"/>
    <col min="9459" max="9459" width="23.85546875" style="723" customWidth="1"/>
    <col min="9460" max="9460" width="6.28515625" style="723" customWidth="1"/>
    <col min="9461" max="9473" width="5.42578125" style="723" customWidth="1"/>
    <col min="9474" max="9474" width="6.42578125" style="723" customWidth="1"/>
    <col min="9475" max="9475" width="6.28515625" style="723" customWidth="1"/>
    <col min="9476" max="9476" width="12.85546875" style="723" bestFit="1" customWidth="1"/>
    <col min="9477" max="9477" width="13.42578125" style="723" bestFit="1" customWidth="1"/>
    <col min="9478" max="9478" width="6.7109375" style="723" customWidth="1"/>
    <col min="9479" max="9479" width="10.5703125" style="723" customWidth="1"/>
    <col min="9480" max="9480" width="10.140625" style="723" customWidth="1"/>
    <col min="9481" max="9711" width="9.140625" style="723"/>
    <col min="9712" max="9712" width="3.7109375" style="723" customWidth="1"/>
    <col min="9713" max="9713" width="14.42578125" style="723" customWidth="1"/>
    <col min="9714" max="9714" width="6.5703125" style="723" customWidth="1"/>
    <col min="9715" max="9715" width="23.85546875" style="723" customWidth="1"/>
    <col min="9716" max="9716" width="6.28515625" style="723" customWidth="1"/>
    <col min="9717" max="9729" width="5.42578125" style="723" customWidth="1"/>
    <col min="9730" max="9730" width="6.42578125" style="723" customWidth="1"/>
    <col min="9731" max="9731" width="6.28515625" style="723" customWidth="1"/>
    <col min="9732" max="9732" width="12.85546875" style="723" bestFit="1" customWidth="1"/>
    <col min="9733" max="9733" width="13.42578125" style="723" bestFit="1" customWidth="1"/>
    <col min="9734" max="9734" width="6.7109375" style="723" customWidth="1"/>
    <col min="9735" max="9735" width="10.5703125" style="723" customWidth="1"/>
    <col min="9736" max="9736" width="10.140625" style="723" customWidth="1"/>
    <col min="9737" max="9967" width="9.140625" style="723"/>
    <col min="9968" max="9968" width="3.7109375" style="723" customWidth="1"/>
    <col min="9969" max="9969" width="14.42578125" style="723" customWidth="1"/>
    <col min="9970" max="9970" width="6.5703125" style="723" customWidth="1"/>
    <col min="9971" max="9971" width="23.85546875" style="723" customWidth="1"/>
    <col min="9972" max="9972" width="6.28515625" style="723" customWidth="1"/>
    <col min="9973" max="9985" width="5.42578125" style="723" customWidth="1"/>
    <col min="9986" max="9986" width="6.42578125" style="723" customWidth="1"/>
    <col min="9987" max="9987" width="6.28515625" style="723" customWidth="1"/>
    <col min="9988" max="9988" width="12.85546875" style="723" bestFit="1" customWidth="1"/>
    <col min="9989" max="9989" width="13.42578125" style="723" bestFit="1" customWidth="1"/>
    <col min="9990" max="9990" width="6.7109375" style="723" customWidth="1"/>
    <col min="9991" max="9991" width="10.5703125" style="723" customWidth="1"/>
    <col min="9992" max="9992" width="10.140625" style="723" customWidth="1"/>
    <col min="9993" max="10223" width="9.140625" style="723"/>
    <col min="10224" max="10224" width="3.7109375" style="723" customWidth="1"/>
    <col min="10225" max="10225" width="14.42578125" style="723" customWidth="1"/>
    <col min="10226" max="10226" width="6.5703125" style="723" customWidth="1"/>
    <col min="10227" max="10227" width="23.85546875" style="723" customWidth="1"/>
    <col min="10228" max="10228" width="6.28515625" style="723" customWidth="1"/>
    <col min="10229" max="10241" width="5.42578125" style="723" customWidth="1"/>
    <col min="10242" max="10242" width="6.42578125" style="723" customWidth="1"/>
    <col min="10243" max="10243" width="6.28515625" style="723" customWidth="1"/>
    <col min="10244" max="10244" width="12.85546875" style="723" bestFit="1" customWidth="1"/>
    <col min="10245" max="10245" width="13.42578125" style="723" bestFit="1" customWidth="1"/>
    <col min="10246" max="10246" width="6.7109375" style="723" customWidth="1"/>
    <col min="10247" max="10247" width="10.5703125" style="723" customWidth="1"/>
    <col min="10248" max="10248" width="10.140625" style="723" customWidth="1"/>
    <col min="10249" max="10479" width="9.140625" style="723"/>
    <col min="10480" max="10480" width="3.7109375" style="723" customWidth="1"/>
    <col min="10481" max="10481" width="14.42578125" style="723" customWidth="1"/>
    <col min="10482" max="10482" width="6.5703125" style="723" customWidth="1"/>
    <col min="10483" max="10483" width="23.85546875" style="723" customWidth="1"/>
    <col min="10484" max="10484" width="6.28515625" style="723" customWidth="1"/>
    <col min="10485" max="10497" width="5.42578125" style="723" customWidth="1"/>
    <col min="10498" max="10498" width="6.42578125" style="723" customWidth="1"/>
    <col min="10499" max="10499" width="6.28515625" style="723" customWidth="1"/>
    <col min="10500" max="10500" width="12.85546875" style="723" bestFit="1" customWidth="1"/>
    <col min="10501" max="10501" width="13.42578125" style="723" bestFit="1" customWidth="1"/>
    <col min="10502" max="10502" width="6.7109375" style="723" customWidth="1"/>
    <col min="10503" max="10503" width="10.5703125" style="723" customWidth="1"/>
    <col min="10504" max="10504" width="10.140625" style="723" customWidth="1"/>
    <col min="10505" max="10735" width="9.140625" style="723"/>
    <col min="10736" max="10736" width="3.7109375" style="723" customWidth="1"/>
    <col min="10737" max="10737" width="14.42578125" style="723" customWidth="1"/>
    <col min="10738" max="10738" width="6.5703125" style="723" customWidth="1"/>
    <col min="10739" max="10739" width="23.85546875" style="723" customWidth="1"/>
    <col min="10740" max="10740" width="6.28515625" style="723" customWidth="1"/>
    <col min="10741" max="10753" width="5.42578125" style="723" customWidth="1"/>
    <col min="10754" max="10754" width="6.42578125" style="723" customWidth="1"/>
    <col min="10755" max="10755" width="6.28515625" style="723" customWidth="1"/>
    <col min="10756" max="10756" width="12.85546875" style="723" bestFit="1" customWidth="1"/>
    <col min="10757" max="10757" width="13.42578125" style="723" bestFit="1" customWidth="1"/>
    <col min="10758" max="10758" width="6.7109375" style="723" customWidth="1"/>
    <col min="10759" max="10759" width="10.5703125" style="723" customWidth="1"/>
    <col min="10760" max="10760" width="10.140625" style="723" customWidth="1"/>
    <col min="10761" max="10991" width="9.140625" style="723"/>
    <col min="10992" max="10992" width="3.7109375" style="723" customWidth="1"/>
    <col min="10993" max="10993" width="14.42578125" style="723" customWidth="1"/>
    <col min="10994" max="10994" width="6.5703125" style="723" customWidth="1"/>
    <col min="10995" max="10995" width="23.85546875" style="723" customWidth="1"/>
    <col min="10996" max="10996" width="6.28515625" style="723" customWidth="1"/>
    <col min="10997" max="11009" width="5.42578125" style="723" customWidth="1"/>
    <col min="11010" max="11010" width="6.42578125" style="723" customWidth="1"/>
    <col min="11011" max="11011" width="6.28515625" style="723" customWidth="1"/>
    <col min="11012" max="11012" width="12.85546875" style="723" bestFit="1" customWidth="1"/>
    <col min="11013" max="11013" width="13.42578125" style="723" bestFit="1" customWidth="1"/>
    <col min="11014" max="11014" width="6.7109375" style="723" customWidth="1"/>
    <col min="11015" max="11015" width="10.5703125" style="723" customWidth="1"/>
    <col min="11016" max="11016" width="10.140625" style="723" customWidth="1"/>
    <col min="11017" max="11247" width="9.140625" style="723"/>
    <col min="11248" max="11248" width="3.7109375" style="723" customWidth="1"/>
    <col min="11249" max="11249" width="14.42578125" style="723" customWidth="1"/>
    <col min="11250" max="11250" width="6.5703125" style="723" customWidth="1"/>
    <col min="11251" max="11251" width="23.85546875" style="723" customWidth="1"/>
    <col min="11252" max="11252" width="6.28515625" style="723" customWidth="1"/>
    <col min="11253" max="11265" width="5.42578125" style="723" customWidth="1"/>
    <col min="11266" max="11266" width="6.42578125" style="723" customWidth="1"/>
    <col min="11267" max="11267" width="6.28515625" style="723" customWidth="1"/>
    <col min="11268" max="11268" width="12.85546875" style="723" bestFit="1" customWidth="1"/>
    <col min="11269" max="11269" width="13.42578125" style="723" bestFit="1" customWidth="1"/>
    <col min="11270" max="11270" width="6.7109375" style="723" customWidth="1"/>
    <col min="11271" max="11271" width="10.5703125" style="723" customWidth="1"/>
    <col min="11272" max="11272" width="10.140625" style="723" customWidth="1"/>
    <col min="11273" max="11503" width="9.140625" style="723"/>
    <col min="11504" max="11504" width="3.7109375" style="723" customWidth="1"/>
    <col min="11505" max="11505" width="14.42578125" style="723" customWidth="1"/>
    <col min="11506" max="11506" width="6.5703125" style="723" customWidth="1"/>
    <col min="11507" max="11507" width="23.85546875" style="723" customWidth="1"/>
    <col min="11508" max="11508" width="6.28515625" style="723" customWidth="1"/>
    <col min="11509" max="11521" width="5.42578125" style="723" customWidth="1"/>
    <col min="11522" max="11522" width="6.42578125" style="723" customWidth="1"/>
    <col min="11523" max="11523" width="6.28515625" style="723" customWidth="1"/>
    <col min="11524" max="11524" width="12.85546875" style="723" bestFit="1" customWidth="1"/>
    <col min="11525" max="11525" width="13.42578125" style="723" bestFit="1" customWidth="1"/>
    <col min="11526" max="11526" width="6.7109375" style="723" customWidth="1"/>
    <col min="11527" max="11527" width="10.5703125" style="723" customWidth="1"/>
    <col min="11528" max="11528" width="10.140625" style="723" customWidth="1"/>
    <col min="11529" max="11759" width="9.140625" style="723"/>
    <col min="11760" max="11760" width="3.7109375" style="723" customWidth="1"/>
    <col min="11761" max="11761" width="14.42578125" style="723" customWidth="1"/>
    <col min="11762" max="11762" width="6.5703125" style="723" customWidth="1"/>
    <col min="11763" max="11763" width="23.85546875" style="723" customWidth="1"/>
    <col min="11764" max="11764" width="6.28515625" style="723" customWidth="1"/>
    <col min="11765" max="11777" width="5.42578125" style="723" customWidth="1"/>
    <col min="11778" max="11778" width="6.42578125" style="723" customWidth="1"/>
    <col min="11779" max="11779" width="6.28515625" style="723" customWidth="1"/>
    <col min="11780" max="11780" width="12.85546875" style="723" bestFit="1" customWidth="1"/>
    <col min="11781" max="11781" width="13.42578125" style="723" bestFit="1" customWidth="1"/>
    <col min="11782" max="11782" width="6.7109375" style="723" customWidth="1"/>
    <col min="11783" max="11783" width="10.5703125" style="723" customWidth="1"/>
    <col min="11784" max="11784" width="10.140625" style="723" customWidth="1"/>
    <col min="11785" max="12015" width="9.140625" style="723"/>
    <col min="12016" max="12016" width="3.7109375" style="723" customWidth="1"/>
    <col min="12017" max="12017" width="14.42578125" style="723" customWidth="1"/>
    <col min="12018" max="12018" width="6.5703125" style="723" customWidth="1"/>
    <col min="12019" max="12019" width="23.85546875" style="723" customWidth="1"/>
    <col min="12020" max="12020" width="6.28515625" style="723" customWidth="1"/>
    <col min="12021" max="12033" width="5.42578125" style="723" customWidth="1"/>
    <col min="12034" max="12034" width="6.42578125" style="723" customWidth="1"/>
    <col min="12035" max="12035" width="6.28515625" style="723" customWidth="1"/>
    <col min="12036" max="12036" width="12.85546875" style="723" bestFit="1" customWidth="1"/>
    <col min="12037" max="12037" width="13.42578125" style="723" bestFit="1" customWidth="1"/>
    <col min="12038" max="12038" width="6.7109375" style="723" customWidth="1"/>
    <col min="12039" max="12039" width="10.5703125" style="723" customWidth="1"/>
    <col min="12040" max="12040" width="10.140625" style="723" customWidth="1"/>
    <col min="12041" max="12271" width="9.140625" style="723"/>
    <col min="12272" max="12272" width="3.7109375" style="723" customWidth="1"/>
    <col min="12273" max="12273" width="14.42578125" style="723" customWidth="1"/>
    <col min="12274" max="12274" width="6.5703125" style="723" customWidth="1"/>
    <col min="12275" max="12275" width="23.85546875" style="723" customWidth="1"/>
    <col min="12276" max="12276" width="6.28515625" style="723" customWidth="1"/>
    <col min="12277" max="12289" width="5.42578125" style="723" customWidth="1"/>
    <col min="12290" max="12290" width="6.42578125" style="723" customWidth="1"/>
    <col min="12291" max="12291" width="6.28515625" style="723" customWidth="1"/>
    <col min="12292" max="12292" width="12.85546875" style="723" bestFit="1" customWidth="1"/>
    <col min="12293" max="12293" width="13.42578125" style="723" bestFit="1" customWidth="1"/>
    <col min="12294" max="12294" width="6.7109375" style="723" customWidth="1"/>
    <col min="12295" max="12295" width="10.5703125" style="723" customWidth="1"/>
    <col min="12296" max="12296" width="10.140625" style="723" customWidth="1"/>
    <col min="12297" max="12527" width="9.140625" style="723"/>
    <col min="12528" max="12528" width="3.7109375" style="723" customWidth="1"/>
    <col min="12529" max="12529" width="14.42578125" style="723" customWidth="1"/>
    <col min="12530" max="12530" width="6.5703125" style="723" customWidth="1"/>
    <col min="12531" max="12531" width="23.85546875" style="723" customWidth="1"/>
    <col min="12532" max="12532" width="6.28515625" style="723" customWidth="1"/>
    <col min="12533" max="12545" width="5.42578125" style="723" customWidth="1"/>
    <col min="12546" max="12546" width="6.42578125" style="723" customWidth="1"/>
    <col min="12547" max="12547" width="6.28515625" style="723" customWidth="1"/>
    <col min="12548" max="12548" width="12.85546875" style="723" bestFit="1" customWidth="1"/>
    <col min="12549" max="12549" width="13.42578125" style="723" bestFit="1" customWidth="1"/>
    <col min="12550" max="12550" width="6.7109375" style="723" customWidth="1"/>
    <col min="12551" max="12551" width="10.5703125" style="723" customWidth="1"/>
    <col min="12552" max="12552" width="10.140625" style="723" customWidth="1"/>
    <col min="12553" max="12783" width="9.140625" style="723"/>
    <col min="12784" max="12784" width="3.7109375" style="723" customWidth="1"/>
    <col min="12785" max="12785" width="14.42578125" style="723" customWidth="1"/>
    <col min="12786" max="12786" width="6.5703125" style="723" customWidth="1"/>
    <col min="12787" max="12787" width="23.85546875" style="723" customWidth="1"/>
    <col min="12788" max="12788" width="6.28515625" style="723" customWidth="1"/>
    <col min="12789" max="12801" width="5.42578125" style="723" customWidth="1"/>
    <col min="12802" max="12802" width="6.42578125" style="723" customWidth="1"/>
    <col min="12803" max="12803" width="6.28515625" style="723" customWidth="1"/>
    <col min="12804" max="12804" width="12.85546875" style="723" bestFit="1" customWidth="1"/>
    <col min="12805" max="12805" width="13.42578125" style="723" bestFit="1" customWidth="1"/>
    <col min="12806" max="12806" width="6.7109375" style="723" customWidth="1"/>
    <col min="12807" max="12807" width="10.5703125" style="723" customWidth="1"/>
    <col min="12808" max="12808" width="10.140625" style="723" customWidth="1"/>
    <col min="12809" max="13039" width="9.140625" style="723"/>
    <col min="13040" max="13040" width="3.7109375" style="723" customWidth="1"/>
    <col min="13041" max="13041" width="14.42578125" style="723" customWidth="1"/>
    <col min="13042" max="13042" width="6.5703125" style="723" customWidth="1"/>
    <col min="13043" max="13043" width="23.85546875" style="723" customWidth="1"/>
    <col min="13044" max="13044" width="6.28515625" style="723" customWidth="1"/>
    <col min="13045" max="13057" width="5.42578125" style="723" customWidth="1"/>
    <col min="13058" max="13058" width="6.42578125" style="723" customWidth="1"/>
    <col min="13059" max="13059" width="6.28515625" style="723" customWidth="1"/>
    <col min="13060" max="13060" width="12.85546875" style="723" bestFit="1" customWidth="1"/>
    <col min="13061" max="13061" width="13.42578125" style="723" bestFit="1" customWidth="1"/>
    <col min="13062" max="13062" width="6.7109375" style="723" customWidth="1"/>
    <col min="13063" max="13063" width="10.5703125" style="723" customWidth="1"/>
    <col min="13064" max="13064" width="10.140625" style="723" customWidth="1"/>
    <col min="13065" max="13295" width="9.140625" style="723"/>
    <col min="13296" max="13296" width="3.7109375" style="723" customWidth="1"/>
    <col min="13297" max="13297" width="14.42578125" style="723" customWidth="1"/>
    <col min="13298" max="13298" width="6.5703125" style="723" customWidth="1"/>
    <col min="13299" max="13299" width="23.85546875" style="723" customWidth="1"/>
    <col min="13300" max="13300" width="6.28515625" style="723" customWidth="1"/>
    <col min="13301" max="13313" width="5.42578125" style="723" customWidth="1"/>
    <col min="13314" max="13314" width="6.42578125" style="723" customWidth="1"/>
    <col min="13315" max="13315" width="6.28515625" style="723" customWidth="1"/>
    <col min="13316" max="13316" width="12.85546875" style="723" bestFit="1" customWidth="1"/>
    <col min="13317" max="13317" width="13.42578125" style="723" bestFit="1" customWidth="1"/>
    <col min="13318" max="13318" width="6.7109375" style="723" customWidth="1"/>
    <col min="13319" max="13319" width="10.5703125" style="723" customWidth="1"/>
    <col min="13320" max="13320" width="10.140625" style="723" customWidth="1"/>
    <col min="13321" max="13551" width="9.140625" style="723"/>
    <col min="13552" max="13552" width="3.7109375" style="723" customWidth="1"/>
    <col min="13553" max="13553" width="14.42578125" style="723" customWidth="1"/>
    <col min="13554" max="13554" width="6.5703125" style="723" customWidth="1"/>
    <col min="13555" max="13555" width="23.85546875" style="723" customWidth="1"/>
    <col min="13556" max="13556" width="6.28515625" style="723" customWidth="1"/>
    <col min="13557" max="13569" width="5.42578125" style="723" customWidth="1"/>
    <col min="13570" max="13570" width="6.42578125" style="723" customWidth="1"/>
    <col min="13571" max="13571" width="6.28515625" style="723" customWidth="1"/>
    <col min="13572" max="13572" width="12.85546875" style="723" bestFit="1" customWidth="1"/>
    <col min="13573" max="13573" width="13.42578125" style="723" bestFit="1" customWidth="1"/>
    <col min="13574" max="13574" width="6.7109375" style="723" customWidth="1"/>
    <col min="13575" max="13575" width="10.5703125" style="723" customWidth="1"/>
    <col min="13576" max="13576" width="10.140625" style="723" customWidth="1"/>
    <col min="13577" max="13807" width="9.140625" style="723"/>
    <col min="13808" max="13808" width="3.7109375" style="723" customWidth="1"/>
    <col min="13809" max="13809" width="14.42578125" style="723" customWidth="1"/>
    <col min="13810" max="13810" width="6.5703125" style="723" customWidth="1"/>
    <col min="13811" max="13811" width="23.85546875" style="723" customWidth="1"/>
    <col min="13812" max="13812" width="6.28515625" style="723" customWidth="1"/>
    <col min="13813" max="13825" width="5.42578125" style="723" customWidth="1"/>
    <col min="13826" max="13826" width="6.42578125" style="723" customWidth="1"/>
    <col min="13827" max="13827" width="6.28515625" style="723" customWidth="1"/>
    <col min="13828" max="13828" width="12.85546875" style="723" bestFit="1" customWidth="1"/>
    <col min="13829" max="13829" width="13.42578125" style="723" bestFit="1" customWidth="1"/>
    <col min="13830" max="13830" width="6.7109375" style="723" customWidth="1"/>
    <col min="13831" max="13831" width="10.5703125" style="723" customWidth="1"/>
    <col min="13832" max="13832" width="10.140625" style="723" customWidth="1"/>
    <col min="13833" max="14063" width="9.140625" style="723"/>
    <col min="14064" max="14064" width="3.7109375" style="723" customWidth="1"/>
    <col min="14065" max="14065" width="14.42578125" style="723" customWidth="1"/>
    <col min="14066" max="14066" width="6.5703125" style="723" customWidth="1"/>
    <col min="14067" max="14067" width="23.85546875" style="723" customWidth="1"/>
    <col min="14068" max="14068" width="6.28515625" style="723" customWidth="1"/>
    <col min="14069" max="14081" width="5.42578125" style="723" customWidth="1"/>
    <col min="14082" max="14082" width="6.42578125" style="723" customWidth="1"/>
    <col min="14083" max="14083" width="6.28515625" style="723" customWidth="1"/>
    <col min="14084" max="14084" width="12.85546875" style="723" bestFit="1" customWidth="1"/>
    <col min="14085" max="14085" width="13.42578125" style="723" bestFit="1" customWidth="1"/>
    <col min="14086" max="14086" width="6.7109375" style="723" customWidth="1"/>
    <col min="14087" max="14087" width="10.5703125" style="723" customWidth="1"/>
    <col min="14088" max="14088" width="10.140625" style="723" customWidth="1"/>
    <col min="14089" max="14319" width="9.140625" style="723"/>
    <col min="14320" max="14320" width="3.7109375" style="723" customWidth="1"/>
    <col min="14321" max="14321" width="14.42578125" style="723" customWidth="1"/>
    <col min="14322" max="14322" width="6.5703125" style="723" customWidth="1"/>
    <col min="14323" max="14323" width="23.85546875" style="723" customWidth="1"/>
    <col min="14324" max="14324" width="6.28515625" style="723" customWidth="1"/>
    <col min="14325" max="14337" width="5.42578125" style="723" customWidth="1"/>
    <col min="14338" max="14338" width="6.42578125" style="723" customWidth="1"/>
    <col min="14339" max="14339" width="6.28515625" style="723" customWidth="1"/>
    <col min="14340" max="14340" width="12.85546875" style="723" bestFit="1" customWidth="1"/>
    <col min="14341" max="14341" width="13.42578125" style="723" bestFit="1" customWidth="1"/>
    <col min="14342" max="14342" width="6.7109375" style="723" customWidth="1"/>
    <col min="14343" max="14343" width="10.5703125" style="723" customWidth="1"/>
    <col min="14344" max="14344" width="10.140625" style="723" customWidth="1"/>
    <col min="14345" max="14575" width="9.140625" style="723"/>
    <col min="14576" max="14576" width="3.7109375" style="723" customWidth="1"/>
    <col min="14577" max="14577" width="14.42578125" style="723" customWidth="1"/>
    <col min="14578" max="14578" width="6.5703125" style="723" customWidth="1"/>
    <col min="14579" max="14579" width="23.85546875" style="723" customWidth="1"/>
    <col min="14580" max="14580" width="6.28515625" style="723" customWidth="1"/>
    <col min="14581" max="14593" width="5.42578125" style="723" customWidth="1"/>
    <col min="14594" max="14594" width="6.42578125" style="723" customWidth="1"/>
    <col min="14595" max="14595" width="6.28515625" style="723" customWidth="1"/>
    <col min="14596" max="14596" width="12.85546875" style="723" bestFit="1" customWidth="1"/>
    <col min="14597" max="14597" width="13.42578125" style="723" bestFit="1" customWidth="1"/>
    <col min="14598" max="14598" width="6.7109375" style="723" customWidth="1"/>
    <col min="14599" max="14599" width="10.5703125" style="723" customWidth="1"/>
    <col min="14600" max="14600" width="10.140625" style="723" customWidth="1"/>
    <col min="14601" max="14831" width="9.140625" style="723"/>
    <col min="14832" max="14832" width="3.7109375" style="723" customWidth="1"/>
    <col min="14833" max="14833" width="14.42578125" style="723" customWidth="1"/>
    <col min="14834" max="14834" width="6.5703125" style="723" customWidth="1"/>
    <col min="14835" max="14835" width="23.85546875" style="723" customWidth="1"/>
    <col min="14836" max="14836" width="6.28515625" style="723" customWidth="1"/>
    <col min="14837" max="14849" width="5.42578125" style="723" customWidth="1"/>
    <col min="14850" max="14850" width="6.42578125" style="723" customWidth="1"/>
    <col min="14851" max="14851" width="6.28515625" style="723" customWidth="1"/>
    <col min="14852" max="14852" width="12.85546875" style="723" bestFit="1" customWidth="1"/>
    <col min="14853" max="14853" width="13.42578125" style="723" bestFit="1" customWidth="1"/>
    <col min="14854" max="14854" width="6.7109375" style="723" customWidth="1"/>
    <col min="14855" max="14855" width="10.5703125" style="723" customWidth="1"/>
    <col min="14856" max="14856" width="10.140625" style="723" customWidth="1"/>
    <col min="14857" max="15087" width="9.140625" style="723"/>
    <col min="15088" max="15088" width="3.7109375" style="723" customWidth="1"/>
    <col min="15089" max="15089" width="14.42578125" style="723" customWidth="1"/>
    <col min="15090" max="15090" width="6.5703125" style="723" customWidth="1"/>
    <col min="15091" max="15091" width="23.85546875" style="723" customWidth="1"/>
    <col min="15092" max="15092" width="6.28515625" style="723" customWidth="1"/>
    <col min="15093" max="15105" width="5.42578125" style="723" customWidth="1"/>
    <col min="15106" max="15106" width="6.42578125" style="723" customWidth="1"/>
    <col min="15107" max="15107" width="6.28515625" style="723" customWidth="1"/>
    <col min="15108" max="15108" width="12.85546875" style="723" bestFit="1" customWidth="1"/>
    <col min="15109" max="15109" width="13.42578125" style="723" bestFit="1" customWidth="1"/>
    <col min="15110" max="15110" width="6.7109375" style="723" customWidth="1"/>
    <col min="15111" max="15111" width="10.5703125" style="723" customWidth="1"/>
    <col min="15112" max="15112" width="10.140625" style="723" customWidth="1"/>
    <col min="15113" max="15343" width="9.140625" style="723"/>
    <col min="15344" max="15344" width="3.7109375" style="723" customWidth="1"/>
    <col min="15345" max="15345" width="14.42578125" style="723" customWidth="1"/>
    <col min="15346" max="15346" width="6.5703125" style="723" customWidth="1"/>
    <col min="15347" max="15347" width="23.85546875" style="723" customWidth="1"/>
    <col min="15348" max="15348" width="6.28515625" style="723" customWidth="1"/>
    <col min="15349" max="15361" width="5.42578125" style="723" customWidth="1"/>
    <col min="15362" max="15362" width="6.42578125" style="723" customWidth="1"/>
    <col min="15363" max="15363" width="6.28515625" style="723" customWidth="1"/>
    <col min="15364" max="15364" width="12.85546875" style="723" bestFit="1" customWidth="1"/>
    <col min="15365" max="15365" width="13.42578125" style="723" bestFit="1" customWidth="1"/>
    <col min="15366" max="15366" width="6.7109375" style="723" customWidth="1"/>
    <col min="15367" max="15367" width="10.5703125" style="723" customWidth="1"/>
    <col min="15368" max="15368" width="10.140625" style="723" customWidth="1"/>
    <col min="15369" max="15599" width="9.140625" style="723"/>
    <col min="15600" max="15600" width="3.7109375" style="723" customWidth="1"/>
    <col min="15601" max="15601" width="14.42578125" style="723" customWidth="1"/>
    <col min="15602" max="15602" width="6.5703125" style="723" customWidth="1"/>
    <col min="15603" max="15603" width="23.85546875" style="723" customWidth="1"/>
    <col min="15604" max="15604" width="6.28515625" style="723" customWidth="1"/>
    <col min="15605" max="15617" width="5.42578125" style="723" customWidth="1"/>
    <col min="15618" max="15618" width="6.42578125" style="723" customWidth="1"/>
    <col min="15619" max="15619" width="6.28515625" style="723" customWidth="1"/>
    <col min="15620" max="15620" width="12.85546875" style="723" bestFit="1" customWidth="1"/>
    <col min="15621" max="15621" width="13.42578125" style="723" bestFit="1" customWidth="1"/>
    <col min="15622" max="15622" width="6.7109375" style="723" customWidth="1"/>
    <col min="15623" max="15623" width="10.5703125" style="723" customWidth="1"/>
    <col min="15624" max="15624" width="10.140625" style="723" customWidth="1"/>
    <col min="15625" max="15855" width="9.140625" style="723"/>
    <col min="15856" max="15856" width="3.7109375" style="723" customWidth="1"/>
    <col min="15857" max="15857" width="14.42578125" style="723" customWidth="1"/>
    <col min="15858" max="15858" width="6.5703125" style="723" customWidth="1"/>
    <col min="15859" max="15859" width="23.85546875" style="723" customWidth="1"/>
    <col min="15860" max="15860" width="6.28515625" style="723" customWidth="1"/>
    <col min="15861" max="15873" width="5.42578125" style="723" customWidth="1"/>
    <col min="15874" max="15874" width="6.42578125" style="723" customWidth="1"/>
    <col min="15875" max="15875" width="6.28515625" style="723" customWidth="1"/>
    <col min="15876" max="15876" width="12.85546875" style="723" bestFit="1" customWidth="1"/>
    <col min="15877" max="15877" width="13.42578125" style="723" bestFit="1" customWidth="1"/>
    <col min="15878" max="15878" width="6.7109375" style="723" customWidth="1"/>
    <col min="15879" max="15879" width="10.5703125" style="723" customWidth="1"/>
    <col min="15880" max="15880" width="10.140625" style="723" customWidth="1"/>
    <col min="15881" max="16111" width="9.140625" style="723"/>
    <col min="16112" max="16112" width="3.7109375" style="723" customWidth="1"/>
    <col min="16113" max="16113" width="14.42578125" style="723" customWidth="1"/>
    <col min="16114" max="16114" width="6.5703125" style="723" customWidth="1"/>
    <col min="16115" max="16115" width="23.85546875" style="723" customWidth="1"/>
    <col min="16116" max="16116" width="6.28515625" style="723" customWidth="1"/>
    <col min="16117" max="16129" width="5.42578125" style="723" customWidth="1"/>
    <col min="16130" max="16130" width="6.42578125" style="723" customWidth="1"/>
    <col min="16131" max="16131" width="6.28515625" style="723" customWidth="1"/>
    <col min="16132" max="16132" width="12.85546875" style="723" bestFit="1" customWidth="1"/>
    <col min="16133" max="16133" width="13.42578125" style="723" bestFit="1" customWidth="1"/>
    <col min="16134" max="16134" width="6.7109375" style="723" customWidth="1"/>
    <col min="16135" max="16135" width="10.5703125" style="723" customWidth="1"/>
    <col min="16136" max="16136" width="10.140625" style="723" customWidth="1"/>
    <col min="16137" max="16384" width="9.140625" style="723"/>
  </cols>
  <sheetData>
    <row r="1" spans="1:16" x14ac:dyDescent="0.25">
      <c r="A1" s="650"/>
      <c r="B1" s="745"/>
      <c r="C1" s="745"/>
      <c r="E1" s="773"/>
      <c r="F1" s="773"/>
      <c r="G1" s="773"/>
      <c r="H1" s="773"/>
      <c r="I1" s="773"/>
      <c r="J1" s="773"/>
      <c r="K1" s="773"/>
      <c r="L1" s="773"/>
    </row>
    <row r="2" spans="1:16" ht="12.75" customHeight="1" x14ac:dyDescent="0.25">
      <c r="A2" s="650">
        <v>1</v>
      </c>
      <c r="B2" s="650" t="s">
        <v>24</v>
      </c>
      <c r="C2" s="650">
        <f>1+'[14]Poverty Headcount'!C2</f>
        <v>25</v>
      </c>
      <c r="D2" s="3556" t="s">
        <v>618</v>
      </c>
      <c r="E2" s="3557"/>
      <c r="F2" s="3557"/>
      <c r="G2" s="3557"/>
      <c r="H2" s="3557"/>
      <c r="I2" s="3557"/>
      <c r="J2" s="3557"/>
      <c r="K2" s="3557"/>
      <c r="L2" s="3557"/>
      <c r="M2" s="3557"/>
      <c r="N2" s="3557"/>
      <c r="O2" s="3557"/>
      <c r="P2" s="3558"/>
    </row>
    <row r="3" spans="1:16" ht="12.75" customHeight="1" x14ac:dyDescent="0.25">
      <c r="A3" s="650">
        <v>2</v>
      </c>
      <c r="B3" s="650" t="s">
        <v>26</v>
      </c>
      <c r="C3" s="650"/>
      <c r="D3" s="3553" t="s">
        <v>551</v>
      </c>
      <c r="E3" s="3554"/>
      <c r="F3" s="3554"/>
      <c r="G3" s="3554"/>
      <c r="H3" s="3554"/>
      <c r="I3" s="3554"/>
      <c r="J3" s="3554"/>
      <c r="K3" s="3554"/>
      <c r="L3" s="3554"/>
      <c r="M3" s="3554"/>
      <c r="N3" s="3554"/>
      <c r="O3" s="3554"/>
      <c r="P3" s="3555"/>
    </row>
    <row r="4" spans="1:16" ht="12.75" customHeight="1" x14ac:dyDescent="0.25">
      <c r="A4" s="650">
        <v>3</v>
      </c>
      <c r="B4" s="650" t="s">
        <v>28</v>
      </c>
      <c r="C4" s="650"/>
      <c r="D4" s="3553" t="s">
        <v>617</v>
      </c>
      <c r="E4" s="3554"/>
      <c r="F4" s="3554"/>
      <c r="G4" s="3554"/>
      <c r="H4" s="3554"/>
      <c r="I4" s="3554"/>
      <c r="J4" s="3554"/>
      <c r="K4" s="3554"/>
      <c r="L4" s="3554"/>
      <c r="M4" s="3554"/>
      <c r="N4" s="3554"/>
      <c r="O4" s="3554"/>
      <c r="P4" s="3555"/>
    </row>
    <row r="5" spans="1:16" ht="12.75" customHeight="1" x14ac:dyDescent="0.25">
      <c r="A5" s="650"/>
      <c r="B5" s="650"/>
      <c r="C5" s="650"/>
      <c r="D5" s="138"/>
      <c r="E5" s="138"/>
      <c r="F5" s="138"/>
      <c r="G5" s="138"/>
      <c r="H5" s="138"/>
      <c r="I5" s="138"/>
      <c r="J5" s="138"/>
      <c r="K5" s="138"/>
      <c r="L5" s="138"/>
    </row>
    <row r="6" spans="1:16" ht="15" customHeight="1" x14ac:dyDescent="0.25">
      <c r="A6" s="650">
        <v>4</v>
      </c>
      <c r="B6" s="650" t="s">
        <v>1</v>
      </c>
      <c r="C6" s="650"/>
    </row>
    <row r="7" spans="1:16" s="58" customFormat="1" ht="15" customHeight="1" x14ac:dyDescent="0.2">
      <c r="A7" s="737"/>
      <c r="C7" s="737"/>
      <c r="D7" s="746"/>
      <c r="E7" s="655"/>
      <c r="F7" s="655"/>
      <c r="G7" s="442"/>
      <c r="H7" s="2471"/>
      <c r="I7" s="760"/>
      <c r="J7" s="760"/>
      <c r="K7" s="759"/>
      <c r="L7" s="759"/>
    </row>
    <row r="8" spans="1:16" s="751" customFormat="1" ht="17.45" customHeight="1" x14ac:dyDescent="0.2">
      <c r="A8" s="738"/>
      <c r="B8" s="737"/>
      <c r="C8" s="737"/>
      <c r="D8" s="173" t="s">
        <v>31</v>
      </c>
      <c r="E8" s="655" t="s">
        <v>616</v>
      </c>
      <c r="F8" s="757"/>
      <c r="G8" s="655"/>
      <c r="H8" s="757"/>
      <c r="I8" s="757"/>
      <c r="J8" s="757"/>
      <c r="K8" s="757"/>
      <c r="L8" s="756"/>
    </row>
    <row r="9" spans="1:16" s="751" customFormat="1" ht="16.899999999999999" customHeight="1" x14ac:dyDescent="0.25">
      <c r="A9" s="738"/>
      <c r="B9" s="737"/>
      <c r="C9" s="737"/>
      <c r="D9" s="3351" t="s">
        <v>583</v>
      </c>
      <c r="E9" s="753">
        <v>2006</v>
      </c>
      <c r="F9" s="753">
        <v>2009</v>
      </c>
      <c r="G9" s="3350">
        <v>2011</v>
      </c>
      <c r="H9" s="770"/>
      <c r="I9" s="770"/>
      <c r="J9" s="770"/>
      <c r="K9" s="770"/>
      <c r="L9" s="770"/>
      <c r="M9" s="770"/>
      <c r="N9" s="770"/>
      <c r="O9" s="3733"/>
      <c r="P9" s="3733"/>
    </row>
    <row r="10" spans="1:16" s="751" customFormat="1" ht="16.899999999999999" customHeight="1" x14ac:dyDescent="0.25">
      <c r="A10" s="738"/>
      <c r="B10" s="737"/>
      <c r="C10" s="737"/>
      <c r="D10" s="3352" t="s">
        <v>415</v>
      </c>
      <c r="E10" s="2472">
        <v>34.1</v>
      </c>
      <c r="F10" s="2472">
        <v>36.700000000000003</v>
      </c>
      <c r="G10" s="3347">
        <v>27</v>
      </c>
      <c r="H10" s="770"/>
      <c r="I10" s="770"/>
      <c r="J10" s="770"/>
      <c r="K10" s="770"/>
      <c r="L10" s="770"/>
      <c r="M10" s="770"/>
      <c r="N10" s="770"/>
      <c r="O10" s="1469"/>
      <c r="P10" s="1469"/>
    </row>
    <row r="11" spans="1:16" s="751" customFormat="1" ht="16.899999999999999" customHeight="1" x14ac:dyDescent="0.25">
      <c r="A11" s="738"/>
      <c r="B11" s="737"/>
      <c r="C11" s="737"/>
      <c r="D11" s="3352" t="s">
        <v>417</v>
      </c>
      <c r="E11" s="2472">
        <v>22</v>
      </c>
      <c r="F11" s="2472">
        <v>28.4</v>
      </c>
      <c r="G11" s="3348">
        <v>17.5</v>
      </c>
      <c r="H11" s="770"/>
      <c r="I11" s="770"/>
      <c r="J11" s="770"/>
      <c r="K11" s="770"/>
      <c r="L11" s="770"/>
      <c r="M11" s="770"/>
      <c r="N11" s="770"/>
      <c r="O11" s="1469"/>
      <c r="P11" s="1469"/>
    </row>
    <row r="12" spans="1:16" s="751" customFormat="1" ht="16.899999999999999" customHeight="1" x14ac:dyDescent="0.25">
      <c r="A12" s="738"/>
      <c r="B12" s="737"/>
      <c r="C12" s="737"/>
      <c r="D12" s="3352" t="s">
        <v>420</v>
      </c>
      <c r="E12" s="2472">
        <v>11.3</v>
      </c>
      <c r="F12" s="2472">
        <v>13.1</v>
      </c>
      <c r="G12" s="3348">
        <v>8.1</v>
      </c>
      <c r="H12" s="770"/>
      <c r="I12" s="770"/>
      <c r="J12" s="770"/>
      <c r="K12" s="770"/>
      <c r="L12" s="770"/>
      <c r="M12" s="770"/>
      <c r="N12" s="770"/>
      <c r="O12" s="1469"/>
      <c r="P12" s="1469"/>
    </row>
    <row r="13" spans="1:16" s="751" customFormat="1" ht="16.899999999999999" customHeight="1" x14ac:dyDescent="0.25">
      <c r="A13" s="738"/>
      <c r="B13" s="737"/>
      <c r="C13" s="737"/>
      <c r="D13" s="3352" t="s">
        <v>418</v>
      </c>
      <c r="E13" s="2472">
        <v>35.700000000000003</v>
      </c>
      <c r="F13" s="2472">
        <v>33.4</v>
      </c>
      <c r="G13" s="3348">
        <v>25.5</v>
      </c>
      <c r="H13" s="770"/>
      <c r="I13" s="770"/>
      <c r="J13" s="770"/>
      <c r="K13" s="770"/>
      <c r="L13" s="770"/>
      <c r="M13" s="770"/>
      <c r="N13" s="770"/>
      <c r="O13" s="1469"/>
      <c r="P13" s="1469"/>
    </row>
    <row r="14" spans="1:16" s="751" customFormat="1" ht="16.899999999999999" customHeight="1" x14ac:dyDescent="0.25">
      <c r="A14" s="738"/>
      <c r="B14" s="737"/>
      <c r="C14" s="737"/>
      <c r="D14" s="3352" t="s">
        <v>422</v>
      </c>
      <c r="E14" s="2472">
        <v>36.799999999999997</v>
      </c>
      <c r="F14" s="2472">
        <v>44.4</v>
      </c>
      <c r="G14" s="3348">
        <v>30</v>
      </c>
      <c r="H14" s="770"/>
      <c r="I14" s="770"/>
      <c r="J14" s="770"/>
      <c r="K14" s="770"/>
      <c r="L14" s="770"/>
      <c r="M14" s="770"/>
      <c r="N14" s="770"/>
      <c r="O14" s="1469"/>
      <c r="P14" s="1469"/>
    </row>
    <row r="15" spans="1:16" s="751" customFormat="1" ht="16.899999999999999" customHeight="1" x14ac:dyDescent="0.25">
      <c r="A15" s="738"/>
      <c r="B15" s="737"/>
      <c r="C15" s="737"/>
      <c r="D15" s="3352" t="s">
        <v>421</v>
      </c>
      <c r="E15" s="2472">
        <v>32</v>
      </c>
      <c r="F15" s="2472">
        <v>34.1</v>
      </c>
      <c r="G15" s="3348">
        <v>21.7</v>
      </c>
      <c r="H15" s="770"/>
      <c r="I15" s="770"/>
      <c r="J15" s="770"/>
      <c r="K15" s="770"/>
      <c r="L15" s="770"/>
      <c r="M15" s="770"/>
      <c r="N15" s="770"/>
      <c r="O15" s="1469"/>
      <c r="P15" s="1469"/>
    </row>
    <row r="16" spans="1:16" s="751" customFormat="1" ht="16.899999999999999" customHeight="1" x14ac:dyDescent="0.25">
      <c r="A16" s="738"/>
      <c r="B16" s="737"/>
      <c r="C16" s="737"/>
      <c r="D16" s="3352" t="s">
        <v>416</v>
      </c>
      <c r="E16" s="2472">
        <v>31.1</v>
      </c>
      <c r="F16" s="2472">
        <v>29.9</v>
      </c>
      <c r="G16" s="3348">
        <v>19.100000000000001</v>
      </c>
      <c r="H16" s="770"/>
      <c r="I16" s="770"/>
      <c r="J16" s="770"/>
      <c r="K16" s="770"/>
      <c r="L16" s="770"/>
      <c r="M16" s="770"/>
      <c r="N16" s="770"/>
      <c r="O16" s="1469"/>
      <c r="P16" s="1469"/>
    </row>
    <row r="17" spans="1:16" s="751" customFormat="1" ht="16.899999999999999" customHeight="1" x14ac:dyDescent="0.25">
      <c r="A17" s="738"/>
      <c r="B17" s="737"/>
      <c r="C17" s="737"/>
      <c r="D17" s="3352" t="s">
        <v>419</v>
      </c>
      <c r="E17" s="2472">
        <v>28.1</v>
      </c>
      <c r="F17" s="2472">
        <v>29.3</v>
      </c>
      <c r="G17" s="3348">
        <v>22.6</v>
      </c>
      <c r="H17" s="770"/>
      <c r="I17" s="770"/>
      <c r="J17" s="770"/>
      <c r="K17" s="770"/>
      <c r="L17" s="770"/>
      <c r="M17" s="770"/>
      <c r="N17" s="770"/>
      <c r="O17" s="1469"/>
      <c r="P17" s="1469"/>
    </row>
    <row r="18" spans="1:16" s="751" customFormat="1" ht="16.899999999999999" customHeight="1" x14ac:dyDescent="0.25">
      <c r="A18" s="738"/>
      <c r="B18" s="737"/>
      <c r="C18" s="737"/>
      <c r="D18" s="3352" t="s">
        <v>414</v>
      </c>
      <c r="E18" s="2472">
        <v>13.8</v>
      </c>
      <c r="F18" s="2472">
        <v>13.8</v>
      </c>
      <c r="G18" s="3348">
        <v>8.5</v>
      </c>
      <c r="H18" s="770"/>
      <c r="I18" s="770"/>
      <c r="J18" s="770"/>
      <c r="K18" s="770"/>
      <c r="L18" s="770"/>
      <c r="M18" s="770"/>
      <c r="N18" s="770"/>
      <c r="O18" s="1469"/>
      <c r="P18" s="1469"/>
    </row>
    <row r="19" spans="1:16" s="58" customFormat="1" ht="16.5" customHeight="1" x14ac:dyDescent="0.25">
      <c r="A19" s="738"/>
      <c r="B19" s="737"/>
      <c r="C19" s="737"/>
      <c r="D19" s="3353" t="s">
        <v>0</v>
      </c>
      <c r="E19" s="2473">
        <v>26.7</v>
      </c>
      <c r="F19" s="2473">
        <v>27.9</v>
      </c>
      <c r="G19" s="3349">
        <v>19.600000000000001</v>
      </c>
      <c r="H19" s="2474"/>
      <c r="I19" s="2474"/>
      <c r="J19" s="2474"/>
      <c r="K19" s="2474"/>
      <c r="L19" s="2474"/>
      <c r="M19" s="2474"/>
      <c r="N19" s="2474"/>
      <c r="O19" s="2475"/>
      <c r="P19" s="2476"/>
    </row>
    <row r="20" spans="1:16" s="58" customFormat="1" ht="16.5" customHeight="1" x14ac:dyDescent="0.2">
      <c r="A20" s="738"/>
      <c r="B20" s="737"/>
      <c r="C20" s="737"/>
      <c r="D20" s="438"/>
      <c r="E20" s="714"/>
      <c r="F20" s="714"/>
      <c r="G20" s="714"/>
      <c r="H20" s="2474"/>
      <c r="I20" s="2474"/>
      <c r="J20" s="2474"/>
      <c r="K20" s="2474"/>
      <c r="L20" s="2474"/>
      <c r="M20" s="2474"/>
      <c r="N20" s="2474"/>
      <c r="O20" s="2475"/>
      <c r="P20" s="2476"/>
    </row>
    <row r="21" spans="1:16" s="58" customFormat="1" ht="16.5" customHeight="1" x14ac:dyDescent="0.2">
      <c r="A21" s="738"/>
      <c r="B21" s="737"/>
      <c r="C21" s="737"/>
      <c r="D21" s="438"/>
      <c r="E21" s="714"/>
      <c r="F21" s="714"/>
      <c r="G21" s="714"/>
      <c r="H21" s="2474"/>
      <c r="I21" s="2474"/>
      <c r="J21" s="2474"/>
      <c r="K21" s="2474"/>
      <c r="L21" s="2474"/>
      <c r="M21" s="2474"/>
      <c r="N21" s="2474"/>
      <c r="O21" s="2475"/>
      <c r="P21" s="2476"/>
    </row>
    <row r="22" spans="1:16" s="58" customFormat="1" ht="15" customHeight="1" x14ac:dyDescent="0.2">
      <c r="A22" s="737"/>
      <c r="C22" s="737"/>
      <c r="D22" s="172" t="s">
        <v>55</v>
      </c>
      <c r="E22" s="772" t="s">
        <v>615</v>
      </c>
      <c r="F22" s="771"/>
      <c r="G22" s="772"/>
      <c r="H22" s="757"/>
      <c r="I22" s="757"/>
      <c r="J22" s="757"/>
      <c r="K22" s="757"/>
      <c r="L22" s="756"/>
    </row>
    <row r="23" spans="1:16" s="58" customFormat="1" ht="15" customHeight="1" x14ac:dyDescent="0.25">
      <c r="A23" s="737"/>
      <c r="C23" s="737"/>
      <c r="D23" s="3351" t="s">
        <v>583</v>
      </c>
      <c r="E23" s="753">
        <v>2006</v>
      </c>
      <c r="F23" s="753">
        <v>2009</v>
      </c>
      <c r="G23" s="3350">
        <v>2011</v>
      </c>
      <c r="H23" s="770"/>
      <c r="I23" s="770"/>
      <c r="J23" s="770"/>
      <c r="K23" s="770"/>
      <c r="L23" s="770"/>
      <c r="M23" s="770"/>
      <c r="N23" s="770"/>
      <c r="O23" s="3733"/>
      <c r="P23" s="3733"/>
    </row>
    <row r="24" spans="1:16" s="58" customFormat="1" ht="15" customHeight="1" x14ac:dyDescent="0.25">
      <c r="A24" s="737"/>
      <c r="C24" s="737"/>
      <c r="D24" s="3352" t="s">
        <v>415</v>
      </c>
      <c r="E24" s="2472">
        <v>19.7</v>
      </c>
      <c r="F24" s="2472">
        <v>22.6</v>
      </c>
      <c r="G24" s="3348">
        <v>15.3</v>
      </c>
      <c r="H24" s="770"/>
      <c r="I24" s="770"/>
      <c r="J24" s="770"/>
      <c r="K24" s="770"/>
      <c r="L24" s="770"/>
      <c r="M24" s="770"/>
      <c r="N24" s="770"/>
      <c r="O24" s="1469"/>
      <c r="P24" s="1469"/>
    </row>
    <row r="25" spans="1:16" s="58" customFormat="1" ht="15" customHeight="1" x14ac:dyDescent="0.25">
      <c r="A25" s="737"/>
      <c r="C25" s="737"/>
      <c r="D25" s="3352" t="s">
        <v>417</v>
      </c>
      <c r="E25" s="2472">
        <v>11.4</v>
      </c>
      <c r="F25" s="2472">
        <v>15.8</v>
      </c>
      <c r="G25" s="3348">
        <v>9.3000000000000007</v>
      </c>
      <c r="H25" s="770"/>
      <c r="I25" s="770"/>
      <c r="J25" s="770"/>
      <c r="K25" s="770"/>
      <c r="L25" s="770"/>
      <c r="M25" s="770"/>
      <c r="N25" s="770"/>
      <c r="O25" s="1469"/>
      <c r="P25" s="1469"/>
    </row>
    <row r="26" spans="1:16" s="58" customFormat="1" ht="15" customHeight="1" x14ac:dyDescent="0.25">
      <c r="A26" s="737"/>
      <c r="C26" s="737"/>
      <c r="D26" s="3352" t="s">
        <v>420</v>
      </c>
      <c r="E26" s="2472">
        <v>5.3</v>
      </c>
      <c r="F26" s="2472">
        <v>6.8</v>
      </c>
      <c r="G26" s="3348">
        <v>4.0999999999999996</v>
      </c>
      <c r="H26" s="770"/>
      <c r="I26" s="770"/>
      <c r="J26" s="770"/>
      <c r="K26" s="770"/>
      <c r="L26" s="770"/>
      <c r="M26" s="770"/>
      <c r="N26" s="770"/>
      <c r="O26" s="1469"/>
      <c r="P26" s="1469"/>
    </row>
    <row r="27" spans="1:16" s="58" customFormat="1" ht="15" customHeight="1" x14ac:dyDescent="0.25">
      <c r="A27" s="737"/>
      <c r="C27" s="737"/>
      <c r="D27" s="3352" t="s">
        <v>418</v>
      </c>
      <c r="E27" s="2472">
        <v>22</v>
      </c>
      <c r="F27" s="2472">
        <v>20.6</v>
      </c>
      <c r="G27" s="3348">
        <v>14.4</v>
      </c>
      <c r="H27" s="770"/>
      <c r="I27" s="770"/>
      <c r="J27" s="770"/>
      <c r="K27" s="770"/>
      <c r="L27" s="770"/>
      <c r="M27" s="770"/>
      <c r="N27" s="770"/>
      <c r="O27" s="1469"/>
      <c r="P27" s="1469"/>
    </row>
    <row r="28" spans="1:16" s="58" customFormat="1" ht="15" customHeight="1" x14ac:dyDescent="0.25">
      <c r="A28" s="737"/>
      <c r="C28" s="737"/>
      <c r="D28" s="3352" t="s">
        <v>422</v>
      </c>
      <c r="E28" s="2472">
        <v>21.9</v>
      </c>
      <c r="F28" s="2472">
        <v>28.6</v>
      </c>
      <c r="G28" s="3348">
        <v>17.3</v>
      </c>
      <c r="H28" s="770"/>
      <c r="I28" s="770"/>
      <c r="J28" s="770"/>
      <c r="K28" s="770"/>
      <c r="L28" s="770"/>
      <c r="M28" s="770"/>
      <c r="N28" s="770"/>
      <c r="O28" s="1469"/>
      <c r="P28" s="1469"/>
    </row>
    <row r="29" spans="1:16" s="58" customFormat="1" ht="15" customHeight="1" x14ac:dyDescent="0.25">
      <c r="A29" s="737"/>
      <c r="C29" s="737"/>
      <c r="D29" s="3352" t="s">
        <v>421</v>
      </c>
      <c r="E29" s="2472">
        <v>18.8</v>
      </c>
      <c r="F29" s="2472">
        <v>20.7</v>
      </c>
      <c r="G29" s="3348">
        <v>11.5</v>
      </c>
      <c r="H29" s="770"/>
      <c r="I29" s="770"/>
      <c r="J29" s="770"/>
      <c r="K29" s="770"/>
      <c r="L29" s="770"/>
      <c r="M29" s="770"/>
      <c r="N29" s="770"/>
      <c r="O29" s="1469"/>
      <c r="P29" s="1469"/>
    </row>
    <row r="30" spans="1:16" s="58" customFormat="1" ht="15" customHeight="1" x14ac:dyDescent="0.25">
      <c r="A30" s="737"/>
      <c r="C30" s="737"/>
      <c r="D30" s="3352" t="s">
        <v>416</v>
      </c>
      <c r="E30" s="2472">
        <v>18.2</v>
      </c>
      <c r="F30" s="2472">
        <v>17.100000000000001</v>
      </c>
      <c r="G30" s="3348">
        <v>9.9</v>
      </c>
      <c r="H30" s="770"/>
      <c r="I30" s="770"/>
      <c r="J30" s="770"/>
      <c r="K30" s="770"/>
      <c r="L30" s="770"/>
      <c r="M30" s="770"/>
      <c r="N30" s="770"/>
      <c r="O30" s="1469"/>
      <c r="P30" s="1469"/>
    </row>
    <row r="31" spans="1:16" s="58" customFormat="1" ht="15" customHeight="1" x14ac:dyDescent="0.25">
      <c r="A31" s="737"/>
      <c r="C31" s="737"/>
      <c r="D31" s="3352" t="s">
        <v>419</v>
      </c>
      <c r="E31" s="2472">
        <v>16.2</v>
      </c>
      <c r="F31" s="2472">
        <v>17.2</v>
      </c>
      <c r="G31" s="3348">
        <v>12.6</v>
      </c>
      <c r="H31" s="770"/>
      <c r="I31" s="770"/>
      <c r="J31" s="770"/>
      <c r="K31" s="770"/>
      <c r="L31" s="770"/>
      <c r="M31" s="770"/>
      <c r="N31" s="770"/>
      <c r="O31" s="1469"/>
      <c r="P31" s="1469"/>
    </row>
    <row r="32" spans="1:16" s="58" customFormat="1" ht="15" customHeight="1" x14ac:dyDescent="0.25">
      <c r="A32" s="737"/>
      <c r="C32" s="737"/>
      <c r="D32" s="3352" t="s">
        <v>414</v>
      </c>
      <c r="E32" s="2472">
        <v>7</v>
      </c>
      <c r="F32" s="2472">
        <v>7</v>
      </c>
      <c r="G32" s="3348">
        <v>3.9</v>
      </c>
      <c r="H32" s="770"/>
      <c r="I32" s="770"/>
      <c r="J32" s="770"/>
      <c r="K32" s="770"/>
      <c r="L32" s="770"/>
      <c r="M32" s="770"/>
      <c r="N32" s="770"/>
      <c r="O32" s="1469"/>
      <c r="P32" s="1469"/>
    </row>
    <row r="33" spans="1:16" s="58" customFormat="1" ht="15" customHeight="1" x14ac:dyDescent="0.25">
      <c r="A33" s="737"/>
      <c r="C33" s="737"/>
      <c r="D33" s="3353" t="s">
        <v>9</v>
      </c>
      <c r="E33" s="2477">
        <v>15.4</v>
      </c>
      <c r="F33" s="2477">
        <v>16.7</v>
      </c>
      <c r="G33" s="3354">
        <v>10.8</v>
      </c>
      <c r="H33" s="2474"/>
      <c r="I33" s="2474"/>
      <c r="J33" s="2474"/>
      <c r="K33" s="2474"/>
      <c r="L33" s="2474"/>
      <c r="M33" s="2474"/>
      <c r="N33" s="2474"/>
      <c r="O33" s="2475"/>
      <c r="P33" s="2476"/>
    </row>
    <row r="34" spans="1:16" s="58" customFormat="1" ht="15" customHeight="1" x14ac:dyDescent="0.2">
      <c r="A34" s="737"/>
      <c r="C34" s="737"/>
      <c r="D34" s="438"/>
      <c r="E34" s="2478"/>
      <c r="F34" s="2478"/>
      <c r="G34" s="2478"/>
      <c r="H34" s="2474"/>
      <c r="I34" s="2479"/>
      <c r="J34" s="2474"/>
      <c r="K34" s="2474"/>
      <c r="L34" s="2474"/>
      <c r="M34" s="2474"/>
      <c r="N34" s="2474"/>
      <c r="O34" s="2475"/>
      <c r="P34" s="2476"/>
    </row>
    <row r="35" spans="1:16" s="58" customFormat="1" ht="15" customHeight="1" x14ac:dyDescent="0.2">
      <c r="A35" s="737"/>
      <c r="C35" s="737"/>
      <c r="D35" s="438"/>
      <c r="E35" s="2478"/>
      <c r="F35" s="2478"/>
      <c r="G35" s="2478"/>
      <c r="H35" s="2474"/>
      <c r="I35" s="2474"/>
      <c r="J35" s="2474"/>
      <c r="K35" s="2474"/>
      <c r="L35" s="2474"/>
      <c r="M35" s="2474"/>
      <c r="N35" s="2474"/>
      <c r="O35" s="2475"/>
      <c r="P35" s="2476"/>
    </row>
    <row r="36" spans="1:16" s="58" customFormat="1" ht="15" customHeight="1" x14ac:dyDescent="0.2">
      <c r="A36" s="737"/>
      <c r="C36" s="737"/>
      <c r="D36" s="438"/>
      <c r="E36" s="2478"/>
      <c r="F36" s="2478"/>
      <c r="G36" s="2478"/>
      <c r="H36" s="2474"/>
      <c r="I36" s="2474"/>
      <c r="J36" s="2474"/>
      <c r="K36" s="2474"/>
      <c r="L36" s="2474"/>
      <c r="M36" s="2474"/>
      <c r="N36" s="2474"/>
      <c r="O36" s="2475"/>
      <c r="P36" s="2476"/>
    </row>
    <row r="37" spans="1:16" s="58" customFormat="1" ht="15" customHeight="1" x14ac:dyDescent="0.2">
      <c r="A37" s="737"/>
      <c r="C37" s="737"/>
      <c r="D37" s="438"/>
      <c r="E37" s="2478"/>
      <c r="F37" s="2478"/>
      <c r="G37" s="2478"/>
      <c r="H37" s="2474"/>
      <c r="I37" s="2474"/>
      <c r="J37" s="2474"/>
      <c r="K37" s="2474"/>
      <c r="L37" s="2474"/>
      <c r="M37" s="2474"/>
      <c r="N37" s="2474"/>
      <c r="O37" s="2475"/>
      <c r="P37" s="2476"/>
    </row>
    <row r="38" spans="1:16" s="58" customFormat="1" ht="15" customHeight="1" x14ac:dyDescent="0.2">
      <c r="A38" s="737"/>
      <c r="C38" s="737"/>
      <c r="D38" s="438"/>
      <c r="E38" s="2478"/>
      <c r="F38" s="2478"/>
      <c r="G38" s="2478"/>
      <c r="H38" s="2474"/>
      <c r="I38" s="2474"/>
      <c r="J38" s="2474"/>
      <c r="K38" s="2474"/>
      <c r="L38" s="2474"/>
      <c r="M38" s="2474"/>
      <c r="N38" s="2474"/>
      <c r="O38" s="2475"/>
      <c r="P38" s="2476"/>
    </row>
    <row r="39" spans="1:16" s="58" customFormat="1" ht="15" customHeight="1" x14ac:dyDescent="0.2">
      <c r="A39" s="737"/>
      <c r="C39" s="737"/>
      <c r="D39" s="438"/>
      <c r="E39" s="2478"/>
      <c r="F39" s="2478"/>
      <c r="G39" s="2478"/>
      <c r="H39" s="2474"/>
      <c r="I39" s="2474"/>
      <c r="J39" s="2474"/>
      <c r="K39" s="2474"/>
      <c r="L39" s="2474"/>
      <c r="M39" s="2474"/>
      <c r="N39" s="2474"/>
      <c r="O39" s="2475"/>
      <c r="P39" s="2476"/>
    </row>
    <row r="40" spans="1:16" s="58" customFormat="1" ht="15" customHeight="1" x14ac:dyDescent="0.2">
      <c r="A40" s="737"/>
      <c r="C40" s="737"/>
      <c r="D40" s="438"/>
      <c r="E40" s="2478"/>
      <c r="F40" s="2478"/>
      <c r="G40" s="2478"/>
      <c r="H40" s="2474"/>
      <c r="I40" s="2474"/>
      <c r="J40" s="2474"/>
      <c r="K40" s="2474"/>
      <c r="L40" s="2474"/>
      <c r="M40" s="2474"/>
      <c r="N40" s="2474"/>
      <c r="O40" s="2475"/>
      <c r="P40" s="2476"/>
    </row>
    <row r="41" spans="1:16" s="58" customFormat="1" ht="15" customHeight="1" x14ac:dyDescent="0.2">
      <c r="A41" s="737"/>
      <c r="C41" s="737"/>
      <c r="D41" s="438"/>
      <c r="E41" s="2478"/>
      <c r="F41" s="2478"/>
      <c r="G41" s="2478"/>
      <c r="H41" s="2474"/>
      <c r="I41" s="2474"/>
      <c r="J41" s="2474"/>
      <c r="K41" s="2474"/>
      <c r="L41" s="2474"/>
      <c r="M41" s="2474"/>
      <c r="N41" s="2474"/>
      <c r="O41" s="2475"/>
      <c r="P41" s="2476"/>
    </row>
    <row r="42" spans="1:16" s="58" customFormat="1" ht="15" customHeight="1" x14ac:dyDescent="0.2">
      <c r="A42" s="737"/>
      <c r="C42" s="737"/>
      <c r="D42" s="438"/>
      <c r="E42" s="2478"/>
      <c r="F42" s="2478"/>
      <c r="G42" s="2478"/>
      <c r="H42" s="2474"/>
      <c r="I42" s="2474"/>
      <c r="J42" s="2474"/>
      <c r="K42" s="2474"/>
      <c r="L42" s="2474"/>
      <c r="M42" s="2474"/>
      <c r="N42" s="2474"/>
      <c r="O42" s="2475"/>
      <c r="P42" s="2476"/>
    </row>
    <row r="43" spans="1:16" s="58" customFormat="1" ht="15" customHeight="1" x14ac:dyDescent="0.2">
      <c r="A43" s="737"/>
      <c r="C43" s="737"/>
      <c r="D43" s="438"/>
      <c r="E43" s="2478"/>
      <c r="F43" s="2478"/>
      <c r="G43" s="2478"/>
      <c r="H43" s="2474"/>
      <c r="I43" s="2474"/>
      <c r="J43" s="2474"/>
      <c r="K43" s="2474"/>
      <c r="L43" s="2474"/>
      <c r="M43" s="2474"/>
      <c r="N43" s="2474"/>
      <c r="O43" s="2475"/>
      <c r="P43" s="2476"/>
    </row>
    <row r="44" spans="1:16" s="58" customFormat="1" ht="15" customHeight="1" x14ac:dyDescent="0.2">
      <c r="A44" s="737"/>
      <c r="C44" s="737"/>
      <c r="D44" s="438"/>
      <c r="E44" s="2478"/>
      <c r="F44" s="2478"/>
      <c r="G44" s="2478"/>
      <c r="H44" s="2474"/>
      <c r="I44" s="2474"/>
      <c r="J44" s="2474"/>
      <c r="K44" s="2474"/>
      <c r="L44" s="2474"/>
      <c r="M44" s="2474"/>
      <c r="N44" s="2474"/>
      <c r="O44" s="2475"/>
      <c r="P44" s="2476"/>
    </row>
    <row r="45" spans="1:16" s="58" customFormat="1" ht="15" customHeight="1" x14ac:dyDescent="0.2">
      <c r="A45" s="737"/>
      <c r="C45" s="737"/>
      <c r="D45" s="438"/>
      <c r="E45" s="2478"/>
      <c r="F45" s="2478"/>
      <c r="G45" s="2478"/>
      <c r="H45" s="2474"/>
      <c r="I45" s="2474"/>
      <c r="J45" s="2474"/>
      <c r="K45" s="2474"/>
      <c r="L45" s="2474"/>
      <c r="M45" s="2474"/>
      <c r="N45" s="2474"/>
      <c r="O45" s="2475"/>
      <c r="P45" s="2476"/>
    </row>
    <row r="46" spans="1:16" s="58" customFormat="1" ht="15" customHeight="1" x14ac:dyDescent="0.2">
      <c r="A46" s="737"/>
      <c r="C46" s="737"/>
      <c r="D46" s="438"/>
      <c r="E46" s="2478"/>
      <c r="F46" s="2478"/>
      <c r="G46" s="2478"/>
      <c r="H46" s="2474"/>
      <c r="I46" s="2474"/>
      <c r="J46" s="2474"/>
      <c r="K46" s="2474"/>
      <c r="L46" s="2474"/>
      <c r="M46" s="2474"/>
      <c r="N46" s="2474"/>
      <c r="O46" s="2475"/>
      <c r="P46" s="2476"/>
    </row>
    <row r="47" spans="1:16" s="58" customFormat="1" ht="15" customHeight="1" x14ac:dyDescent="0.2">
      <c r="A47" s="737"/>
      <c r="C47" s="737"/>
      <c r="D47" s="438"/>
      <c r="E47" s="2478"/>
      <c r="F47" s="2478"/>
      <c r="G47" s="2478"/>
      <c r="H47" s="2474"/>
      <c r="I47" s="2474"/>
      <c r="J47" s="2474"/>
      <c r="K47" s="2474"/>
      <c r="L47" s="2474"/>
      <c r="M47" s="2474"/>
      <c r="N47" s="2474"/>
      <c r="O47" s="2475"/>
      <c r="P47" s="2476"/>
    </row>
    <row r="48" spans="1:16" s="58" customFormat="1" ht="15" customHeight="1" x14ac:dyDescent="0.2">
      <c r="A48" s="737"/>
      <c r="C48" s="737"/>
      <c r="D48" s="438"/>
      <c r="E48" s="2478"/>
      <c r="F48" s="2478"/>
      <c r="G48" s="2478"/>
      <c r="H48" s="2474"/>
      <c r="I48" s="2474"/>
      <c r="J48" s="2474"/>
      <c r="K48" s="2474"/>
      <c r="L48" s="2474"/>
      <c r="M48" s="2474"/>
      <c r="N48" s="2474"/>
      <c r="O48" s="2475"/>
      <c r="P48" s="2476"/>
    </row>
    <row r="49" spans="1:16" s="58" customFormat="1" ht="15" customHeight="1" x14ac:dyDescent="0.2">
      <c r="A49" s="737"/>
      <c r="C49" s="737"/>
      <c r="D49" s="438"/>
      <c r="E49" s="2478"/>
      <c r="F49" s="2478"/>
      <c r="G49" s="2478"/>
      <c r="H49" s="2474"/>
      <c r="I49" s="2474"/>
      <c r="J49" s="2474"/>
      <c r="K49" s="2474"/>
      <c r="L49" s="2474"/>
      <c r="M49" s="2474"/>
      <c r="N49" s="2474"/>
      <c r="O49" s="2475"/>
      <c r="P49" s="2476"/>
    </row>
    <row r="50" spans="1:16" s="58" customFormat="1" ht="15" customHeight="1" x14ac:dyDescent="0.2">
      <c r="A50" s="737"/>
      <c r="C50" s="737"/>
      <c r="E50" s="769"/>
      <c r="F50" s="769"/>
      <c r="G50" s="769"/>
      <c r="H50" s="769"/>
      <c r="I50" s="769"/>
      <c r="J50" s="769"/>
      <c r="K50" s="2480"/>
      <c r="L50" s="2480"/>
      <c r="M50" s="2480"/>
      <c r="N50" s="2480"/>
      <c r="O50" s="2481"/>
      <c r="P50" s="2482"/>
    </row>
    <row r="51" spans="1:16" ht="15.75" customHeight="1" x14ac:dyDescent="0.25">
      <c r="A51" s="650">
        <v>6</v>
      </c>
      <c r="B51" s="650" t="s">
        <v>78</v>
      </c>
      <c r="C51" s="687"/>
      <c r="D51" s="3729" t="s">
        <v>614</v>
      </c>
      <c r="E51" s="3730"/>
      <c r="F51" s="3730"/>
      <c r="G51" s="3730"/>
      <c r="H51" s="3730"/>
      <c r="I51" s="3730"/>
      <c r="J51" s="3730"/>
      <c r="K51" s="3730"/>
      <c r="L51" s="3730"/>
      <c r="M51" s="3730"/>
      <c r="N51" s="3730"/>
      <c r="O51" s="3730"/>
      <c r="P51" s="3734"/>
    </row>
    <row r="52" spans="1:16" ht="51.6" customHeight="1" x14ac:dyDescent="0.25">
      <c r="A52" s="687">
        <v>7</v>
      </c>
      <c r="B52" s="687" t="s">
        <v>80</v>
      </c>
      <c r="C52" s="650"/>
      <c r="D52" s="3729" t="s">
        <v>613</v>
      </c>
      <c r="E52" s="3730"/>
      <c r="F52" s="3730"/>
      <c r="G52" s="3730"/>
      <c r="H52" s="3730"/>
      <c r="I52" s="3730"/>
      <c r="J52" s="3730"/>
      <c r="K52" s="3730"/>
      <c r="L52" s="3730"/>
      <c r="M52" s="3730"/>
      <c r="N52" s="3730"/>
      <c r="O52" s="3730"/>
      <c r="P52" s="3734"/>
    </row>
    <row r="53" spans="1:16" ht="31.9" customHeight="1" x14ac:dyDescent="0.25">
      <c r="A53" s="650">
        <v>8</v>
      </c>
      <c r="B53" s="650" t="s">
        <v>20</v>
      </c>
      <c r="C53" s="722"/>
      <c r="D53" s="3729" t="s">
        <v>612</v>
      </c>
      <c r="E53" s="3730"/>
      <c r="F53" s="3730"/>
      <c r="G53" s="3730"/>
      <c r="H53" s="3730"/>
      <c r="I53" s="3730"/>
      <c r="J53" s="3730"/>
      <c r="K53" s="3730"/>
      <c r="L53" s="3730"/>
      <c r="M53" s="3730"/>
      <c r="N53" s="3730"/>
      <c r="O53" s="3730"/>
      <c r="P53" s="3734"/>
    </row>
    <row r="54" spans="1:16" ht="33.6" customHeight="1" x14ac:dyDescent="0.25">
      <c r="A54" s="650">
        <v>9</v>
      </c>
      <c r="B54" s="729" t="s">
        <v>604</v>
      </c>
      <c r="C54" s="722"/>
      <c r="D54" s="3729" t="s">
        <v>611</v>
      </c>
      <c r="E54" s="3730"/>
      <c r="F54" s="3730"/>
      <c r="G54" s="3730"/>
      <c r="H54" s="3730"/>
      <c r="I54" s="3730"/>
      <c r="J54" s="3730"/>
      <c r="K54" s="3730"/>
      <c r="L54" s="3730"/>
      <c r="M54" s="3730"/>
      <c r="N54" s="3730"/>
      <c r="O54" s="3730"/>
      <c r="P54" s="3734"/>
    </row>
    <row r="55" spans="1:16" x14ac:dyDescent="0.25">
      <c r="A55" s="650"/>
      <c r="B55" s="650"/>
      <c r="C55" s="745"/>
      <c r="D55" s="3550"/>
      <c r="E55" s="3551"/>
      <c r="F55" s="3551"/>
      <c r="G55" s="3551"/>
      <c r="H55" s="3551"/>
      <c r="I55" s="3551"/>
      <c r="J55" s="3551"/>
      <c r="K55" s="3551"/>
      <c r="L55" s="3551"/>
    </row>
    <row r="56" spans="1:16" x14ac:dyDescent="0.25">
      <c r="A56" s="650"/>
      <c r="B56" s="767"/>
      <c r="C56" s="767"/>
      <c r="D56" s="745"/>
      <c r="E56" s="138"/>
      <c r="F56" s="138"/>
      <c r="G56" s="138"/>
      <c r="H56" s="138"/>
      <c r="I56" s="138"/>
      <c r="J56" s="138"/>
      <c r="K56" s="138"/>
      <c r="L56" s="138"/>
    </row>
    <row r="57" spans="1:16" s="766" customFormat="1" ht="41.25" customHeight="1" x14ac:dyDescent="0.25">
      <c r="A57" s="650"/>
      <c r="B57" s="768"/>
      <c r="C57" s="768"/>
      <c r="D57" s="225"/>
      <c r="E57" s="225"/>
      <c r="F57" s="225"/>
      <c r="G57" s="225"/>
      <c r="H57" s="225"/>
      <c r="I57" s="225"/>
      <c r="J57" s="225"/>
      <c r="K57" s="225"/>
      <c r="L57" s="225"/>
    </row>
    <row r="58" spans="1:16" s="766" customFormat="1" ht="26.25" customHeight="1" x14ac:dyDescent="0.25">
      <c r="A58" s="650"/>
      <c r="B58" s="767"/>
      <c r="C58" s="767"/>
      <c r="D58" s="225"/>
      <c r="E58" s="225"/>
      <c r="F58" s="225"/>
      <c r="G58" s="225"/>
      <c r="H58" s="225"/>
      <c r="I58" s="225"/>
      <c r="J58" s="225"/>
      <c r="K58" s="225"/>
      <c r="L58" s="225"/>
    </row>
  </sheetData>
  <mergeCells count="10">
    <mergeCell ref="D2:P2"/>
    <mergeCell ref="D3:P3"/>
    <mergeCell ref="D4:P4"/>
    <mergeCell ref="D51:P51"/>
    <mergeCell ref="D52:P52"/>
    <mergeCell ref="D55:L55"/>
    <mergeCell ref="O9:P9"/>
    <mergeCell ref="O23:P23"/>
    <mergeCell ref="D53:P53"/>
    <mergeCell ref="D54:P54"/>
  </mergeCells>
  <pageMargins left="0.74803149606299213" right="0.74803149606299213" top="0.98425196850393704" bottom="0.98425196850393704" header="0.51181102362204722" footer="0.51181102362204722"/>
  <pageSetup paperSize="9" scale="5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F735"/>
  <sheetViews>
    <sheetView showGridLines="0" view="pageBreakPreview" topLeftCell="A4" zoomScaleNormal="90" zoomScaleSheetLayoutView="100" workbookViewId="0">
      <selection activeCell="W24" sqref="W24"/>
    </sheetView>
  </sheetViews>
  <sheetFormatPr defaultColWidth="9.140625" defaultRowHeight="15" x14ac:dyDescent="0.2"/>
  <cols>
    <col min="1" max="1" width="3.7109375" style="835" customWidth="1"/>
    <col min="2" max="2" width="14.42578125" style="2440" customWidth="1"/>
    <col min="3" max="3" width="3.7109375" style="2440" customWidth="1"/>
    <col min="4" max="4" width="31.5703125" style="1664" customWidth="1"/>
    <col min="5" max="13" width="8.7109375" style="1664" customWidth="1"/>
    <col min="14" max="14" width="11" style="1664" customWidth="1"/>
    <col min="15" max="15" width="9.7109375" style="1664" customWidth="1"/>
    <col min="16" max="18" width="8.7109375" style="1664" customWidth="1"/>
    <col min="19" max="22" width="9.5703125" style="1664" bestFit="1" customWidth="1"/>
    <col min="23" max="23" width="9.5703125" style="1664" customWidth="1"/>
    <col min="24" max="24" width="9.5703125" style="1664" bestFit="1" customWidth="1"/>
    <col min="25" max="25" width="8.7109375" style="1664" customWidth="1"/>
    <col min="26" max="26" width="9" style="1664" customWidth="1"/>
    <col min="27" max="28" width="8.7109375" style="1664" customWidth="1"/>
    <col min="29" max="16384" width="9.140625" style="1664"/>
  </cols>
  <sheetData>
    <row r="1" spans="1:84" x14ac:dyDescent="0.25">
      <c r="T1" s="2441"/>
      <c r="V1" s="2441"/>
      <c r="W1" s="2441"/>
      <c r="X1" s="2441"/>
      <c r="Y1" s="2441"/>
      <c r="Z1" s="2441"/>
      <c r="AA1" s="2441"/>
      <c r="AB1" s="2441"/>
      <c r="AC1" s="775"/>
      <c r="AD1" s="775"/>
      <c r="AE1" s="775"/>
    </row>
    <row r="2" spans="1:84" ht="12.75" customHeight="1" x14ac:dyDescent="0.2">
      <c r="A2" s="835">
        <v>1</v>
      </c>
      <c r="B2" s="835" t="s">
        <v>24</v>
      </c>
      <c r="C2" s="835">
        <f>1+'[10]Poverty Gap indices'!C2</f>
        <v>26</v>
      </c>
      <c r="D2" s="3629" t="s">
        <v>660</v>
      </c>
      <c r="E2" s="3630"/>
      <c r="F2" s="3630"/>
      <c r="G2" s="3630"/>
      <c r="H2" s="3630"/>
      <c r="I2" s="3630"/>
      <c r="J2" s="3630"/>
      <c r="K2" s="3630"/>
      <c r="L2" s="3630"/>
      <c r="M2" s="3630"/>
      <c r="N2" s="3630"/>
      <c r="O2" s="3630"/>
      <c r="P2" s="3630"/>
      <c r="Q2" s="3630"/>
      <c r="R2" s="3630"/>
      <c r="S2" s="3630"/>
      <c r="T2" s="3630"/>
      <c r="U2" s="3630"/>
      <c r="V2" s="3630"/>
      <c r="W2" s="3630"/>
      <c r="X2" s="3630"/>
      <c r="Y2" s="3630"/>
      <c r="Z2" s="3630"/>
      <c r="AA2" s="3630"/>
      <c r="AB2" s="3630"/>
      <c r="AC2" s="3630"/>
      <c r="AD2" s="3630"/>
      <c r="AE2" s="3630"/>
      <c r="AF2" s="3630"/>
      <c r="AG2" s="3630"/>
      <c r="AH2" s="3630"/>
      <c r="AI2" s="3630"/>
      <c r="AJ2" s="3630"/>
      <c r="AK2" s="3630"/>
      <c r="AL2" s="3630"/>
      <c r="AM2" s="3630"/>
      <c r="AN2" s="3630"/>
      <c r="AO2" s="3630"/>
      <c r="AP2" s="3630"/>
      <c r="AQ2" s="3630"/>
      <c r="AR2" s="3630"/>
      <c r="AS2" s="3630"/>
      <c r="AT2" s="3630"/>
      <c r="AU2" s="3630"/>
      <c r="AV2" s="3630"/>
      <c r="AW2" s="3630"/>
      <c r="AX2" s="3630"/>
      <c r="AY2" s="3630"/>
      <c r="AZ2" s="3630"/>
      <c r="BA2" s="3630"/>
      <c r="BB2" s="3631"/>
    </row>
    <row r="3" spans="1:84" ht="15" customHeight="1" x14ac:dyDescent="0.2">
      <c r="A3" s="835">
        <v>2</v>
      </c>
      <c r="B3" s="835" t="s">
        <v>26</v>
      </c>
      <c r="C3" s="835"/>
      <c r="D3" s="3615" t="s">
        <v>551</v>
      </c>
      <c r="E3" s="3616"/>
      <c r="F3" s="3616"/>
      <c r="G3" s="3616"/>
      <c r="H3" s="3616"/>
      <c r="I3" s="3616"/>
      <c r="J3" s="3616"/>
      <c r="K3" s="3616"/>
      <c r="L3" s="3616"/>
      <c r="M3" s="3616"/>
      <c r="N3" s="3616"/>
      <c r="O3" s="3616"/>
      <c r="P3" s="3616"/>
      <c r="Q3" s="3616"/>
      <c r="R3" s="3616"/>
      <c r="S3" s="3616"/>
      <c r="T3" s="3616"/>
      <c r="U3" s="3616"/>
      <c r="V3" s="3616"/>
      <c r="W3" s="3616"/>
      <c r="X3" s="3616"/>
      <c r="Y3" s="3616"/>
      <c r="Z3" s="3616"/>
      <c r="AA3" s="3616"/>
      <c r="AB3" s="3616"/>
      <c r="AC3" s="3616"/>
      <c r="AD3" s="3616"/>
      <c r="AE3" s="3616"/>
      <c r="AF3" s="3616"/>
      <c r="AG3" s="3616"/>
      <c r="AH3" s="3616"/>
      <c r="AI3" s="3616"/>
      <c r="AJ3" s="3616"/>
      <c r="AK3" s="3616"/>
      <c r="AL3" s="3616"/>
      <c r="AM3" s="3616"/>
      <c r="AN3" s="3616"/>
      <c r="AO3" s="3616"/>
      <c r="AP3" s="3616"/>
      <c r="AQ3" s="3616"/>
      <c r="AR3" s="3616"/>
      <c r="AS3" s="3616"/>
      <c r="AT3" s="3616"/>
      <c r="AU3" s="3616"/>
      <c r="AV3" s="3616"/>
      <c r="AW3" s="3616"/>
      <c r="AX3" s="3616"/>
      <c r="AY3" s="3616"/>
      <c r="AZ3" s="3616"/>
      <c r="BA3" s="3616"/>
      <c r="BB3" s="3617"/>
    </row>
    <row r="4" spans="1:84" ht="15" customHeight="1" x14ac:dyDescent="0.2">
      <c r="A4" s="835">
        <v>3</v>
      </c>
      <c r="B4" s="835" t="s">
        <v>28</v>
      </c>
      <c r="C4" s="835"/>
      <c r="D4" s="3615" t="s">
        <v>659</v>
      </c>
      <c r="E4" s="3616"/>
      <c r="F4" s="3616"/>
      <c r="G4" s="3616"/>
      <c r="H4" s="3616"/>
      <c r="I4" s="3616"/>
      <c r="J4" s="3616"/>
      <c r="K4" s="3616"/>
      <c r="L4" s="3616"/>
      <c r="M4" s="3616"/>
      <c r="N4" s="3616"/>
      <c r="O4" s="3616"/>
      <c r="P4" s="3616"/>
      <c r="Q4" s="3616"/>
      <c r="R4" s="3616"/>
      <c r="S4" s="3616"/>
      <c r="T4" s="3616"/>
      <c r="U4" s="3616"/>
      <c r="V4" s="3616"/>
      <c r="W4" s="3616"/>
      <c r="X4" s="3616"/>
      <c r="Y4" s="3616"/>
      <c r="Z4" s="3616"/>
      <c r="AA4" s="3616"/>
      <c r="AB4" s="3616"/>
      <c r="AC4" s="3616"/>
      <c r="AD4" s="3616"/>
      <c r="AE4" s="3616"/>
      <c r="AF4" s="3616"/>
      <c r="AG4" s="3616"/>
      <c r="AH4" s="3616"/>
      <c r="AI4" s="3616"/>
      <c r="AJ4" s="3616"/>
      <c r="AK4" s="3616"/>
      <c r="AL4" s="3616"/>
      <c r="AM4" s="3616"/>
      <c r="AN4" s="3616"/>
      <c r="AO4" s="3616"/>
      <c r="AP4" s="3616"/>
      <c r="AQ4" s="3616"/>
      <c r="AR4" s="3616"/>
      <c r="AS4" s="3616"/>
      <c r="AT4" s="3616"/>
      <c r="AU4" s="3616"/>
      <c r="AV4" s="3616"/>
      <c r="AW4" s="3616"/>
      <c r="AX4" s="3616"/>
      <c r="AY4" s="3616"/>
      <c r="AZ4" s="3616"/>
      <c r="BA4" s="3616"/>
      <c r="BB4" s="3617"/>
    </row>
    <row r="5" spans="1:84" ht="15" customHeight="1" x14ac:dyDescent="0.25">
      <c r="B5" s="835"/>
      <c r="C5" s="835"/>
      <c r="D5" s="1471"/>
      <c r="E5" s="1471"/>
      <c r="F5" s="1471"/>
      <c r="G5" s="1471"/>
      <c r="H5" s="1471"/>
      <c r="I5" s="1471"/>
      <c r="J5" s="1471"/>
      <c r="K5" s="1471"/>
      <c r="L5" s="1471"/>
      <c r="M5" s="1471"/>
      <c r="N5" s="1471"/>
      <c r="O5" s="1471"/>
      <c r="P5" s="1471"/>
      <c r="Q5" s="1471"/>
      <c r="R5" s="1471"/>
      <c r="S5" s="1471"/>
      <c r="T5" s="1471"/>
      <c r="U5" s="1471"/>
      <c r="V5" s="1471"/>
      <c r="W5" s="2441"/>
      <c r="X5" s="2441"/>
      <c r="Y5" s="2441"/>
      <c r="Z5" s="2441"/>
      <c r="AA5" s="2441"/>
      <c r="AB5" s="2441"/>
      <c r="AC5" s="775"/>
      <c r="AD5" s="775"/>
      <c r="AE5" s="775"/>
    </row>
    <row r="6" spans="1:84" x14ac:dyDescent="0.25">
      <c r="A6" s="835">
        <v>4</v>
      </c>
      <c r="B6" s="418" t="s">
        <v>1</v>
      </c>
      <c r="C6" s="418"/>
      <c r="L6" s="775"/>
      <c r="M6" s="775"/>
      <c r="N6" s="401"/>
      <c r="T6" s="2441"/>
      <c r="V6" s="2441"/>
      <c r="W6" s="2441"/>
      <c r="X6" s="2441"/>
      <c r="Y6" s="2441"/>
      <c r="Z6" s="2441"/>
      <c r="AA6" s="2441"/>
      <c r="AB6" s="2441"/>
      <c r="AC6" s="775"/>
      <c r="AD6" s="775"/>
      <c r="AE6" s="775"/>
    </row>
    <row r="7" spans="1:84" x14ac:dyDescent="0.25">
      <c r="B7" s="418"/>
      <c r="C7" s="418"/>
      <c r="D7" s="983" t="s">
        <v>31</v>
      </c>
      <c r="E7" s="772" t="s">
        <v>658</v>
      </c>
      <c r="F7" s="2442"/>
      <c r="G7" s="2442"/>
      <c r="H7" s="422"/>
      <c r="I7" s="422"/>
      <c r="J7" s="422"/>
      <c r="K7" s="422"/>
      <c r="L7" s="422"/>
      <c r="M7" s="422"/>
      <c r="N7" s="422"/>
      <c r="O7" s="422"/>
      <c r="P7" s="422"/>
      <c r="Q7" s="422"/>
      <c r="R7" s="422"/>
      <c r="S7" s="420"/>
      <c r="T7" s="2441"/>
      <c r="U7" s="420"/>
      <c r="V7" s="2441"/>
      <c r="W7" s="2441"/>
      <c r="X7" s="2441"/>
      <c r="Y7" s="2441"/>
      <c r="Z7" s="2441"/>
      <c r="AA7" s="2441"/>
      <c r="AB7" s="2441"/>
      <c r="AC7" s="775"/>
      <c r="AD7" s="775"/>
      <c r="AE7" s="775"/>
    </row>
    <row r="8" spans="1:84" x14ac:dyDescent="0.25">
      <c r="B8" s="2443"/>
      <c r="C8" s="2443"/>
      <c r="D8" s="3094" t="s">
        <v>649</v>
      </c>
      <c r="E8" s="800" t="s">
        <v>127</v>
      </c>
      <c r="F8" s="800" t="s">
        <v>128</v>
      </c>
      <c r="G8" s="800" t="s">
        <v>129</v>
      </c>
      <c r="H8" s="800" t="s">
        <v>130</v>
      </c>
      <c r="I8" s="800" t="s">
        <v>131</v>
      </c>
      <c r="J8" s="800" t="s">
        <v>132</v>
      </c>
      <c r="K8" s="800" t="s">
        <v>133</v>
      </c>
      <c r="L8" s="800" t="s">
        <v>134</v>
      </c>
      <c r="M8" s="800" t="s">
        <v>135</v>
      </c>
      <c r="N8" s="800" t="s">
        <v>136</v>
      </c>
      <c r="O8" s="800" t="s">
        <v>137</v>
      </c>
      <c r="P8" s="799" t="s">
        <v>138</v>
      </c>
      <c r="Q8" s="800" t="s">
        <v>139</v>
      </c>
      <c r="R8" s="800" t="s">
        <v>140</v>
      </c>
      <c r="S8" s="799" t="s">
        <v>141</v>
      </c>
      <c r="T8" s="799" t="s">
        <v>142</v>
      </c>
      <c r="U8" s="799" t="s">
        <v>143</v>
      </c>
      <c r="V8" s="799" t="s">
        <v>144</v>
      </c>
      <c r="W8" s="799" t="s">
        <v>145</v>
      </c>
      <c r="X8" s="2997" t="s">
        <v>334</v>
      </c>
      <c r="Y8" s="424"/>
      <c r="Z8" s="2441"/>
      <c r="AA8" s="2441"/>
      <c r="AB8" s="2441"/>
      <c r="AC8" s="2441"/>
      <c r="AD8" s="775"/>
      <c r="AE8" s="775"/>
      <c r="AF8" s="775"/>
    </row>
    <row r="9" spans="1:84" x14ac:dyDescent="0.25">
      <c r="B9" s="824"/>
      <c r="C9" s="824"/>
      <c r="D9" s="2948" t="s">
        <v>657</v>
      </c>
      <c r="E9" s="787">
        <v>1637934</v>
      </c>
      <c r="F9" s="787">
        <v>1697725</v>
      </c>
      <c r="G9" s="787">
        <v>1812695</v>
      </c>
      <c r="H9" s="787">
        <v>1848726</v>
      </c>
      <c r="I9" s="787">
        <v>1900406</v>
      </c>
      <c r="J9" s="787">
        <v>1903042</v>
      </c>
      <c r="K9" s="787">
        <v>1943348</v>
      </c>
      <c r="L9" s="787">
        <v>2050572</v>
      </c>
      <c r="M9" s="787">
        <v>2124984</v>
      </c>
      <c r="N9" s="787">
        <v>2146344</v>
      </c>
      <c r="O9" s="787">
        <v>2195018</v>
      </c>
      <c r="P9" s="787">
        <v>2229550</v>
      </c>
      <c r="Q9" s="787">
        <v>2390543</v>
      </c>
      <c r="R9" s="787">
        <v>2546657</v>
      </c>
      <c r="S9" s="787">
        <v>2678554</v>
      </c>
      <c r="T9" s="787">
        <v>2750857</v>
      </c>
      <c r="U9" s="787">
        <v>2873197</v>
      </c>
      <c r="V9" s="787">
        <v>2969933</v>
      </c>
      <c r="W9" s="787">
        <v>3086851</v>
      </c>
      <c r="X9" s="3070">
        <v>3194087</v>
      </c>
      <c r="Y9" s="424"/>
      <c r="Z9" s="2441"/>
      <c r="AA9" s="2441"/>
      <c r="AB9" s="2441"/>
      <c r="AC9" s="2441"/>
      <c r="AD9" s="775"/>
      <c r="AE9" s="775"/>
      <c r="AF9" s="775"/>
    </row>
    <row r="10" spans="1:84" s="803" customFormat="1" x14ac:dyDescent="0.25">
      <c r="A10" s="807"/>
      <c r="B10" s="824"/>
      <c r="C10" s="824"/>
      <c r="D10" s="2948" t="s">
        <v>656</v>
      </c>
      <c r="E10" s="787">
        <v>13473</v>
      </c>
      <c r="F10" s="787">
        <v>10525</v>
      </c>
      <c r="G10" s="787">
        <v>9197</v>
      </c>
      <c r="H10" s="787">
        <v>7908</v>
      </c>
      <c r="I10" s="787">
        <v>5617</v>
      </c>
      <c r="J10" s="787">
        <v>5336</v>
      </c>
      <c r="K10" s="787">
        <v>4638</v>
      </c>
      <c r="L10" s="787">
        <v>3996</v>
      </c>
      <c r="M10" s="787">
        <v>2963</v>
      </c>
      <c r="N10" s="787">
        <v>2817</v>
      </c>
      <c r="O10" s="787">
        <v>2340</v>
      </c>
      <c r="P10" s="787">
        <v>1924</v>
      </c>
      <c r="Q10" s="787">
        <v>1500</v>
      </c>
      <c r="R10" s="787">
        <v>1216</v>
      </c>
      <c r="S10" s="787">
        <v>958</v>
      </c>
      <c r="T10" s="787">
        <v>753</v>
      </c>
      <c r="U10" s="787">
        <v>587</v>
      </c>
      <c r="V10" s="787">
        <v>429</v>
      </c>
      <c r="W10" s="787">
        <v>326</v>
      </c>
      <c r="X10" s="3070">
        <v>245</v>
      </c>
      <c r="Y10" s="783"/>
      <c r="Z10" s="821"/>
      <c r="AA10" s="821"/>
      <c r="AB10" s="821"/>
      <c r="AC10" s="821"/>
      <c r="AD10" s="791"/>
      <c r="AE10" s="791"/>
      <c r="AF10" s="791"/>
    </row>
    <row r="11" spans="1:84" s="803" customFormat="1" x14ac:dyDescent="0.25">
      <c r="A11" s="807"/>
      <c r="B11" s="824"/>
      <c r="C11" s="824"/>
      <c r="D11" s="2948" t="s">
        <v>644</v>
      </c>
      <c r="E11" s="787">
        <v>711629</v>
      </c>
      <c r="F11" s="787">
        <v>660528</v>
      </c>
      <c r="G11" s="787">
        <v>633778</v>
      </c>
      <c r="H11" s="787">
        <v>607537</v>
      </c>
      <c r="I11" s="787">
        <v>655822</v>
      </c>
      <c r="J11" s="787">
        <v>694232</v>
      </c>
      <c r="K11" s="787">
        <v>840424</v>
      </c>
      <c r="L11" s="787">
        <v>1228231</v>
      </c>
      <c r="M11" s="787">
        <v>1293280</v>
      </c>
      <c r="N11" s="787">
        <v>1315143</v>
      </c>
      <c r="O11" s="787">
        <v>1422808</v>
      </c>
      <c r="P11" s="787">
        <v>1408456</v>
      </c>
      <c r="Q11" s="787">
        <v>1286883</v>
      </c>
      <c r="R11" s="787">
        <v>1264477</v>
      </c>
      <c r="S11" s="787">
        <v>1200898</v>
      </c>
      <c r="T11" s="787">
        <v>1198131</v>
      </c>
      <c r="U11" s="787">
        <v>1164192</v>
      </c>
      <c r="V11" s="787">
        <v>1120419</v>
      </c>
      <c r="W11" s="787">
        <v>1112663</v>
      </c>
      <c r="X11" s="3070">
        <v>1085541</v>
      </c>
      <c r="Y11" s="783"/>
      <c r="Z11" s="821"/>
      <c r="AA11" s="821"/>
      <c r="AB11" s="821"/>
      <c r="AC11" s="821"/>
      <c r="AD11" s="791"/>
      <c r="AE11" s="791"/>
      <c r="AF11" s="791"/>
    </row>
    <row r="12" spans="1:84" s="803" customFormat="1" x14ac:dyDescent="0.25">
      <c r="A12" s="807"/>
      <c r="B12" s="824"/>
      <c r="C12" s="824"/>
      <c r="D12" s="2948" t="s">
        <v>640</v>
      </c>
      <c r="E12" s="787">
        <v>42999</v>
      </c>
      <c r="F12" s="787">
        <v>43520</v>
      </c>
      <c r="G12" s="787">
        <v>46496</v>
      </c>
      <c r="H12" s="787">
        <v>49843</v>
      </c>
      <c r="I12" s="787">
        <v>66967</v>
      </c>
      <c r="J12" s="787">
        <v>67817</v>
      </c>
      <c r="K12" s="787">
        <v>83574</v>
      </c>
      <c r="L12" s="787">
        <v>120571</v>
      </c>
      <c r="M12" s="787">
        <v>195454</v>
      </c>
      <c r="N12" s="787">
        <v>317434</v>
      </c>
      <c r="O12" s="787">
        <v>400503</v>
      </c>
      <c r="P12" s="787">
        <v>454199</v>
      </c>
      <c r="Q12" s="787">
        <v>474759</v>
      </c>
      <c r="R12" s="787">
        <v>510760</v>
      </c>
      <c r="S12" s="787">
        <v>512874</v>
      </c>
      <c r="T12" s="787">
        <v>536747</v>
      </c>
      <c r="U12" s="787">
        <v>532159</v>
      </c>
      <c r="V12" s="787">
        <v>512055</v>
      </c>
      <c r="W12" s="787">
        <v>499774</v>
      </c>
      <c r="X12" s="3070">
        <v>470015</v>
      </c>
      <c r="Y12" s="783"/>
      <c r="Z12" s="821"/>
      <c r="AA12" s="821"/>
      <c r="AB12" s="821"/>
      <c r="AC12" s="821"/>
      <c r="AD12" s="791"/>
      <c r="AE12" s="791"/>
      <c r="AF12" s="791"/>
    </row>
    <row r="13" spans="1:84" s="803" customFormat="1" x14ac:dyDescent="0.25">
      <c r="A13" s="822"/>
      <c r="B13" s="824"/>
      <c r="C13" s="824"/>
      <c r="D13" s="2948" t="s">
        <v>639</v>
      </c>
      <c r="E13" s="787">
        <v>2707</v>
      </c>
      <c r="F13" s="787">
        <v>8172</v>
      </c>
      <c r="G13" s="787">
        <v>16835</v>
      </c>
      <c r="H13" s="787">
        <v>22789</v>
      </c>
      <c r="I13" s="787">
        <v>33574</v>
      </c>
      <c r="J13" s="787">
        <v>34978</v>
      </c>
      <c r="K13" s="787">
        <v>42355</v>
      </c>
      <c r="L13" s="787">
        <v>76494</v>
      </c>
      <c r="M13" s="787">
        <v>86917</v>
      </c>
      <c r="N13" s="787">
        <v>90112</v>
      </c>
      <c r="O13" s="787">
        <v>98631</v>
      </c>
      <c r="P13" s="787">
        <v>102292</v>
      </c>
      <c r="Q13" s="787">
        <v>107065</v>
      </c>
      <c r="R13" s="787">
        <v>110731</v>
      </c>
      <c r="S13" s="787">
        <v>112185</v>
      </c>
      <c r="T13" s="787">
        <v>114993</v>
      </c>
      <c r="U13" s="787">
        <v>120268</v>
      </c>
      <c r="V13" s="787">
        <v>120632</v>
      </c>
      <c r="W13" s="787">
        <v>126777</v>
      </c>
      <c r="X13" s="3070">
        <v>131040</v>
      </c>
      <c r="Y13" s="783"/>
      <c r="Z13" s="821"/>
      <c r="AA13" s="821"/>
      <c r="AB13" s="821"/>
      <c r="AC13" s="821"/>
      <c r="AD13" s="791"/>
      <c r="AE13" s="791"/>
      <c r="AF13" s="791"/>
    </row>
    <row r="14" spans="1:84" s="803" customFormat="1" x14ac:dyDescent="0.25">
      <c r="A14" s="822"/>
      <c r="B14" s="824"/>
      <c r="C14" s="824"/>
      <c r="D14" s="2948" t="s">
        <v>638</v>
      </c>
      <c r="E14" s="787"/>
      <c r="F14" s="787"/>
      <c r="G14" s="787">
        <v>21997</v>
      </c>
      <c r="H14" s="787">
        <v>150366</v>
      </c>
      <c r="I14" s="787">
        <v>1111612</v>
      </c>
      <c r="J14" s="787">
        <v>1277396</v>
      </c>
      <c r="K14" s="787">
        <v>1998936</v>
      </c>
      <c r="L14" s="787">
        <v>2996723</v>
      </c>
      <c r="M14" s="787">
        <v>4165545</v>
      </c>
      <c r="N14" s="787">
        <v>7075266</v>
      </c>
      <c r="O14" s="787">
        <v>7863841</v>
      </c>
      <c r="P14" s="787">
        <v>8189975</v>
      </c>
      <c r="Q14" s="787">
        <v>8765354</v>
      </c>
      <c r="R14" s="787">
        <v>9570287</v>
      </c>
      <c r="S14" s="787">
        <v>10371950</v>
      </c>
      <c r="T14" s="787">
        <v>10927731</v>
      </c>
      <c r="U14" s="787">
        <v>11341988</v>
      </c>
      <c r="V14" s="787">
        <v>11125946</v>
      </c>
      <c r="W14" s="787">
        <v>11703165</v>
      </c>
      <c r="X14" s="3070">
        <v>11972900</v>
      </c>
      <c r="Y14" s="783"/>
      <c r="Z14" s="821"/>
      <c r="AA14" s="821"/>
      <c r="AB14" s="821"/>
      <c r="AC14" s="821"/>
      <c r="AD14" s="791"/>
      <c r="AE14" s="791"/>
      <c r="AF14" s="791"/>
      <c r="AG14" s="791"/>
      <c r="AH14" s="791"/>
      <c r="AI14" s="791"/>
      <c r="AJ14" s="791"/>
      <c r="AK14" s="791"/>
      <c r="AL14" s="791"/>
      <c r="AM14" s="791"/>
      <c r="AN14" s="791"/>
      <c r="AO14" s="791"/>
      <c r="AP14" s="791"/>
      <c r="AQ14" s="791"/>
      <c r="AR14" s="791"/>
      <c r="AS14" s="791"/>
      <c r="AT14" s="791"/>
      <c r="AU14" s="791"/>
      <c r="AV14" s="791"/>
      <c r="AW14" s="791"/>
      <c r="AX14" s="791"/>
      <c r="AY14" s="791"/>
      <c r="AZ14" s="791"/>
      <c r="BA14" s="791"/>
      <c r="BB14" s="791"/>
      <c r="BC14" s="791"/>
      <c r="BD14" s="791"/>
      <c r="BE14" s="791"/>
      <c r="BF14" s="791"/>
      <c r="BG14" s="791"/>
      <c r="BH14" s="791"/>
      <c r="BI14" s="791"/>
      <c r="BJ14" s="791"/>
      <c r="BK14" s="791"/>
      <c r="BL14" s="791"/>
      <c r="BM14" s="791"/>
      <c r="BN14" s="791"/>
      <c r="BO14" s="791"/>
      <c r="BP14" s="791"/>
      <c r="BQ14" s="791"/>
      <c r="BR14" s="791"/>
      <c r="BS14" s="791"/>
      <c r="BT14" s="791"/>
      <c r="BU14" s="791"/>
      <c r="BV14" s="791"/>
      <c r="BW14" s="791"/>
      <c r="BX14" s="791"/>
      <c r="BY14" s="791"/>
      <c r="BZ14" s="791"/>
      <c r="CA14" s="791"/>
      <c r="CB14" s="791"/>
      <c r="CC14" s="791"/>
      <c r="CD14" s="791"/>
      <c r="CE14" s="791"/>
      <c r="CF14" s="791"/>
    </row>
    <row r="15" spans="1:84" s="832" customFormat="1" x14ac:dyDescent="0.25">
      <c r="A15" s="822"/>
      <c r="B15" s="824"/>
      <c r="C15" s="824"/>
      <c r="D15" s="3317" t="s">
        <v>9</v>
      </c>
      <c r="E15" s="833">
        <v>2408742</v>
      </c>
      <c r="F15" s="833">
        <v>2420470</v>
      </c>
      <c r="G15" s="833">
        <v>2540998</v>
      </c>
      <c r="H15" s="833">
        <v>2687169</v>
      </c>
      <c r="I15" s="833">
        <v>3773998</v>
      </c>
      <c r="J15" s="833">
        <v>3982801</v>
      </c>
      <c r="K15" s="833">
        <v>4913275</v>
      </c>
      <c r="L15" s="833">
        <v>6476587</v>
      </c>
      <c r="M15" s="833">
        <v>7869143</v>
      </c>
      <c r="N15" s="833">
        <v>10947116</v>
      </c>
      <c r="O15" s="833">
        <v>11983141</v>
      </c>
      <c r="P15" s="833">
        <v>12386396</v>
      </c>
      <c r="Q15" s="833">
        <v>13026104</v>
      </c>
      <c r="R15" s="833">
        <v>14004128</v>
      </c>
      <c r="S15" s="833">
        <v>14877419</v>
      </c>
      <c r="T15" s="833">
        <v>15529212</v>
      </c>
      <c r="U15" s="833">
        <v>16032391</v>
      </c>
      <c r="V15" s="833">
        <v>15849414</v>
      </c>
      <c r="W15" s="833">
        <v>16529556</v>
      </c>
      <c r="X15" s="3332">
        <v>16853828</v>
      </c>
      <c r="Y15" s="783"/>
      <c r="Z15" s="821"/>
      <c r="AA15" s="821"/>
      <c r="AB15" s="821"/>
      <c r="AC15" s="821"/>
      <c r="AD15" s="791"/>
      <c r="AE15" s="791"/>
      <c r="AF15" s="791"/>
      <c r="AG15" s="791"/>
      <c r="AH15" s="791"/>
      <c r="AI15" s="791"/>
      <c r="AJ15" s="791"/>
      <c r="AK15" s="791"/>
      <c r="AL15" s="791"/>
      <c r="AM15" s="791"/>
      <c r="AN15" s="791"/>
      <c r="AO15" s="791"/>
      <c r="AP15" s="791"/>
      <c r="AQ15" s="791"/>
      <c r="AR15" s="791"/>
      <c r="AS15" s="791"/>
      <c r="AT15" s="791"/>
      <c r="AU15" s="791"/>
      <c r="AV15" s="791"/>
      <c r="AW15" s="791"/>
      <c r="AX15" s="791"/>
      <c r="AY15" s="791"/>
      <c r="AZ15" s="791"/>
      <c r="BA15" s="791"/>
      <c r="BB15" s="791"/>
      <c r="BC15" s="791"/>
      <c r="BD15" s="791"/>
      <c r="BE15" s="791"/>
      <c r="BF15" s="791"/>
      <c r="BG15" s="791"/>
      <c r="BH15" s="791"/>
      <c r="BI15" s="791"/>
      <c r="BJ15" s="791"/>
      <c r="BK15" s="791"/>
      <c r="BL15" s="791"/>
      <c r="BM15" s="791"/>
      <c r="BN15" s="791"/>
      <c r="BO15" s="791"/>
      <c r="BP15" s="791"/>
      <c r="BQ15" s="791"/>
      <c r="BR15" s="791"/>
      <c r="BS15" s="791"/>
      <c r="BT15" s="791"/>
      <c r="BU15" s="791"/>
      <c r="BV15" s="791"/>
      <c r="BW15" s="791"/>
      <c r="BX15" s="791"/>
      <c r="BY15" s="791"/>
      <c r="BZ15" s="791"/>
      <c r="CA15" s="791"/>
      <c r="CB15" s="791"/>
      <c r="CC15" s="791"/>
      <c r="CD15" s="791"/>
      <c r="CE15" s="791"/>
      <c r="CF15" s="791"/>
    </row>
    <row r="16" spans="1:84" s="826" customFormat="1" x14ac:dyDescent="0.25">
      <c r="A16" s="831"/>
      <c r="B16" s="830"/>
      <c r="C16" s="830"/>
      <c r="D16" s="3318" t="s">
        <v>655</v>
      </c>
      <c r="E16" s="829"/>
      <c r="F16" s="829">
        <v>5.0000000000000001E-3</v>
      </c>
      <c r="G16" s="829">
        <v>0.05</v>
      </c>
      <c r="H16" s="829">
        <v>5.8000000000000003E-2</v>
      </c>
      <c r="I16" s="829">
        <v>0.40400000000000003</v>
      </c>
      <c r="J16" s="829">
        <v>5.5E-2</v>
      </c>
      <c r="K16" s="829">
        <v>0.23400000000000001</v>
      </c>
      <c r="L16" s="829">
        <v>0.318</v>
      </c>
      <c r="M16" s="829">
        <v>0.215</v>
      </c>
      <c r="N16" s="829">
        <v>0.39100000000000001</v>
      </c>
      <c r="O16" s="829">
        <v>9.5000000000000001E-2</v>
      </c>
      <c r="P16" s="829">
        <v>3.4000000000000002E-2</v>
      </c>
      <c r="Q16" s="829">
        <v>5.1999999999999998E-2</v>
      </c>
      <c r="R16" s="829">
        <v>7.4999999999999997E-2</v>
      </c>
      <c r="S16" s="828">
        <v>6.2359541415216997E-2</v>
      </c>
      <c r="T16" s="828">
        <v>4.381089219843845E-2</v>
      </c>
      <c r="U16" s="828">
        <v>3.240209483906846E-2</v>
      </c>
      <c r="V16" s="828">
        <v>-1.1412957680485713E-2</v>
      </c>
      <c r="W16" s="828">
        <v>0.04</v>
      </c>
      <c r="X16" s="3333">
        <v>1.9617707819859165E-2</v>
      </c>
      <c r="Y16" s="2444"/>
      <c r="Z16" s="827"/>
      <c r="AA16" s="827"/>
      <c r="AB16" s="827"/>
      <c r="AC16" s="827"/>
      <c r="AG16" s="791"/>
      <c r="AH16" s="791"/>
      <c r="AI16" s="791"/>
      <c r="AJ16" s="791"/>
      <c r="AK16" s="791"/>
      <c r="AL16" s="791"/>
      <c r="AM16" s="791"/>
      <c r="AN16" s="791"/>
      <c r="AO16" s="791"/>
      <c r="AP16" s="791"/>
      <c r="AQ16" s="791"/>
      <c r="AR16" s="791"/>
      <c r="AS16" s="791"/>
      <c r="AT16" s="791"/>
      <c r="AU16" s="791"/>
      <c r="AV16" s="791"/>
      <c r="AW16" s="791"/>
      <c r="AX16" s="791"/>
      <c r="AY16" s="791"/>
      <c r="AZ16" s="791"/>
      <c r="BA16" s="791"/>
      <c r="BB16" s="791"/>
      <c r="BC16" s="791"/>
      <c r="BD16" s="791"/>
      <c r="BE16" s="791"/>
      <c r="BF16" s="791"/>
      <c r="BG16" s="791"/>
      <c r="BH16" s="791"/>
      <c r="BI16" s="791"/>
      <c r="BJ16" s="791"/>
      <c r="BK16" s="791"/>
      <c r="BL16" s="791"/>
      <c r="BM16" s="791"/>
      <c r="BN16" s="791"/>
      <c r="BO16" s="791"/>
      <c r="BP16" s="791"/>
      <c r="BQ16" s="791"/>
      <c r="BR16" s="791"/>
      <c r="BS16" s="791"/>
      <c r="BT16" s="791"/>
      <c r="BU16" s="791"/>
      <c r="BV16" s="791"/>
      <c r="BW16" s="791"/>
      <c r="BX16" s="791"/>
      <c r="BY16" s="791"/>
      <c r="BZ16" s="791"/>
      <c r="CA16" s="791"/>
      <c r="CB16" s="791"/>
      <c r="CC16" s="791"/>
      <c r="CD16" s="791"/>
      <c r="CE16" s="791"/>
      <c r="CF16" s="791"/>
    </row>
    <row r="17" spans="1:54" s="803" customFormat="1" x14ac:dyDescent="0.25">
      <c r="A17" s="807"/>
      <c r="B17" s="824"/>
      <c r="C17" s="824"/>
      <c r="D17" s="2205" t="s">
        <v>641</v>
      </c>
      <c r="E17" s="825"/>
      <c r="F17" s="825">
        <v>9183</v>
      </c>
      <c r="G17" s="825">
        <v>8496</v>
      </c>
      <c r="H17" s="825">
        <v>8570</v>
      </c>
      <c r="I17" s="825">
        <v>10107</v>
      </c>
      <c r="J17" s="825">
        <v>10332</v>
      </c>
      <c r="K17" s="825">
        <v>12625</v>
      </c>
      <c r="L17" s="825">
        <v>17528</v>
      </c>
      <c r="M17" s="825">
        <v>25667</v>
      </c>
      <c r="N17" s="825">
        <v>26960</v>
      </c>
      <c r="O17" s="825">
        <v>31918</v>
      </c>
      <c r="P17" s="825">
        <v>37343</v>
      </c>
      <c r="Q17" s="825">
        <v>46069</v>
      </c>
      <c r="R17" s="825">
        <v>53237</v>
      </c>
      <c r="S17" s="825">
        <v>58413</v>
      </c>
      <c r="T17" s="825">
        <v>66493</v>
      </c>
      <c r="U17" s="825">
        <v>73719</v>
      </c>
      <c r="V17" s="825">
        <v>83059</v>
      </c>
      <c r="W17" s="825">
        <v>113087</v>
      </c>
      <c r="X17" s="3334">
        <v>137806</v>
      </c>
      <c r="Y17" s="783"/>
      <c r="Z17" s="821"/>
      <c r="AA17" s="821"/>
      <c r="AB17" s="821"/>
      <c r="AC17" s="821"/>
      <c r="AD17" s="791"/>
      <c r="AE17" s="791"/>
      <c r="AF17" s="791"/>
    </row>
    <row r="18" spans="1:54" s="791" customFormat="1" x14ac:dyDescent="0.25">
      <c r="A18" s="822"/>
      <c r="B18" s="824"/>
      <c r="C18" s="824"/>
      <c r="D18" s="438"/>
      <c r="E18" s="823"/>
      <c r="F18" s="823"/>
      <c r="G18" s="823"/>
      <c r="H18" s="823"/>
      <c r="I18" s="823"/>
      <c r="J18" s="823"/>
      <c r="K18" s="823"/>
      <c r="L18" s="823"/>
      <c r="M18" s="823"/>
      <c r="N18" s="823"/>
      <c r="O18" s="823"/>
      <c r="P18" s="823"/>
      <c r="Q18" s="792"/>
      <c r="R18" s="792"/>
      <c r="S18" s="792"/>
      <c r="T18" s="783"/>
      <c r="U18" s="792"/>
      <c r="V18" s="783"/>
      <c r="W18" s="783"/>
      <c r="X18" s="783"/>
      <c r="Y18" s="821"/>
      <c r="Z18" s="821"/>
      <c r="AA18" s="821"/>
      <c r="AB18" s="821"/>
    </row>
    <row r="19" spans="1:54" s="791" customFormat="1" x14ac:dyDescent="0.25">
      <c r="A19" s="822"/>
      <c r="B19" s="805"/>
      <c r="C19" s="805"/>
      <c r="D19" s="2445"/>
      <c r="E19" s="2445"/>
      <c r="F19" s="2446"/>
      <c r="G19" s="2446"/>
      <c r="H19" s="2446"/>
      <c r="I19" s="2446"/>
      <c r="J19" s="2446"/>
      <c r="K19" s="2446"/>
      <c r="L19" s="2446"/>
      <c r="M19" s="2446"/>
      <c r="N19" s="2446"/>
      <c r="O19" s="2446"/>
      <c r="P19" s="2446"/>
      <c r="Q19" s="2446"/>
      <c r="R19" s="792"/>
      <c r="S19" s="792"/>
      <c r="T19" s="783"/>
      <c r="U19" s="792"/>
      <c r="V19" s="783"/>
      <c r="W19" s="783"/>
      <c r="X19" s="783"/>
      <c r="Y19" s="821"/>
      <c r="Z19" s="821"/>
      <c r="AA19" s="821"/>
      <c r="AB19" s="821"/>
    </row>
    <row r="20" spans="1:54" s="803" customFormat="1" x14ac:dyDescent="0.25">
      <c r="A20" s="807"/>
      <c r="B20" s="805"/>
      <c r="C20" s="805"/>
      <c r="D20" s="983" t="s">
        <v>55</v>
      </c>
      <c r="E20" s="772" t="s">
        <v>654</v>
      </c>
      <c r="F20" s="2442"/>
      <c r="G20" s="2442"/>
      <c r="H20" s="820"/>
      <c r="I20" s="820"/>
      <c r="J20" s="820"/>
      <c r="K20" s="820"/>
      <c r="L20" s="820"/>
      <c r="M20" s="820"/>
      <c r="N20" s="819"/>
      <c r="O20" s="2447"/>
      <c r="P20" s="772" t="s">
        <v>653</v>
      </c>
      <c r="Q20" s="2442"/>
      <c r="R20" s="2442"/>
      <c r="S20" s="820"/>
      <c r="T20" s="820"/>
      <c r="U20" s="820"/>
      <c r="V20" s="820"/>
      <c r="W20" s="820"/>
      <c r="X20" s="820"/>
      <c r="Y20" s="2448"/>
      <c r="Z20" s="983"/>
      <c r="AA20" s="772" t="s">
        <v>652</v>
      </c>
      <c r="AB20" s="792"/>
      <c r="AC20" s="792"/>
      <c r="AD20" s="792"/>
      <c r="AE20" s="792"/>
      <c r="AF20" s="2449"/>
      <c r="AG20" s="2449"/>
      <c r="AH20" s="2449"/>
      <c r="AI20" s="2450"/>
      <c r="AJ20" s="983"/>
      <c r="AK20" s="772" t="s">
        <v>651</v>
      </c>
      <c r="AL20" s="792"/>
      <c r="AM20" s="792"/>
      <c r="AN20" s="792"/>
      <c r="AO20" s="792"/>
      <c r="AP20" s="2449"/>
      <c r="AQ20" s="2449"/>
      <c r="AR20" s="2451"/>
      <c r="AS20" s="983"/>
      <c r="AT20" s="772" t="s">
        <v>650</v>
      </c>
    </row>
    <row r="21" spans="1:54" s="815" customFormat="1" ht="27" customHeight="1" x14ac:dyDescent="0.25">
      <c r="A21" s="818"/>
      <c r="B21" s="817"/>
      <c r="C21" s="817"/>
      <c r="D21" s="3319" t="s">
        <v>649</v>
      </c>
      <c r="E21" s="816" t="s">
        <v>415</v>
      </c>
      <c r="F21" s="1470" t="s">
        <v>417</v>
      </c>
      <c r="G21" s="1470" t="s">
        <v>420</v>
      </c>
      <c r="H21" s="1470" t="s">
        <v>418</v>
      </c>
      <c r="I21" s="1470" t="s">
        <v>422</v>
      </c>
      <c r="J21" s="1470" t="s">
        <v>648</v>
      </c>
      <c r="K21" s="1470" t="s">
        <v>647</v>
      </c>
      <c r="L21" s="1470" t="s">
        <v>416</v>
      </c>
      <c r="M21" s="1470" t="s">
        <v>414</v>
      </c>
      <c r="N21" s="816" t="s">
        <v>261</v>
      </c>
      <c r="O21" s="816" t="s">
        <v>415</v>
      </c>
      <c r="P21" s="1470" t="s">
        <v>417</v>
      </c>
      <c r="Q21" s="1470" t="s">
        <v>420</v>
      </c>
      <c r="R21" s="1470" t="s">
        <v>418</v>
      </c>
      <c r="S21" s="1470" t="s">
        <v>422</v>
      </c>
      <c r="T21" s="1470" t="s">
        <v>648</v>
      </c>
      <c r="U21" s="1470" t="s">
        <v>647</v>
      </c>
      <c r="V21" s="1470" t="s">
        <v>416</v>
      </c>
      <c r="W21" s="1470" t="s">
        <v>414</v>
      </c>
      <c r="X21" s="816" t="s">
        <v>261</v>
      </c>
      <c r="Y21" s="2452" t="s">
        <v>415</v>
      </c>
      <c r="Z21" s="1470" t="s">
        <v>417</v>
      </c>
      <c r="AA21" s="1470" t="s">
        <v>420</v>
      </c>
      <c r="AB21" s="2453" t="s">
        <v>418</v>
      </c>
      <c r="AC21" s="2453" t="s">
        <v>422</v>
      </c>
      <c r="AD21" s="2453" t="s">
        <v>648</v>
      </c>
      <c r="AE21" s="2453" t="s">
        <v>647</v>
      </c>
      <c r="AF21" s="2453" t="s">
        <v>416</v>
      </c>
      <c r="AG21" s="2453" t="s">
        <v>414</v>
      </c>
      <c r="AH21" s="2454" t="s">
        <v>261</v>
      </c>
      <c r="AI21" s="2453" t="s">
        <v>415</v>
      </c>
      <c r="AJ21" s="1470" t="s">
        <v>417</v>
      </c>
      <c r="AK21" s="1470" t="s">
        <v>420</v>
      </c>
      <c r="AL21" s="2453" t="s">
        <v>418</v>
      </c>
      <c r="AM21" s="2453" t="s">
        <v>422</v>
      </c>
      <c r="AN21" s="2453" t="s">
        <v>648</v>
      </c>
      <c r="AO21" s="2453" t="s">
        <v>647</v>
      </c>
      <c r="AP21" s="2453" t="s">
        <v>416</v>
      </c>
      <c r="AQ21" s="2455" t="s">
        <v>414</v>
      </c>
      <c r="AR21" s="2456" t="s">
        <v>261</v>
      </c>
      <c r="AS21" s="816" t="s">
        <v>415</v>
      </c>
      <c r="AT21" s="1470" t="s">
        <v>417</v>
      </c>
      <c r="AU21" s="2453" t="s">
        <v>420</v>
      </c>
      <c r="AV21" s="2453" t="s">
        <v>418</v>
      </c>
      <c r="AW21" s="2453" t="s">
        <v>422</v>
      </c>
      <c r="AX21" s="2453" t="s">
        <v>648</v>
      </c>
      <c r="AY21" s="2453" t="s">
        <v>647</v>
      </c>
      <c r="AZ21" s="2453" t="s">
        <v>416</v>
      </c>
      <c r="BA21" s="2455" t="s">
        <v>414</v>
      </c>
      <c r="BB21" s="3326" t="s">
        <v>261</v>
      </c>
    </row>
    <row r="22" spans="1:54" s="815" customFormat="1" ht="12.75" x14ac:dyDescent="0.2">
      <c r="A22" s="807"/>
      <c r="B22" s="805"/>
      <c r="C22" s="805"/>
      <c r="D22" s="2948" t="s">
        <v>646</v>
      </c>
      <c r="E22" s="804">
        <v>492248</v>
      </c>
      <c r="F22" s="787">
        <v>165328</v>
      </c>
      <c r="G22" s="787">
        <v>368316</v>
      </c>
      <c r="H22" s="787">
        <v>573040</v>
      </c>
      <c r="I22" s="787">
        <v>379783</v>
      </c>
      <c r="J22" s="787">
        <v>219920</v>
      </c>
      <c r="K22" s="787">
        <v>234505</v>
      </c>
      <c r="L22" s="787">
        <v>71721</v>
      </c>
      <c r="M22" s="787">
        <v>245996</v>
      </c>
      <c r="N22" s="804">
        <v>2750857</v>
      </c>
      <c r="O22" s="804">
        <v>509612</v>
      </c>
      <c r="P22" s="787">
        <v>172103</v>
      </c>
      <c r="Q22" s="787">
        <v>424892</v>
      </c>
      <c r="R22" s="787">
        <v>590959</v>
      </c>
      <c r="S22" s="787">
        <v>395264</v>
      </c>
      <c r="T22" s="787">
        <v>227239</v>
      </c>
      <c r="U22" s="787">
        <v>217274</v>
      </c>
      <c r="V22" s="787">
        <v>74919</v>
      </c>
      <c r="W22" s="787">
        <v>260935</v>
      </c>
      <c r="X22" s="804">
        <v>2873197</v>
      </c>
      <c r="Y22" s="804">
        <v>516952</v>
      </c>
      <c r="Z22" s="787">
        <v>176973</v>
      </c>
      <c r="AA22" s="787">
        <v>449843</v>
      </c>
      <c r="AB22" s="787">
        <v>611625</v>
      </c>
      <c r="AC22" s="787">
        <v>421053</v>
      </c>
      <c r="AD22" s="787">
        <v>217045</v>
      </c>
      <c r="AE22" s="787">
        <v>224898</v>
      </c>
      <c r="AF22" s="787">
        <v>77081</v>
      </c>
      <c r="AG22" s="787">
        <v>274463</v>
      </c>
      <c r="AH22" s="1582">
        <v>2969933</v>
      </c>
      <c r="AI22" s="786">
        <v>528291</v>
      </c>
      <c r="AJ22" s="787">
        <v>182314</v>
      </c>
      <c r="AK22" s="787">
        <v>482168</v>
      </c>
      <c r="AL22" s="787">
        <v>631713</v>
      </c>
      <c r="AM22" s="787">
        <v>430368</v>
      </c>
      <c r="AN22" s="787">
        <v>226625</v>
      </c>
      <c r="AO22" s="787">
        <v>233547</v>
      </c>
      <c r="AP22" s="787">
        <v>79080</v>
      </c>
      <c r="AQ22" s="787">
        <v>292745</v>
      </c>
      <c r="AR22" s="1582">
        <v>3086851</v>
      </c>
      <c r="AS22" s="787">
        <v>537250</v>
      </c>
      <c r="AT22" s="787">
        <v>187887</v>
      </c>
      <c r="AU22" s="786">
        <v>514733</v>
      </c>
      <c r="AV22" s="787">
        <v>649094</v>
      </c>
      <c r="AW22" s="787">
        <v>441175</v>
      </c>
      <c r="AX22" s="786">
        <v>234576</v>
      </c>
      <c r="AY22" s="787">
        <v>240084</v>
      </c>
      <c r="AZ22" s="787">
        <v>81241</v>
      </c>
      <c r="BA22" s="1587">
        <v>308047</v>
      </c>
      <c r="BB22" s="3327">
        <v>3194087</v>
      </c>
    </row>
    <row r="23" spans="1:54" s="803" customFormat="1" x14ac:dyDescent="0.25">
      <c r="A23" s="807"/>
      <c r="B23" s="805"/>
      <c r="C23" s="805"/>
      <c r="D23" s="2948" t="s">
        <v>645</v>
      </c>
      <c r="E23" s="804">
        <v>101</v>
      </c>
      <c r="F23" s="787">
        <v>14</v>
      </c>
      <c r="G23" s="787">
        <v>171</v>
      </c>
      <c r="H23" s="787">
        <v>109</v>
      </c>
      <c r="I23" s="787">
        <v>59</v>
      </c>
      <c r="J23" s="787">
        <v>34</v>
      </c>
      <c r="K23" s="787">
        <v>26</v>
      </c>
      <c r="L23" s="787">
        <v>26</v>
      </c>
      <c r="M23" s="787">
        <v>213</v>
      </c>
      <c r="N23" s="804">
        <v>753</v>
      </c>
      <c r="O23" s="804">
        <v>76</v>
      </c>
      <c r="P23" s="787">
        <v>8</v>
      </c>
      <c r="Q23" s="787">
        <v>147</v>
      </c>
      <c r="R23" s="787">
        <v>86</v>
      </c>
      <c r="S23" s="787">
        <v>47</v>
      </c>
      <c r="T23" s="787">
        <v>27</v>
      </c>
      <c r="U23" s="787">
        <v>19</v>
      </c>
      <c r="V23" s="787">
        <v>17</v>
      </c>
      <c r="W23" s="787">
        <v>160</v>
      </c>
      <c r="X23" s="804">
        <v>587</v>
      </c>
      <c r="Y23" s="804">
        <v>62</v>
      </c>
      <c r="Z23" s="787">
        <v>6</v>
      </c>
      <c r="AA23" s="787">
        <v>109</v>
      </c>
      <c r="AB23" s="787">
        <v>58</v>
      </c>
      <c r="AC23" s="787">
        <v>29</v>
      </c>
      <c r="AD23" s="787">
        <v>17</v>
      </c>
      <c r="AE23" s="787">
        <v>16</v>
      </c>
      <c r="AF23" s="787">
        <v>12</v>
      </c>
      <c r="AG23" s="787">
        <v>120</v>
      </c>
      <c r="AH23" s="1582">
        <v>429</v>
      </c>
      <c r="AI23" s="786">
        <v>47</v>
      </c>
      <c r="AJ23" s="787">
        <v>5</v>
      </c>
      <c r="AK23" s="787">
        <v>89</v>
      </c>
      <c r="AL23" s="787">
        <v>38</v>
      </c>
      <c r="AM23" s="787">
        <v>21</v>
      </c>
      <c r="AN23" s="787">
        <v>14</v>
      </c>
      <c r="AO23" s="787">
        <v>11</v>
      </c>
      <c r="AP23" s="787">
        <v>9</v>
      </c>
      <c r="AQ23" s="787">
        <v>92</v>
      </c>
      <c r="AR23" s="1582">
        <v>326</v>
      </c>
      <c r="AS23" s="787">
        <v>40</v>
      </c>
      <c r="AT23" s="787">
        <v>2</v>
      </c>
      <c r="AU23" s="786">
        <v>66</v>
      </c>
      <c r="AV23" s="787">
        <v>30</v>
      </c>
      <c r="AW23" s="787">
        <v>14</v>
      </c>
      <c r="AX23" s="786">
        <v>13</v>
      </c>
      <c r="AY23" s="787">
        <v>6</v>
      </c>
      <c r="AZ23" s="787">
        <v>8</v>
      </c>
      <c r="BA23" s="1587">
        <v>66</v>
      </c>
      <c r="BB23" s="3327">
        <v>245</v>
      </c>
    </row>
    <row r="24" spans="1:54" s="803" customFormat="1" x14ac:dyDescent="0.25">
      <c r="A24" s="807"/>
      <c r="B24" s="805"/>
      <c r="C24" s="805"/>
      <c r="D24" s="2948" t="s">
        <v>644</v>
      </c>
      <c r="E24" s="804">
        <v>190620</v>
      </c>
      <c r="F24" s="787">
        <v>95760</v>
      </c>
      <c r="G24" s="787">
        <v>120838</v>
      </c>
      <c r="H24" s="787">
        <v>325459</v>
      </c>
      <c r="I24" s="787">
        <v>88040</v>
      </c>
      <c r="J24" s="787">
        <v>82084</v>
      </c>
      <c r="K24" s="787">
        <v>89784</v>
      </c>
      <c r="L24" s="787">
        <v>47920</v>
      </c>
      <c r="M24" s="787">
        <v>157626</v>
      </c>
      <c r="N24" s="804">
        <v>1198131</v>
      </c>
      <c r="O24" s="804">
        <v>185541</v>
      </c>
      <c r="P24" s="787">
        <v>86310</v>
      </c>
      <c r="Q24" s="787">
        <v>123247</v>
      </c>
      <c r="R24" s="787">
        <v>311402</v>
      </c>
      <c r="S24" s="787">
        <v>89155</v>
      </c>
      <c r="T24" s="787">
        <v>80824</v>
      </c>
      <c r="U24" s="787">
        <v>85867</v>
      </c>
      <c r="V24" s="787">
        <v>50012</v>
      </c>
      <c r="W24" s="787">
        <v>151834</v>
      </c>
      <c r="X24" s="804">
        <v>1164192</v>
      </c>
      <c r="Y24" s="804">
        <v>179712</v>
      </c>
      <c r="Z24" s="787">
        <v>80203</v>
      </c>
      <c r="AA24" s="787">
        <v>112822</v>
      </c>
      <c r="AB24" s="787">
        <v>296133</v>
      </c>
      <c r="AC24" s="787">
        <v>91357</v>
      </c>
      <c r="AD24" s="787">
        <v>77258</v>
      </c>
      <c r="AE24" s="787">
        <v>85854</v>
      </c>
      <c r="AF24" s="787">
        <v>48201</v>
      </c>
      <c r="AG24" s="787">
        <v>148879</v>
      </c>
      <c r="AH24" s="1582">
        <v>1120419</v>
      </c>
      <c r="AI24" s="786">
        <v>182479</v>
      </c>
      <c r="AJ24" s="787">
        <v>75526</v>
      </c>
      <c r="AK24" s="787">
        <v>106015</v>
      </c>
      <c r="AL24" s="787">
        <v>284574</v>
      </c>
      <c r="AM24" s="787">
        <v>93428</v>
      </c>
      <c r="AN24" s="787">
        <v>78487</v>
      </c>
      <c r="AO24" s="787">
        <v>85517</v>
      </c>
      <c r="AP24" s="787">
        <v>50787</v>
      </c>
      <c r="AQ24" s="787">
        <v>155850</v>
      </c>
      <c r="AR24" s="1582">
        <v>1112663</v>
      </c>
      <c r="AS24" s="787">
        <v>181263</v>
      </c>
      <c r="AT24" s="825">
        <v>73915</v>
      </c>
      <c r="AU24" s="808">
        <v>111438</v>
      </c>
      <c r="AV24" s="825">
        <v>262512</v>
      </c>
      <c r="AW24" s="825">
        <v>95658</v>
      </c>
      <c r="AX24" s="808">
        <v>77577</v>
      </c>
      <c r="AY24" s="825">
        <v>82305</v>
      </c>
      <c r="AZ24" s="825">
        <v>49580</v>
      </c>
      <c r="BA24" s="1587">
        <v>151293</v>
      </c>
      <c r="BB24" s="3328">
        <v>1085541</v>
      </c>
    </row>
    <row r="25" spans="1:54" s="803" customFormat="1" x14ac:dyDescent="0.25">
      <c r="A25" s="807"/>
      <c r="B25" s="805"/>
      <c r="C25" s="805"/>
      <c r="D25" s="3320" t="s">
        <v>643</v>
      </c>
      <c r="E25" s="814">
        <v>182989</v>
      </c>
      <c r="F25" s="813">
        <v>72699</v>
      </c>
      <c r="G25" s="813">
        <v>96038</v>
      </c>
      <c r="H25" s="813">
        <v>244738</v>
      </c>
      <c r="I25" s="813">
        <v>71883</v>
      </c>
      <c r="J25" s="813">
        <v>65764</v>
      </c>
      <c r="K25" s="813">
        <v>73328</v>
      </c>
      <c r="L25" s="813">
        <v>36348</v>
      </c>
      <c r="M25" s="813">
        <v>111815</v>
      </c>
      <c r="N25" s="812">
        <v>955602</v>
      </c>
      <c r="O25" s="814">
        <v>179088</v>
      </c>
      <c r="P25" s="813">
        <v>69381</v>
      </c>
      <c r="Q25" s="813">
        <v>100269</v>
      </c>
      <c r="R25" s="813">
        <v>241000</v>
      </c>
      <c r="S25" s="813">
        <v>73148</v>
      </c>
      <c r="T25" s="813">
        <v>65906</v>
      </c>
      <c r="U25" s="813">
        <v>70186</v>
      </c>
      <c r="V25" s="813">
        <v>36451</v>
      </c>
      <c r="W25" s="813">
        <v>112513</v>
      </c>
      <c r="X25" s="812">
        <v>947942</v>
      </c>
      <c r="Y25" s="814">
        <v>173429</v>
      </c>
      <c r="Z25" s="813">
        <v>64332</v>
      </c>
      <c r="AA25" s="813">
        <v>87136</v>
      </c>
      <c r="AB25" s="813">
        <v>228690</v>
      </c>
      <c r="AC25" s="813">
        <v>74846</v>
      </c>
      <c r="AD25" s="813">
        <v>63202</v>
      </c>
      <c r="AE25" s="813">
        <v>68581</v>
      </c>
      <c r="AF25" s="813">
        <v>33009</v>
      </c>
      <c r="AG25" s="813">
        <v>113734</v>
      </c>
      <c r="AH25" s="2457">
        <v>906959</v>
      </c>
      <c r="AI25" s="814">
        <v>174036</v>
      </c>
      <c r="AJ25" s="813">
        <v>62627</v>
      </c>
      <c r="AK25" s="813">
        <v>78902</v>
      </c>
      <c r="AL25" s="813">
        <v>221927</v>
      </c>
      <c r="AM25" s="813">
        <v>76877</v>
      </c>
      <c r="AN25" s="813">
        <v>64365</v>
      </c>
      <c r="AO25" s="813">
        <v>68471</v>
      </c>
      <c r="AP25" s="813">
        <v>34277</v>
      </c>
      <c r="AQ25" s="813">
        <v>115396</v>
      </c>
      <c r="AR25" s="1583">
        <v>896878</v>
      </c>
      <c r="AS25" s="813">
        <v>172922</v>
      </c>
      <c r="AT25" s="1587">
        <v>62052</v>
      </c>
      <c r="AU25" s="1588">
        <v>82572</v>
      </c>
      <c r="AV25" s="1587">
        <v>209914</v>
      </c>
      <c r="AW25" s="1588">
        <v>78053</v>
      </c>
      <c r="AX25" s="1587">
        <v>63846</v>
      </c>
      <c r="AY25" s="1588">
        <v>65200</v>
      </c>
      <c r="AZ25" s="1587">
        <v>34583</v>
      </c>
      <c r="BA25" s="813">
        <v>114119</v>
      </c>
      <c r="BB25" s="3329">
        <v>883261</v>
      </c>
    </row>
    <row r="26" spans="1:54" s="803" customFormat="1" x14ac:dyDescent="0.25">
      <c r="A26" s="807"/>
      <c r="B26" s="805"/>
      <c r="C26" s="805"/>
      <c r="D26" s="3321" t="s">
        <v>642</v>
      </c>
      <c r="E26" s="810">
        <v>7631</v>
      </c>
      <c r="F26" s="809">
        <v>23061</v>
      </c>
      <c r="G26" s="809">
        <v>24800</v>
      </c>
      <c r="H26" s="809">
        <v>80721</v>
      </c>
      <c r="I26" s="809">
        <v>16157</v>
      </c>
      <c r="J26" s="809">
        <v>16320</v>
      </c>
      <c r="K26" s="809">
        <v>16456</v>
      </c>
      <c r="L26" s="809">
        <v>11572</v>
      </c>
      <c r="M26" s="809">
        <v>45811</v>
      </c>
      <c r="N26" s="808">
        <v>242529</v>
      </c>
      <c r="O26" s="810">
        <v>6453</v>
      </c>
      <c r="P26" s="809">
        <v>16929</v>
      </c>
      <c r="Q26" s="809">
        <v>22978</v>
      </c>
      <c r="R26" s="809">
        <v>70402</v>
      </c>
      <c r="S26" s="809">
        <v>16007</v>
      </c>
      <c r="T26" s="809">
        <v>14918</v>
      </c>
      <c r="U26" s="809">
        <v>15681</v>
      </c>
      <c r="V26" s="809">
        <v>13561</v>
      </c>
      <c r="W26" s="809">
        <v>39321</v>
      </c>
      <c r="X26" s="808">
        <v>216250</v>
      </c>
      <c r="Y26" s="810">
        <v>6283</v>
      </c>
      <c r="Z26" s="809">
        <v>15871</v>
      </c>
      <c r="AA26" s="809">
        <v>25686</v>
      </c>
      <c r="AB26" s="809">
        <v>67443</v>
      </c>
      <c r="AC26" s="809">
        <v>16511</v>
      </c>
      <c r="AD26" s="809">
        <v>14056</v>
      </c>
      <c r="AE26" s="809">
        <v>17273</v>
      </c>
      <c r="AF26" s="809">
        <v>15192</v>
      </c>
      <c r="AG26" s="809">
        <v>35145</v>
      </c>
      <c r="AH26" s="1582">
        <v>213460</v>
      </c>
      <c r="AI26" s="810">
        <v>8443</v>
      </c>
      <c r="AJ26" s="809">
        <v>12899</v>
      </c>
      <c r="AK26" s="809">
        <v>27113</v>
      </c>
      <c r="AL26" s="809">
        <v>62647</v>
      </c>
      <c r="AM26" s="809">
        <v>16551</v>
      </c>
      <c r="AN26" s="809">
        <v>14122</v>
      </c>
      <c r="AO26" s="809">
        <v>17046</v>
      </c>
      <c r="AP26" s="809">
        <v>16510</v>
      </c>
      <c r="AQ26" s="809">
        <v>40454</v>
      </c>
      <c r="AR26" s="1584">
        <v>215785</v>
      </c>
      <c r="AS26" s="809">
        <v>8341</v>
      </c>
      <c r="AT26" s="1584">
        <v>11863</v>
      </c>
      <c r="AU26" s="809">
        <v>28866</v>
      </c>
      <c r="AV26" s="1584">
        <v>52598</v>
      </c>
      <c r="AW26" s="809">
        <v>17605</v>
      </c>
      <c r="AX26" s="1584">
        <v>13731</v>
      </c>
      <c r="AY26" s="809">
        <v>17105</v>
      </c>
      <c r="AZ26" s="1584">
        <v>14997</v>
      </c>
      <c r="BA26" s="809">
        <v>37174</v>
      </c>
      <c r="BB26" s="3046">
        <v>202280</v>
      </c>
    </row>
    <row r="27" spans="1:54" s="803" customFormat="1" x14ac:dyDescent="0.25">
      <c r="A27" s="807"/>
      <c r="B27" s="805"/>
      <c r="C27" s="805"/>
      <c r="D27" s="2948" t="s">
        <v>641</v>
      </c>
      <c r="E27" s="804">
        <v>8488</v>
      </c>
      <c r="F27" s="787">
        <v>1035</v>
      </c>
      <c r="G27" s="787">
        <v>1297</v>
      </c>
      <c r="H27" s="787">
        <v>28077</v>
      </c>
      <c r="I27" s="787">
        <v>8895</v>
      </c>
      <c r="J27" s="787">
        <v>2185</v>
      </c>
      <c r="K27" s="787">
        <v>3376</v>
      </c>
      <c r="L27" s="787">
        <v>4092</v>
      </c>
      <c r="M27" s="787">
        <v>9048</v>
      </c>
      <c r="N27" s="804">
        <v>66493</v>
      </c>
      <c r="O27" s="804">
        <v>9545</v>
      </c>
      <c r="P27" s="787">
        <v>1199</v>
      </c>
      <c r="Q27" s="787">
        <v>1655</v>
      </c>
      <c r="R27" s="787">
        <v>29190</v>
      </c>
      <c r="S27" s="787">
        <v>11321</v>
      </c>
      <c r="T27" s="787">
        <v>2883</v>
      </c>
      <c r="U27" s="787">
        <v>4092</v>
      </c>
      <c r="V27" s="787">
        <v>4214</v>
      </c>
      <c r="W27" s="787">
        <v>9620</v>
      </c>
      <c r="X27" s="804">
        <v>73719</v>
      </c>
      <c r="Y27" s="804">
        <v>12145</v>
      </c>
      <c r="Z27" s="787">
        <v>1543</v>
      </c>
      <c r="AA27" s="787">
        <v>2168</v>
      </c>
      <c r="AB27" s="787">
        <v>30652</v>
      </c>
      <c r="AC27" s="787">
        <v>13048</v>
      </c>
      <c r="AD27" s="787">
        <v>3572</v>
      </c>
      <c r="AE27" s="787">
        <v>5142</v>
      </c>
      <c r="AF27" s="787">
        <v>4755</v>
      </c>
      <c r="AG27" s="787">
        <v>10034</v>
      </c>
      <c r="AH27" s="2457">
        <v>83059</v>
      </c>
      <c r="AI27" s="786">
        <v>16391</v>
      </c>
      <c r="AJ27" s="787">
        <v>2095</v>
      </c>
      <c r="AK27" s="787">
        <v>2989</v>
      </c>
      <c r="AL27" s="787">
        <v>39333</v>
      </c>
      <c r="AM27" s="787">
        <v>21228</v>
      </c>
      <c r="AN27" s="787">
        <v>5154</v>
      </c>
      <c r="AO27" s="787">
        <v>7217</v>
      </c>
      <c r="AP27" s="787">
        <v>6587</v>
      </c>
      <c r="AQ27" s="787">
        <v>12093</v>
      </c>
      <c r="AR27" s="1582">
        <v>113087</v>
      </c>
      <c r="AS27" s="787">
        <v>18671</v>
      </c>
      <c r="AT27" s="1582">
        <v>2777</v>
      </c>
      <c r="AU27" s="787">
        <v>4358</v>
      </c>
      <c r="AV27" s="1582">
        <v>47109</v>
      </c>
      <c r="AW27" s="787">
        <v>28349</v>
      </c>
      <c r="AX27" s="1582">
        <v>7121</v>
      </c>
      <c r="AY27" s="787">
        <v>8134</v>
      </c>
      <c r="AZ27" s="1582">
        <v>7311</v>
      </c>
      <c r="BA27" s="787">
        <v>13976</v>
      </c>
      <c r="BB27" s="3330">
        <v>137806</v>
      </c>
    </row>
    <row r="28" spans="1:54" s="803" customFormat="1" x14ac:dyDescent="0.25">
      <c r="A28" s="807"/>
      <c r="B28" s="805"/>
      <c r="C28" s="805"/>
      <c r="D28" s="2948" t="s">
        <v>640</v>
      </c>
      <c r="E28" s="804">
        <v>116826</v>
      </c>
      <c r="F28" s="787">
        <v>43311</v>
      </c>
      <c r="G28" s="787">
        <v>56451</v>
      </c>
      <c r="H28" s="787">
        <v>142114</v>
      </c>
      <c r="I28" s="787">
        <v>56066</v>
      </c>
      <c r="J28" s="787">
        <v>32886</v>
      </c>
      <c r="K28" s="787">
        <v>45634</v>
      </c>
      <c r="L28" s="787">
        <v>14456</v>
      </c>
      <c r="M28" s="787">
        <v>29003</v>
      </c>
      <c r="N28" s="804">
        <v>536747</v>
      </c>
      <c r="O28" s="804">
        <v>117231</v>
      </c>
      <c r="P28" s="787">
        <v>41317</v>
      </c>
      <c r="Q28" s="787">
        <v>58722</v>
      </c>
      <c r="R28" s="787">
        <v>135442</v>
      </c>
      <c r="S28" s="787">
        <v>58953</v>
      </c>
      <c r="T28" s="787">
        <v>35359</v>
      </c>
      <c r="U28" s="787">
        <v>42215</v>
      </c>
      <c r="V28" s="787">
        <v>14342</v>
      </c>
      <c r="W28" s="787">
        <v>28578</v>
      </c>
      <c r="X28" s="804">
        <v>532159</v>
      </c>
      <c r="Y28" s="804">
        <v>116172</v>
      </c>
      <c r="Z28" s="787">
        <v>39178</v>
      </c>
      <c r="AA28" s="787">
        <v>55027</v>
      </c>
      <c r="AB28" s="787">
        <v>125702</v>
      </c>
      <c r="AC28" s="787">
        <v>58571</v>
      </c>
      <c r="AD28" s="787">
        <v>33877</v>
      </c>
      <c r="AE28" s="787">
        <v>40726</v>
      </c>
      <c r="AF28" s="787">
        <v>14307</v>
      </c>
      <c r="AG28" s="787">
        <v>28495</v>
      </c>
      <c r="AH28" s="1582">
        <v>512055</v>
      </c>
      <c r="AI28" s="786">
        <v>115849</v>
      </c>
      <c r="AJ28" s="787">
        <v>37985</v>
      </c>
      <c r="AK28" s="787">
        <v>53411</v>
      </c>
      <c r="AL28" s="787">
        <v>118505</v>
      </c>
      <c r="AM28" s="787">
        <v>57694</v>
      </c>
      <c r="AN28" s="787">
        <v>34260</v>
      </c>
      <c r="AO28" s="787">
        <v>37984</v>
      </c>
      <c r="AP28" s="787">
        <v>14513</v>
      </c>
      <c r="AQ28" s="787">
        <v>29573</v>
      </c>
      <c r="AR28" s="1582">
        <v>499774</v>
      </c>
      <c r="AS28" s="787">
        <v>110007</v>
      </c>
      <c r="AT28" s="1582">
        <v>35426</v>
      </c>
      <c r="AU28" s="787">
        <v>51568</v>
      </c>
      <c r="AV28" s="1582">
        <v>106755</v>
      </c>
      <c r="AW28" s="787">
        <v>52272</v>
      </c>
      <c r="AX28" s="1582">
        <v>33735</v>
      </c>
      <c r="AY28" s="787">
        <v>36001</v>
      </c>
      <c r="AZ28" s="1582">
        <v>14075</v>
      </c>
      <c r="BA28" s="787">
        <v>30176</v>
      </c>
      <c r="BB28" s="3330">
        <v>470015</v>
      </c>
    </row>
    <row r="29" spans="1:54" s="803" customFormat="1" x14ac:dyDescent="0.25">
      <c r="A29" s="807"/>
      <c r="B29" s="805"/>
      <c r="C29" s="805"/>
      <c r="D29" s="2948" t="s">
        <v>639</v>
      </c>
      <c r="E29" s="806">
        <v>18235</v>
      </c>
      <c r="F29" s="787">
        <v>5419</v>
      </c>
      <c r="G29" s="787">
        <v>14170</v>
      </c>
      <c r="H29" s="787">
        <v>34969</v>
      </c>
      <c r="I29" s="787">
        <v>11318</v>
      </c>
      <c r="J29" s="787">
        <v>7950</v>
      </c>
      <c r="K29" s="787">
        <v>8736</v>
      </c>
      <c r="L29" s="787">
        <v>4236</v>
      </c>
      <c r="M29" s="787">
        <v>9960</v>
      </c>
      <c r="N29" s="804">
        <v>114993</v>
      </c>
      <c r="O29" s="806">
        <v>18429</v>
      </c>
      <c r="P29" s="787">
        <v>5864</v>
      </c>
      <c r="Q29" s="787">
        <v>15783</v>
      </c>
      <c r="R29" s="787">
        <v>36012</v>
      </c>
      <c r="S29" s="787">
        <v>11913</v>
      </c>
      <c r="T29" s="787">
        <v>8652</v>
      </c>
      <c r="U29" s="787">
        <v>8339</v>
      </c>
      <c r="V29" s="787">
        <v>4485</v>
      </c>
      <c r="W29" s="787">
        <v>10791</v>
      </c>
      <c r="X29" s="804">
        <v>120268</v>
      </c>
      <c r="Y29" s="806">
        <v>18199</v>
      </c>
      <c r="Z29" s="787">
        <v>6146</v>
      </c>
      <c r="AA29" s="787">
        <v>15428</v>
      </c>
      <c r="AB29" s="787">
        <v>35392</v>
      </c>
      <c r="AC29" s="787">
        <v>12559</v>
      </c>
      <c r="AD29" s="787">
        <v>8807</v>
      </c>
      <c r="AE29" s="787">
        <v>8463</v>
      </c>
      <c r="AF29" s="787">
        <v>4610</v>
      </c>
      <c r="AG29" s="787">
        <v>11028</v>
      </c>
      <c r="AH29" s="1582">
        <v>120632</v>
      </c>
      <c r="AI29" s="895">
        <v>19165</v>
      </c>
      <c r="AJ29" s="787">
        <v>6385</v>
      </c>
      <c r="AK29" s="787">
        <v>16170</v>
      </c>
      <c r="AL29" s="787">
        <v>36471</v>
      </c>
      <c r="AM29" s="787">
        <v>13266</v>
      </c>
      <c r="AN29" s="787">
        <v>9572</v>
      </c>
      <c r="AO29" s="787">
        <v>8940</v>
      </c>
      <c r="AP29" s="787">
        <v>4787</v>
      </c>
      <c r="AQ29" s="787">
        <v>12021</v>
      </c>
      <c r="AR29" s="1582">
        <v>126777</v>
      </c>
      <c r="AS29" s="787">
        <v>19671</v>
      </c>
      <c r="AT29" s="1582">
        <v>6759</v>
      </c>
      <c r="AU29" s="787">
        <v>16916</v>
      </c>
      <c r="AV29" s="1582">
        <v>37148</v>
      </c>
      <c r="AW29" s="787">
        <v>13850</v>
      </c>
      <c r="AX29" s="1582">
        <v>9928</v>
      </c>
      <c r="AY29" s="787">
        <v>9122</v>
      </c>
      <c r="AZ29" s="1582">
        <v>5020</v>
      </c>
      <c r="BA29" s="787">
        <v>12626</v>
      </c>
      <c r="BB29" s="3330">
        <v>131040</v>
      </c>
    </row>
    <row r="30" spans="1:54" s="803" customFormat="1" x14ac:dyDescent="0.25">
      <c r="A30" s="835"/>
      <c r="B30" s="805"/>
      <c r="C30" s="805"/>
      <c r="D30" s="2948" t="s">
        <v>638</v>
      </c>
      <c r="E30" s="804">
        <v>1837801</v>
      </c>
      <c r="F30" s="787">
        <v>617311</v>
      </c>
      <c r="G30" s="787">
        <v>1387159</v>
      </c>
      <c r="H30" s="787">
        <v>2726635</v>
      </c>
      <c r="I30" s="787">
        <v>1497044</v>
      </c>
      <c r="J30" s="787">
        <v>1008223</v>
      </c>
      <c r="K30" s="787">
        <v>793189</v>
      </c>
      <c r="L30" s="787">
        <v>262488</v>
      </c>
      <c r="M30" s="787">
        <v>797881</v>
      </c>
      <c r="N30" s="804">
        <v>10927731</v>
      </c>
      <c r="O30" s="804">
        <v>1843684</v>
      </c>
      <c r="P30" s="787">
        <v>637075</v>
      </c>
      <c r="Q30" s="787">
        <v>1581756</v>
      </c>
      <c r="R30" s="787">
        <v>2746888</v>
      </c>
      <c r="S30" s="787">
        <v>1588489</v>
      </c>
      <c r="T30" s="787">
        <v>1051626</v>
      </c>
      <c r="U30" s="787">
        <v>751195</v>
      </c>
      <c r="V30" s="787">
        <v>277835</v>
      </c>
      <c r="W30" s="787">
        <v>863440</v>
      </c>
      <c r="X30" s="804">
        <v>11341988</v>
      </c>
      <c r="Y30" s="1585">
        <v>1777042</v>
      </c>
      <c r="Z30" s="825">
        <v>630717</v>
      </c>
      <c r="AA30" s="825">
        <v>1548796</v>
      </c>
      <c r="AB30" s="825">
        <v>2662100</v>
      </c>
      <c r="AC30" s="825">
        <v>1626113</v>
      </c>
      <c r="AD30" s="825">
        <v>984641</v>
      </c>
      <c r="AE30" s="825">
        <v>754935</v>
      </c>
      <c r="AF30" s="825">
        <v>275849</v>
      </c>
      <c r="AG30" s="825">
        <v>865753</v>
      </c>
      <c r="AH30" s="1582">
        <v>11125946</v>
      </c>
      <c r="AI30" s="808">
        <v>1856250</v>
      </c>
      <c r="AJ30" s="825">
        <v>656464</v>
      </c>
      <c r="AK30" s="825">
        <v>1657061</v>
      </c>
      <c r="AL30" s="825">
        <v>2775481</v>
      </c>
      <c r="AM30" s="825">
        <v>1699494</v>
      </c>
      <c r="AN30" s="825">
        <v>1034942</v>
      </c>
      <c r="AO30" s="825">
        <v>797289</v>
      </c>
      <c r="AP30" s="825">
        <v>290497</v>
      </c>
      <c r="AQ30" s="825">
        <v>935687</v>
      </c>
      <c r="AR30" s="1586">
        <v>11703165</v>
      </c>
      <c r="AS30" s="1586">
        <v>1875603</v>
      </c>
      <c r="AT30" s="1586">
        <v>669854</v>
      </c>
      <c r="AU30" s="1586">
        <v>1727620</v>
      </c>
      <c r="AV30" s="1586">
        <v>2815815</v>
      </c>
      <c r="AW30" s="1586">
        <v>1749230</v>
      </c>
      <c r="AX30" s="1586">
        <v>1053716</v>
      </c>
      <c r="AY30" s="1586">
        <v>817437</v>
      </c>
      <c r="AZ30" s="1586">
        <v>297280</v>
      </c>
      <c r="BA30" s="1586">
        <v>966345</v>
      </c>
      <c r="BB30" s="3331">
        <v>11972900</v>
      </c>
    </row>
    <row r="31" spans="1:54" x14ac:dyDescent="0.25">
      <c r="D31" s="3322" t="s">
        <v>637</v>
      </c>
      <c r="E31" s="801">
        <v>2244303</v>
      </c>
      <c r="F31" s="802">
        <v>723698</v>
      </c>
      <c r="G31" s="802">
        <v>1406445</v>
      </c>
      <c r="H31" s="802">
        <v>2931722</v>
      </c>
      <c r="I31" s="802">
        <v>1751512</v>
      </c>
      <c r="J31" s="802">
        <v>901386</v>
      </c>
      <c r="K31" s="802">
        <v>1001629</v>
      </c>
      <c r="L31" s="802">
        <v>232102</v>
      </c>
      <c r="M31" s="802">
        <v>790344</v>
      </c>
      <c r="N31" s="801">
        <v>11983141</v>
      </c>
      <c r="O31" s="801">
        <v>2244303</v>
      </c>
      <c r="P31" s="802">
        <v>723698</v>
      </c>
      <c r="Q31" s="802">
        <v>1406445</v>
      </c>
      <c r="R31" s="802">
        <v>2931722</v>
      </c>
      <c r="S31" s="802">
        <v>1751512</v>
      </c>
      <c r="T31" s="802">
        <v>901386</v>
      </c>
      <c r="U31" s="802">
        <v>1001629</v>
      </c>
      <c r="V31" s="802">
        <v>232102</v>
      </c>
      <c r="W31" s="802">
        <v>790344</v>
      </c>
      <c r="X31" s="801">
        <v>11983141</v>
      </c>
      <c r="Y31" s="2458"/>
      <c r="Z31" s="2441"/>
      <c r="AA31" s="2441"/>
      <c r="AB31" s="829"/>
      <c r="AC31" s="829"/>
      <c r="AD31" s="2459"/>
      <c r="AE31" s="2459"/>
      <c r="AF31" s="2459"/>
      <c r="AH31" s="2460"/>
    </row>
    <row r="32" spans="1:54" x14ac:dyDescent="0.25">
      <c r="D32" s="3322" t="s">
        <v>636</v>
      </c>
      <c r="E32" s="801">
        <v>2228201</v>
      </c>
      <c r="F32" s="802">
        <v>752763</v>
      </c>
      <c r="G32" s="802">
        <v>1450009</v>
      </c>
      <c r="H32" s="802">
        <v>3119502</v>
      </c>
      <c r="I32" s="802">
        <v>1802325</v>
      </c>
      <c r="J32" s="802">
        <v>924958</v>
      </c>
      <c r="K32" s="802">
        <v>982904</v>
      </c>
      <c r="L32" s="802">
        <v>303974</v>
      </c>
      <c r="M32" s="802">
        <v>821760</v>
      </c>
      <c r="N32" s="801">
        <v>12386396</v>
      </c>
      <c r="O32" s="801">
        <v>2228201</v>
      </c>
      <c r="P32" s="802">
        <v>752763</v>
      </c>
      <c r="Q32" s="802">
        <v>1450009</v>
      </c>
      <c r="R32" s="802">
        <v>3119502</v>
      </c>
      <c r="S32" s="802">
        <v>1802325</v>
      </c>
      <c r="T32" s="802">
        <v>924958</v>
      </c>
      <c r="U32" s="802">
        <v>982904</v>
      </c>
      <c r="V32" s="802">
        <v>303974</v>
      </c>
      <c r="W32" s="802">
        <v>821760</v>
      </c>
      <c r="X32" s="801">
        <v>12386396</v>
      </c>
      <c r="Y32" s="2458"/>
      <c r="Z32" s="2441"/>
      <c r="AA32" s="2441"/>
      <c r="AB32" s="420"/>
      <c r="AC32" s="420"/>
      <c r="AD32" s="775"/>
    </row>
    <row r="33" spans="1:54" x14ac:dyDescent="0.25">
      <c r="D33" s="3322" t="s">
        <v>635</v>
      </c>
      <c r="E33" s="801">
        <v>2325456</v>
      </c>
      <c r="F33" s="802">
        <v>752694</v>
      </c>
      <c r="G33" s="802">
        <v>1530018</v>
      </c>
      <c r="H33" s="802">
        <v>3302953</v>
      </c>
      <c r="I33" s="802">
        <v>1905435</v>
      </c>
      <c r="J33" s="802">
        <v>974645</v>
      </c>
      <c r="K33" s="802">
        <v>1020906</v>
      </c>
      <c r="L33" s="802">
        <v>329367</v>
      </c>
      <c r="M33" s="802">
        <v>884630</v>
      </c>
      <c r="N33" s="801">
        <v>13026104</v>
      </c>
      <c r="O33" s="801">
        <v>2325456</v>
      </c>
      <c r="P33" s="802">
        <v>752694</v>
      </c>
      <c r="Q33" s="802">
        <v>1530018</v>
      </c>
      <c r="R33" s="802">
        <v>3302953</v>
      </c>
      <c r="S33" s="802">
        <v>1905435</v>
      </c>
      <c r="T33" s="802">
        <v>974645</v>
      </c>
      <c r="U33" s="802">
        <v>1020906</v>
      </c>
      <c r="V33" s="802">
        <v>329367</v>
      </c>
      <c r="W33" s="802">
        <v>884630</v>
      </c>
      <c r="X33" s="801">
        <v>13026104</v>
      </c>
      <c r="Y33" s="2458"/>
      <c r="Z33" s="2441"/>
      <c r="AA33" s="2441"/>
      <c r="AB33" s="420"/>
      <c r="AC33" s="420"/>
      <c r="AD33" s="775"/>
    </row>
    <row r="34" spans="1:54" x14ac:dyDescent="0.25">
      <c r="D34" s="3322" t="s">
        <v>634</v>
      </c>
      <c r="E34" s="801">
        <v>2459221</v>
      </c>
      <c r="F34" s="802">
        <v>827557</v>
      </c>
      <c r="G34" s="802">
        <v>1683849</v>
      </c>
      <c r="H34" s="802">
        <v>3515750</v>
      </c>
      <c r="I34" s="802">
        <v>2024072</v>
      </c>
      <c r="J34" s="802">
        <v>1035313</v>
      </c>
      <c r="K34" s="802">
        <v>1073507</v>
      </c>
      <c r="L34" s="802">
        <v>356876</v>
      </c>
      <c r="M34" s="802">
        <v>1027983</v>
      </c>
      <c r="N34" s="801">
        <v>14004128</v>
      </c>
      <c r="O34" s="801">
        <v>2459221</v>
      </c>
      <c r="P34" s="802">
        <v>827557</v>
      </c>
      <c r="Q34" s="802">
        <v>1683849</v>
      </c>
      <c r="R34" s="802">
        <v>3515750</v>
      </c>
      <c r="S34" s="802">
        <v>2024072</v>
      </c>
      <c r="T34" s="802">
        <v>1035313</v>
      </c>
      <c r="U34" s="802">
        <v>1073507</v>
      </c>
      <c r="V34" s="802">
        <v>356876</v>
      </c>
      <c r="W34" s="802">
        <v>1027983</v>
      </c>
      <c r="X34" s="801">
        <v>14004128</v>
      </c>
      <c r="Y34" s="2458"/>
      <c r="Z34" s="2441"/>
      <c r="AA34" s="2441"/>
      <c r="AB34" s="420"/>
      <c r="AC34" s="420"/>
      <c r="AD34" s="775"/>
    </row>
    <row r="35" spans="1:54" x14ac:dyDescent="0.25">
      <c r="D35" s="3322" t="s">
        <v>633</v>
      </c>
      <c r="E35" s="801">
        <v>2578175</v>
      </c>
      <c r="F35" s="802">
        <v>889945</v>
      </c>
      <c r="G35" s="802">
        <v>1824485</v>
      </c>
      <c r="H35" s="802">
        <v>3684894</v>
      </c>
      <c r="I35" s="802">
        <v>2155739</v>
      </c>
      <c r="J35" s="802">
        <v>1095593</v>
      </c>
      <c r="K35" s="802">
        <v>1117992</v>
      </c>
      <c r="L35" s="802">
        <v>383581</v>
      </c>
      <c r="M35" s="802">
        <v>1147015</v>
      </c>
      <c r="N35" s="801">
        <v>14877419</v>
      </c>
      <c r="O35" s="801">
        <v>2578175</v>
      </c>
      <c r="P35" s="802">
        <v>889945</v>
      </c>
      <c r="Q35" s="802">
        <v>1824485</v>
      </c>
      <c r="R35" s="802">
        <v>3684894</v>
      </c>
      <c r="S35" s="802">
        <v>2155739</v>
      </c>
      <c r="T35" s="802">
        <v>1095593</v>
      </c>
      <c r="U35" s="802">
        <v>1117992</v>
      </c>
      <c r="V35" s="802">
        <v>383581</v>
      </c>
      <c r="W35" s="802">
        <v>1147015</v>
      </c>
      <c r="X35" s="801">
        <v>14877419</v>
      </c>
      <c r="Y35" s="2458"/>
      <c r="Z35" s="2441"/>
      <c r="AA35" s="2441"/>
      <c r="AB35" s="420"/>
      <c r="AC35" s="420"/>
      <c r="AD35" s="775"/>
    </row>
    <row r="36" spans="1:54" x14ac:dyDescent="0.25">
      <c r="D36" s="3322" t="s">
        <v>632</v>
      </c>
      <c r="E36" s="801">
        <v>2655831</v>
      </c>
      <c r="F36" s="802">
        <v>927143</v>
      </c>
      <c r="G36" s="802">
        <v>1947105</v>
      </c>
      <c r="H36" s="802">
        <v>3802326</v>
      </c>
      <c r="I36" s="802">
        <v>2032310</v>
      </c>
      <c r="J36" s="802">
        <v>1351097</v>
      </c>
      <c r="K36" s="802">
        <v>1171874</v>
      </c>
      <c r="L36" s="802">
        <v>400847</v>
      </c>
      <c r="M36" s="802">
        <v>1240679</v>
      </c>
      <c r="N36" s="801">
        <v>15529212</v>
      </c>
      <c r="O36" s="801">
        <v>2655831</v>
      </c>
      <c r="P36" s="802">
        <v>927143</v>
      </c>
      <c r="Q36" s="802">
        <v>1947105</v>
      </c>
      <c r="R36" s="802">
        <v>3802326</v>
      </c>
      <c r="S36" s="802">
        <v>2032310</v>
      </c>
      <c r="T36" s="802">
        <v>1351097</v>
      </c>
      <c r="U36" s="802">
        <v>1171874</v>
      </c>
      <c r="V36" s="802">
        <v>400847</v>
      </c>
      <c r="W36" s="802">
        <v>1240679</v>
      </c>
      <c r="X36" s="801">
        <v>15529212</v>
      </c>
      <c r="Y36" s="2458"/>
      <c r="Z36" s="2441"/>
      <c r="AA36" s="2441"/>
      <c r="AB36" s="420"/>
      <c r="AC36" s="420"/>
      <c r="AD36" s="775"/>
    </row>
    <row r="37" spans="1:54" x14ac:dyDescent="0.25">
      <c r="D37" s="3322" t="s">
        <v>631</v>
      </c>
      <c r="E37" s="801">
        <v>2674573</v>
      </c>
      <c r="F37" s="802">
        <v>942677</v>
      </c>
      <c r="G37" s="802">
        <v>2204547</v>
      </c>
      <c r="H37" s="802">
        <v>3820789</v>
      </c>
      <c r="I37" s="802">
        <v>2143821</v>
      </c>
      <c r="J37" s="802">
        <v>1403727</v>
      </c>
      <c r="K37" s="802">
        <v>1104909</v>
      </c>
      <c r="L37" s="802">
        <v>421610</v>
      </c>
      <c r="M37" s="802">
        <v>1315738</v>
      </c>
      <c r="N37" s="801">
        <v>16032391</v>
      </c>
      <c r="O37" s="801">
        <v>2674573</v>
      </c>
      <c r="P37" s="802">
        <v>942677</v>
      </c>
      <c r="Q37" s="802">
        <v>2204547</v>
      </c>
      <c r="R37" s="802">
        <v>3820789</v>
      </c>
      <c r="S37" s="802">
        <v>2143821</v>
      </c>
      <c r="T37" s="802">
        <v>1403727</v>
      </c>
      <c r="U37" s="802">
        <v>1104909</v>
      </c>
      <c r="V37" s="802">
        <v>421610</v>
      </c>
      <c r="W37" s="802">
        <v>1315738</v>
      </c>
      <c r="X37" s="801">
        <v>16032391</v>
      </c>
      <c r="Y37" s="2458"/>
      <c r="Z37" s="2441"/>
      <c r="AA37" s="2441"/>
      <c r="AB37" s="420"/>
      <c r="AC37" s="420"/>
      <c r="AD37" s="775"/>
    </row>
    <row r="38" spans="1:54" x14ac:dyDescent="0.25">
      <c r="D38" s="3322" t="s">
        <v>630</v>
      </c>
      <c r="E38" s="801">
        <v>2608139</v>
      </c>
      <c r="F38" s="802">
        <v>933223</v>
      </c>
      <c r="G38" s="802">
        <v>2182025</v>
      </c>
      <c r="H38" s="802">
        <v>3731010</v>
      </c>
      <c r="I38" s="802">
        <v>2209682</v>
      </c>
      <c r="J38" s="802">
        <v>1321645</v>
      </c>
      <c r="K38" s="802">
        <v>1114892</v>
      </c>
      <c r="L38" s="802">
        <v>420060</v>
      </c>
      <c r="M38" s="802">
        <v>1328738</v>
      </c>
      <c r="N38" s="801">
        <v>15849414</v>
      </c>
      <c r="O38" s="801">
        <v>2608139</v>
      </c>
      <c r="P38" s="802">
        <v>933223</v>
      </c>
      <c r="Q38" s="802">
        <v>2182025</v>
      </c>
      <c r="R38" s="802">
        <v>3731010</v>
      </c>
      <c r="S38" s="802">
        <v>2209682</v>
      </c>
      <c r="T38" s="802">
        <v>1321645</v>
      </c>
      <c r="U38" s="802">
        <v>1114892</v>
      </c>
      <c r="V38" s="802">
        <v>420060</v>
      </c>
      <c r="W38" s="802">
        <v>1328738</v>
      </c>
      <c r="X38" s="801">
        <v>15849414</v>
      </c>
      <c r="Y38" s="2458"/>
      <c r="Z38" s="2441"/>
      <c r="AA38" s="2441"/>
      <c r="AB38" s="420"/>
      <c r="AC38" s="420"/>
      <c r="AD38" s="775"/>
    </row>
    <row r="39" spans="1:54" x14ac:dyDescent="0.25">
      <c r="D39" s="3322" t="s">
        <v>629</v>
      </c>
      <c r="E39" s="801">
        <v>2672661</v>
      </c>
      <c r="F39" s="802">
        <v>950353</v>
      </c>
      <c r="G39" s="802">
        <v>2254147</v>
      </c>
      <c r="H39" s="802">
        <v>3816893</v>
      </c>
      <c r="I39" s="802">
        <v>2263767</v>
      </c>
      <c r="J39" s="802">
        <v>1359315</v>
      </c>
      <c r="K39" s="802">
        <v>1144442</v>
      </c>
      <c r="L39" s="802">
        <v>430598</v>
      </c>
      <c r="M39" s="802">
        <v>1382395</v>
      </c>
      <c r="N39" s="801">
        <v>16274571</v>
      </c>
      <c r="O39" s="2461">
        <v>2672661</v>
      </c>
      <c r="P39" s="2462">
        <v>950353</v>
      </c>
      <c r="Q39" s="2462">
        <v>2254147</v>
      </c>
      <c r="R39" s="2462">
        <v>3816893</v>
      </c>
      <c r="S39" s="2462">
        <v>2263767</v>
      </c>
      <c r="T39" s="2462">
        <v>1359315</v>
      </c>
      <c r="U39" s="2462">
        <v>1144442</v>
      </c>
      <c r="V39" s="2462">
        <v>430598</v>
      </c>
      <c r="W39" s="2462">
        <v>1382395</v>
      </c>
      <c r="X39" s="2461">
        <v>16274571</v>
      </c>
      <c r="Y39" s="2458"/>
      <c r="Z39" s="2441"/>
      <c r="AA39" s="2441"/>
      <c r="AB39" s="420"/>
      <c r="AC39" s="420"/>
      <c r="AD39" s="775"/>
    </row>
    <row r="40" spans="1:54" x14ac:dyDescent="0.25">
      <c r="D40" s="3323" t="s">
        <v>628</v>
      </c>
      <c r="E40" s="785"/>
      <c r="F40" s="785"/>
      <c r="G40" s="785"/>
      <c r="H40" s="785"/>
      <c r="I40" s="785"/>
      <c r="J40" s="785"/>
      <c r="K40" s="785"/>
      <c r="L40" s="785"/>
      <c r="M40" s="785"/>
      <c r="N40" s="785"/>
      <c r="O40" s="801">
        <v>2608139</v>
      </c>
      <c r="P40" s="802">
        <v>933223</v>
      </c>
      <c r="Q40" s="802">
        <v>2182025</v>
      </c>
      <c r="R40" s="802">
        <v>3731010</v>
      </c>
      <c r="S40" s="802">
        <v>2209682</v>
      </c>
      <c r="T40" s="802">
        <v>1321645</v>
      </c>
      <c r="U40" s="802">
        <v>1114892</v>
      </c>
      <c r="V40" s="802">
        <v>420060</v>
      </c>
      <c r="W40" s="802">
        <v>1328738</v>
      </c>
      <c r="X40" s="2463">
        <v>15849414</v>
      </c>
      <c r="Y40" s="2441"/>
      <c r="Z40" s="2441"/>
      <c r="AA40" s="2441"/>
      <c r="AB40" s="420"/>
      <c r="AC40" s="420"/>
      <c r="AD40" s="775"/>
    </row>
    <row r="41" spans="1:54" x14ac:dyDescent="0.25">
      <c r="D41" s="438"/>
      <c r="E41" s="785"/>
      <c r="F41" s="785"/>
      <c r="G41" s="785"/>
      <c r="H41" s="785"/>
      <c r="I41" s="785"/>
      <c r="J41" s="785"/>
      <c r="K41" s="785"/>
      <c r="L41" s="785"/>
      <c r="M41" s="785"/>
      <c r="N41" s="785"/>
      <c r="O41" s="438"/>
      <c r="P41" s="785"/>
      <c r="Q41" s="785"/>
      <c r="R41" s="785"/>
      <c r="S41" s="785"/>
      <c r="T41" s="785"/>
      <c r="U41" s="785"/>
      <c r="V41" s="785"/>
      <c r="W41" s="785"/>
      <c r="X41" s="785"/>
      <c r="Y41" s="785"/>
      <c r="Z41" s="2441"/>
      <c r="AA41" s="2441"/>
      <c r="AB41" s="2441"/>
      <c r="AC41" s="420"/>
      <c r="AD41" s="420"/>
      <c r="AE41" s="775"/>
    </row>
    <row r="42" spans="1:54" x14ac:dyDescent="0.25">
      <c r="A42" s="418"/>
      <c r="B42" s="2464"/>
      <c r="C42" s="2464"/>
      <c r="D42" s="438" t="s">
        <v>262</v>
      </c>
      <c r="E42" s="438" t="s">
        <v>627</v>
      </c>
      <c r="F42" s="1514"/>
      <c r="G42" s="1514"/>
      <c r="H42" s="775"/>
      <c r="I42" s="775"/>
      <c r="J42" s="775"/>
      <c r="K42" s="775"/>
      <c r="L42" s="775"/>
      <c r="M42" s="775"/>
      <c r="N42" s="775"/>
      <c r="O42" s="775"/>
      <c r="P42" s="775"/>
      <c r="Q42" s="775"/>
      <c r="R42" s="775"/>
      <c r="S42" s="775"/>
      <c r="T42" s="2441"/>
      <c r="U42" s="775"/>
      <c r="V42" s="2441"/>
      <c r="W42" s="2441"/>
      <c r="X42" s="2441"/>
      <c r="Y42" s="2441"/>
      <c r="Z42" s="2441"/>
      <c r="AA42" s="2441"/>
      <c r="AB42" s="2441"/>
      <c r="AC42" s="775"/>
      <c r="AD42" s="775"/>
      <c r="AE42" s="775"/>
    </row>
    <row r="43" spans="1:54" s="775" customFormat="1" ht="23.25" x14ac:dyDescent="0.25">
      <c r="A43" s="418"/>
      <c r="B43" s="2464"/>
      <c r="C43" s="2464"/>
      <c r="D43" s="3324"/>
      <c r="E43" s="2465"/>
      <c r="F43" s="2465"/>
      <c r="G43" s="2465"/>
      <c r="H43" s="2465"/>
      <c r="I43" s="2465"/>
      <c r="J43" s="2465"/>
      <c r="K43" s="2465"/>
      <c r="L43" s="800" t="s">
        <v>134</v>
      </c>
      <c r="M43" s="800" t="s">
        <v>135</v>
      </c>
      <c r="N43" s="800" t="s">
        <v>136</v>
      </c>
      <c r="O43" s="800" t="s">
        <v>137</v>
      </c>
      <c r="P43" s="800" t="s">
        <v>138</v>
      </c>
      <c r="Q43" s="800" t="s">
        <v>139</v>
      </c>
      <c r="R43" s="800" t="s">
        <v>140</v>
      </c>
      <c r="S43" s="799" t="s">
        <v>141</v>
      </c>
      <c r="T43" s="799" t="s">
        <v>142</v>
      </c>
      <c r="U43" s="799" t="s">
        <v>143</v>
      </c>
      <c r="V43" s="981" t="s">
        <v>626</v>
      </c>
      <c r="W43" s="981" t="s">
        <v>625</v>
      </c>
      <c r="X43" s="2767" t="s">
        <v>624</v>
      </c>
      <c r="Y43" s="2441"/>
      <c r="Z43" s="2441"/>
    </row>
    <row r="44" spans="1:54" s="775" customFormat="1" x14ac:dyDescent="0.25">
      <c r="A44" s="418"/>
      <c r="B44" s="2464"/>
      <c r="C44" s="2464"/>
      <c r="D44" s="2955" t="s">
        <v>623</v>
      </c>
      <c r="L44" s="797">
        <v>36982</v>
      </c>
      <c r="M44" s="797">
        <v>44885</v>
      </c>
      <c r="N44" s="797">
        <v>50708</v>
      </c>
      <c r="O44" s="797">
        <v>57032</v>
      </c>
      <c r="P44" s="797">
        <v>62467</v>
      </c>
      <c r="Q44" s="797">
        <v>70715</v>
      </c>
      <c r="R44" s="797">
        <v>80080</v>
      </c>
      <c r="S44" s="797">
        <v>87493</v>
      </c>
      <c r="T44" s="797">
        <v>95973</v>
      </c>
      <c r="U44" s="1488">
        <v>103899</v>
      </c>
      <c r="V44" s="1488">
        <v>109597</v>
      </c>
      <c r="W44" s="1488">
        <v>120702</v>
      </c>
      <c r="X44" s="2826">
        <v>128868</v>
      </c>
      <c r="Y44" s="2441"/>
      <c r="Z44" s="2441"/>
    </row>
    <row r="45" spans="1:54" s="775" customFormat="1" x14ac:dyDescent="0.25">
      <c r="A45" s="418"/>
      <c r="B45" s="2464"/>
      <c r="C45" s="2464"/>
      <c r="D45" s="3124" t="s">
        <v>208</v>
      </c>
      <c r="E45" s="2466"/>
      <c r="F45" s="2466"/>
      <c r="G45" s="2466"/>
      <c r="H45" s="2466"/>
      <c r="I45" s="2466"/>
      <c r="J45" s="2466"/>
      <c r="K45" s="2466"/>
      <c r="L45" s="795">
        <v>2.9000000000000001E-2</v>
      </c>
      <c r="M45" s="795">
        <v>3.1E-2</v>
      </c>
      <c r="N45" s="795">
        <v>3.2000000000000001E-2</v>
      </c>
      <c r="O45" s="795">
        <v>3.3000000000000002E-2</v>
      </c>
      <c r="P45" s="795">
        <v>3.2000000000000001E-2</v>
      </c>
      <c r="Q45" s="795">
        <v>3.3000000000000002E-2</v>
      </c>
      <c r="R45" s="795">
        <v>3.5000000000000003E-2</v>
      </c>
      <c r="S45" s="795">
        <v>3.4000000000000002E-2</v>
      </c>
      <c r="T45" s="795">
        <v>3.1E-2</v>
      </c>
      <c r="U45" s="1581">
        <v>3.1E-2</v>
      </c>
      <c r="V45" s="1581">
        <v>0.03</v>
      </c>
      <c r="W45" s="1581">
        <v>3.1E-2</v>
      </c>
      <c r="X45" s="3325">
        <v>3.2000000000000001E-2</v>
      </c>
      <c r="Y45" s="2441"/>
      <c r="Z45" s="2441"/>
    </row>
    <row r="46" spans="1:54" s="775" customFormat="1" x14ac:dyDescent="0.25">
      <c r="A46" s="835"/>
      <c r="B46" s="2440"/>
      <c r="C46" s="2440"/>
      <c r="D46" s="1664"/>
      <c r="E46" s="1664"/>
      <c r="F46" s="1664"/>
      <c r="G46" s="1664"/>
      <c r="H46" s="1664"/>
      <c r="I46" s="1664"/>
      <c r="J46" s="1664"/>
      <c r="K46" s="1664"/>
      <c r="L46" s="1664"/>
      <c r="M46" s="1664"/>
      <c r="N46" s="1664"/>
      <c r="O46" s="1664"/>
      <c r="P46" s="1664"/>
      <c r="Q46" s="1664"/>
      <c r="R46" s="1664"/>
      <c r="S46" s="1664"/>
      <c r="T46" s="2441"/>
      <c r="U46" s="1664"/>
      <c r="V46" s="2441"/>
      <c r="W46" s="2441"/>
      <c r="X46" s="2441"/>
      <c r="Y46" s="2441"/>
      <c r="Z46" s="2441"/>
      <c r="AA46" s="2441"/>
      <c r="AB46" s="2441"/>
    </row>
    <row r="47" spans="1:54" ht="12.75" customHeight="1" x14ac:dyDescent="0.2">
      <c r="A47" s="835">
        <v>5</v>
      </c>
      <c r="B47" s="835" t="s">
        <v>78</v>
      </c>
      <c r="C47" s="835"/>
      <c r="D47" s="3615" t="s">
        <v>622</v>
      </c>
      <c r="E47" s="3616"/>
      <c r="F47" s="3616"/>
      <c r="G47" s="3616"/>
      <c r="H47" s="3616"/>
      <c r="I47" s="3616"/>
      <c r="J47" s="3616"/>
      <c r="K47" s="3616"/>
      <c r="L47" s="3616"/>
      <c r="M47" s="3616"/>
      <c r="N47" s="3616"/>
      <c r="O47" s="3616"/>
      <c r="P47" s="3616"/>
      <c r="Q47" s="3616"/>
      <c r="R47" s="3616"/>
      <c r="S47" s="3616"/>
      <c r="T47" s="3616"/>
      <c r="U47" s="3616"/>
      <c r="V47" s="3616"/>
      <c r="W47" s="3616"/>
      <c r="X47" s="3616"/>
      <c r="Y47" s="3616"/>
      <c r="Z47" s="3616"/>
      <c r="AA47" s="3616"/>
      <c r="AB47" s="3616"/>
      <c r="AC47" s="3616"/>
      <c r="AD47" s="3616"/>
      <c r="AE47" s="3616"/>
      <c r="AF47" s="3616"/>
      <c r="AG47" s="3616"/>
      <c r="AH47" s="3616"/>
      <c r="AI47" s="3616"/>
      <c r="AJ47" s="3616"/>
      <c r="AK47" s="3616"/>
      <c r="AL47" s="3616"/>
      <c r="AM47" s="3616"/>
      <c r="AN47" s="3616"/>
      <c r="AO47" s="3616"/>
      <c r="AP47" s="3616"/>
      <c r="AQ47" s="3616"/>
      <c r="AR47" s="3616"/>
      <c r="AS47" s="3616"/>
      <c r="AT47" s="3616"/>
      <c r="AU47" s="3616"/>
      <c r="AV47" s="3616"/>
      <c r="AW47" s="3616"/>
      <c r="AX47" s="3616"/>
      <c r="AY47" s="3616"/>
      <c r="AZ47" s="3616"/>
      <c r="BA47" s="3616"/>
      <c r="BB47" s="3617"/>
    </row>
    <row r="48" spans="1:54" ht="15" customHeight="1" x14ac:dyDescent="0.2">
      <c r="A48" s="963">
        <v>6</v>
      </c>
      <c r="B48" s="963" t="s">
        <v>80</v>
      </c>
      <c r="C48" s="963"/>
      <c r="D48" s="3615" t="s">
        <v>621</v>
      </c>
      <c r="E48" s="3616"/>
      <c r="F48" s="3616"/>
      <c r="G48" s="3616"/>
      <c r="H48" s="3616"/>
      <c r="I48" s="3616"/>
      <c r="J48" s="3616"/>
      <c r="K48" s="3616"/>
      <c r="L48" s="3616"/>
      <c r="M48" s="3616"/>
      <c r="N48" s="3616"/>
      <c r="O48" s="3616"/>
      <c r="P48" s="3616"/>
      <c r="Q48" s="3616"/>
      <c r="R48" s="3616"/>
      <c r="S48" s="3616"/>
      <c r="T48" s="3616"/>
      <c r="U48" s="3616"/>
      <c r="V48" s="3616"/>
      <c r="W48" s="3616"/>
      <c r="X48" s="3616"/>
      <c r="Y48" s="3616"/>
      <c r="Z48" s="3616"/>
      <c r="AA48" s="3616"/>
      <c r="AB48" s="3616"/>
      <c r="AC48" s="3616"/>
      <c r="AD48" s="3616"/>
      <c r="AE48" s="3616"/>
      <c r="AF48" s="3616"/>
      <c r="AG48" s="3616"/>
      <c r="AH48" s="3616"/>
      <c r="AI48" s="3616"/>
      <c r="AJ48" s="3616"/>
      <c r="AK48" s="3616"/>
      <c r="AL48" s="3616"/>
      <c r="AM48" s="3616"/>
      <c r="AN48" s="3616"/>
      <c r="AO48" s="3616"/>
      <c r="AP48" s="3616"/>
      <c r="AQ48" s="3616"/>
      <c r="AR48" s="3616"/>
      <c r="AS48" s="3616"/>
      <c r="AT48" s="3616"/>
      <c r="AU48" s="3616"/>
      <c r="AV48" s="3616"/>
      <c r="AW48" s="3616"/>
      <c r="AX48" s="3616"/>
      <c r="AY48" s="3616"/>
      <c r="AZ48" s="3616"/>
      <c r="BA48" s="3616"/>
      <c r="BB48" s="3617"/>
    </row>
    <row r="49" spans="1:54" ht="28.15" customHeight="1" x14ac:dyDescent="0.2">
      <c r="A49" s="835">
        <v>7</v>
      </c>
      <c r="B49" s="835" t="s">
        <v>20</v>
      </c>
      <c r="C49" s="835"/>
      <c r="D49" s="3615" t="s">
        <v>620</v>
      </c>
      <c r="E49" s="3616"/>
      <c r="F49" s="3616"/>
      <c r="G49" s="3616"/>
      <c r="H49" s="3616"/>
      <c r="I49" s="3616"/>
      <c r="J49" s="3616"/>
      <c r="K49" s="3616"/>
      <c r="L49" s="3616"/>
      <c r="M49" s="3616"/>
      <c r="N49" s="3616"/>
      <c r="O49" s="3616"/>
      <c r="P49" s="3616"/>
      <c r="Q49" s="3616"/>
      <c r="R49" s="3616"/>
      <c r="S49" s="3616"/>
      <c r="T49" s="3616"/>
      <c r="U49" s="3616"/>
      <c r="V49" s="3616"/>
      <c r="W49" s="3616"/>
      <c r="X49" s="3616"/>
      <c r="Y49" s="3616"/>
      <c r="Z49" s="3616"/>
      <c r="AA49" s="3616"/>
      <c r="AB49" s="3616"/>
      <c r="AC49" s="3616"/>
      <c r="AD49" s="3616"/>
      <c r="AE49" s="3616"/>
      <c r="AF49" s="3616"/>
      <c r="AG49" s="3616"/>
      <c r="AH49" s="3616"/>
      <c r="AI49" s="3616"/>
      <c r="AJ49" s="3616"/>
      <c r="AK49" s="3616"/>
      <c r="AL49" s="3616"/>
      <c r="AM49" s="3616"/>
      <c r="AN49" s="3616"/>
      <c r="AO49" s="3616"/>
      <c r="AP49" s="3616"/>
      <c r="AQ49" s="3616"/>
      <c r="AR49" s="3616"/>
      <c r="AS49" s="3616"/>
      <c r="AT49" s="3616"/>
      <c r="AU49" s="3616"/>
      <c r="AV49" s="3616"/>
      <c r="AW49" s="3616"/>
      <c r="AX49" s="3616"/>
      <c r="AY49" s="3616"/>
      <c r="AZ49" s="3616"/>
      <c r="BA49" s="3616"/>
      <c r="BB49" s="3617"/>
    </row>
    <row r="50" spans="1:54" ht="12.75" customHeight="1" x14ac:dyDescent="0.2">
      <c r="A50" s="835">
        <v>8</v>
      </c>
      <c r="B50" s="835" t="s">
        <v>83</v>
      </c>
      <c r="C50" s="835"/>
      <c r="D50" s="3615" t="s">
        <v>619</v>
      </c>
      <c r="E50" s="3616"/>
      <c r="F50" s="3616"/>
      <c r="G50" s="3616"/>
      <c r="H50" s="3616"/>
      <c r="I50" s="3616"/>
      <c r="J50" s="3616"/>
      <c r="K50" s="3616"/>
      <c r="L50" s="3616"/>
      <c r="M50" s="3616"/>
      <c r="N50" s="3616"/>
      <c r="O50" s="3616"/>
      <c r="P50" s="3616"/>
      <c r="Q50" s="3616"/>
      <c r="R50" s="3616"/>
      <c r="S50" s="3616"/>
      <c r="T50" s="3616"/>
      <c r="U50" s="3616"/>
      <c r="V50" s="3616"/>
      <c r="W50" s="3616"/>
      <c r="X50" s="3616"/>
      <c r="Y50" s="3616"/>
      <c r="Z50" s="3616"/>
      <c r="AA50" s="3616"/>
      <c r="AB50" s="3616"/>
      <c r="AC50" s="3616"/>
      <c r="AD50" s="3616"/>
      <c r="AE50" s="3616"/>
      <c r="AF50" s="3616"/>
      <c r="AG50" s="3616"/>
      <c r="AH50" s="3616"/>
      <c r="AI50" s="3616"/>
      <c r="AJ50" s="3616"/>
      <c r="AK50" s="3616"/>
      <c r="AL50" s="3616"/>
      <c r="AM50" s="3616"/>
      <c r="AN50" s="3616"/>
      <c r="AO50" s="3616"/>
      <c r="AP50" s="3616"/>
      <c r="AQ50" s="3616"/>
      <c r="AR50" s="3616"/>
      <c r="AS50" s="3616"/>
      <c r="AT50" s="3616"/>
      <c r="AU50" s="3616"/>
      <c r="AV50" s="3616"/>
      <c r="AW50" s="3616"/>
      <c r="AX50" s="3616"/>
      <c r="AY50" s="3616"/>
      <c r="AZ50" s="3616"/>
      <c r="BA50" s="3616"/>
      <c r="BB50" s="3617"/>
    </row>
    <row r="51" spans="1:54" ht="12.75" customHeight="1" x14ac:dyDescent="0.2">
      <c r="D51" s="3615"/>
      <c r="E51" s="3616"/>
      <c r="F51" s="3616"/>
      <c r="G51" s="3616"/>
      <c r="H51" s="3616"/>
      <c r="I51" s="3616"/>
      <c r="J51" s="3616"/>
      <c r="K51" s="3616"/>
      <c r="L51" s="3616"/>
      <c r="M51" s="3616"/>
      <c r="N51" s="3616"/>
      <c r="O51" s="3616"/>
      <c r="P51" s="3616"/>
      <c r="Q51" s="3616"/>
      <c r="R51" s="3616"/>
      <c r="S51" s="3616"/>
      <c r="T51" s="3616"/>
      <c r="U51" s="3616"/>
      <c r="V51" s="3616"/>
      <c r="W51" s="3616"/>
      <c r="X51" s="3616"/>
      <c r="Y51" s="3616"/>
      <c r="Z51" s="3616"/>
      <c r="AA51" s="3616"/>
      <c r="AB51" s="3616"/>
      <c r="AC51" s="3616"/>
      <c r="AD51" s="3616"/>
      <c r="AE51" s="3616"/>
      <c r="AF51" s="3616"/>
      <c r="AG51" s="3616"/>
      <c r="AH51" s="3616"/>
      <c r="AI51" s="3616"/>
      <c r="AJ51" s="3616"/>
      <c r="AK51" s="3616"/>
      <c r="AL51" s="3616"/>
      <c r="AM51" s="3616"/>
      <c r="AN51" s="3616"/>
      <c r="AO51" s="3616"/>
      <c r="AP51" s="3616"/>
      <c r="AQ51" s="3616"/>
      <c r="AR51" s="3616"/>
      <c r="AS51" s="3616"/>
      <c r="AT51" s="3616"/>
      <c r="AU51" s="3616"/>
      <c r="AV51" s="3616"/>
      <c r="AW51" s="3616"/>
      <c r="AX51" s="3616"/>
      <c r="AY51" s="3616"/>
      <c r="AZ51" s="3616"/>
      <c r="BA51" s="3616"/>
      <c r="BB51" s="3617"/>
    </row>
    <row r="52" spans="1:54" x14ac:dyDescent="0.2">
      <c r="D52" s="3615"/>
      <c r="E52" s="3616"/>
      <c r="F52" s="3616"/>
      <c r="G52" s="3616"/>
      <c r="H52" s="3616"/>
      <c r="I52" s="3616"/>
      <c r="J52" s="3616"/>
      <c r="K52" s="3616"/>
      <c r="L52" s="3616"/>
      <c r="M52" s="3616"/>
      <c r="N52" s="3616"/>
      <c r="O52" s="3616"/>
      <c r="P52" s="3616"/>
      <c r="Q52" s="3616"/>
      <c r="R52" s="3616"/>
      <c r="S52" s="3616"/>
      <c r="T52" s="3616"/>
      <c r="U52" s="3616"/>
      <c r="V52" s="3616"/>
      <c r="W52" s="3616"/>
      <c r="X52" s="3616"/>
      <c r="Y52" s="3616"/>
      <c r="Z52" s="3616"/>
      <c r="AA52" s="3616"/>
      <c r="AB52" s="3616"/>
      <c r="AC52" s="3616"/>
      <c r="AD52" s="3616"/>
      <c r="AE52" s="3616"/>
      <c r="AF52" s="3616"/>
      <c r="AG52" s="3616"/>
      <c r="AH52" s="3616"/>
      <c r="AI52" s="3616"/>
      <c r="AJ52" s="3616"/>
      <c r="AK52" s="3616"/>
      <c r="AL52" s="3616"/>
      <c r="AM52" s="3616"/>
      <c r="AN52" s="3616"/>
      <c r="AO52" s="3616"/>
      <c r="AP52" s="3616"/>
      <c r="AQ52" s="3616"/>
      <c r="AR52" s="3616"/>
      <c r="AS52" s="3616"/>
      <c r="AT52" s="3616"/>
      <c r="AU52" s="3616"/>
      <c r="AV52" s="3616"/>
      <c r="AW52" s="3616"/>
      <c r="AX52" s="3616"/>
      <c r="AY52" s="3616"/>
      <c r="AZ52" s="3616"/>
      <c r="BA52" s="3616"/>
      <c r="BB52" s="3617"/>
    </row>
    <row r="53" spans="1:54" ht="21" customHeight="1" x14ac:dyDescent="0.25">
      <c r="D53" s="3735"/>
      <c r="E53" s="3736"/>
      <c r="F53" s="3736"/>
      <c r="G53" s="3736"/>
      <c r="H53" s="3736"/>
      <c r="I53" s="3736"/>
      <c r="J53" s="3736"/>
      <c r="K53" s="3736"/>
      <c r="L53" s="3736"/>
      <c r="M53" s="3736"/>
      <c r="N53" s="3736"/>
      <c r="O53" s="3736"/>
      <c r="P53" s="3736"/>
      <c r="Q53" s="3736"/>
      <c r="R53" s="3736"/>
      <c r="S53" s="3736"/>
      <c r="T53" s="3736"/>
      <c r="U53" s="3736"/>
      <c r="V53" s="3736"/>
      <c r="W53" s="3736"/>
      <c r="X53" s="3736"/>
      <c r="Y53" s="3736"/>
      <c r="Z53" s="3736"/>
      <c r="AA53" s="3736"/>
      <c r="AB53" s="3736"/>
      <c r="AC53" s="3736"/>
      <c r="AD53" s="3736"/>
      <c r="AE53" s="3736"/>
      <c r="AF53" s="3736"/>
      <c r="AG53" s="3736"/>
      <c r="AH53" s="3736"/>
      <c r="AI53" s="3736"/>
      <c r="AJ53" s="3736"/>
      <c r="AK53" s="3736"/>
      <c r="AL53" s="3736"/>
      <c r="AM53" s="3736"/>
      <c r="AN53" s="3736"/>
      <c r="AO53" s="3736"/>
      <c r="AP53" s="3736"/>
      <c r="AQ53" s="3736"/>
      <c r="AR53" s="3736"/>
      <c r="AS53" s="3736"/>
      <c r="AT53" s="3736"/>
      <c r="AU53" s="3736"/>
      <c r="AV53" s="3736"/>
      <c r="AW53" s="3736"/>
      <c r="AX53" s="3736"/>
      <c r="AY53" s="3736"/>
      <c r="AZ53" s="3736"/>
      <c r="BA53" s="3736"/>
      <c r="BB53" s="3737"/>
    </row>
    <row r="56" spans="1:54" s="775" customFormat="1" x14ac:dyDescent="0.25">
      <c r="A56" s="418"/>
      <c r="B56" s="2464"/>
      <c r="C56" s="2464"/>
    </row>
    <row r="57" spans="1:54" s="775" customFormat="1" x14ac:dyDescent="0.25">
      <c r="A57" s="418"/>
      <c r="B57" s="2464"/>
      <c r="C57" s="2464"/>
      <c r="D57" s="438"/>
      <c r="E57" s="655"/>
      <c r="F57" s="1802"/>
      <c r="G57" s="1802"/>
      <c r="H57" s="770"/>
      <c r="I57" s="770"/>
      <c r="J57" s="770"/>
      <c r="K57" s="770"/>
      <c r="L57" s="770"/>
      <c r="M57" s="770"/>
      <c r="N57" s="794"/>
      <c r="O57" s="793"/>
      <c r="P57" s="792"/>
      <c r="Q57" s="792"/>
      <c r="R57" s="792"/>
      <c r="S57" s="792"/>
      <c r="T57" s="783"/>
      <c r="U57" s="792"/>
      <c r="V57" s="783"/>
      <c r="W57" s="783"/>
      <c r="X57" s="783"/>
      <c r="Y57" s="791"/>
      <c r="Z57" s="791"/>
      <c r="AA57" s="791"/>
      <c r="AB57" s="791"/>
    </row>
    <row r="58" spans="1:54" s="775" customFormat="1" x14ac:dyDescent="0.25">
      <c r="A58" s="418"/>
      <c r="B58" s="2464"/>
      <c r="C58" s="2464"/>
      <c r="D58" s="790"/>
      <c r="E58" s="3738"/>
      <c r="F58" s="3738"/>
      <c r="G58" s="3738"/>
      <c r="H58" s="3738"/>
      <c r="I58" s="3738"/>
      <c r="J58" s="3738"/>
      <c r="K58" s="3738"/>
      <c r="L58" s="3738"/>
      <c r="M58" s="3738"/>
      <c r="N58" s="3738"/>
      <c r="O58" s="3738"/>
      <c r="P58" s="3738"/>
      <c r="Q58" s="1470"/>
      <c r="R58" s="3738"/>
      <c r="S58" s="3738"/>
      <c r="T58" s="3738"/>
      <c r="U58" s="3738"/>
      <c r="V58" s="3738"/>
      <c r="W58" s="3738"/>
      <c r="X58" s="3738"/>
      <c r="Y58" s="3738"/>
      <c r="Z58" s="3738"/>
      <c r="AA58" s="3738"/>
      <c r="AB58" s="3738"/>
    </row>
    <row r="59" spans="1:54" s="775" customFormat="1" x14ac:dyDescent="0.25">
      <c r="A59" s="418"/>
      <c r="B59" s="2464"/>
      <c r="C59" s="2464"/>
      <c r="D59" s="790"/>
      <c r="E59" s="789"/>
      <c r="F59" s="789"/>
      <c r="G59" s="789"/>
      <c r="H59" s="789"/>
      <c r="I59" s="789"/>
      <c r="J59" s="789"/>
      <c r="K59" s="789"/>
      <c r="L59" s="789"/>
      <c r="M59" s="789"/>
      <c r="N59" s="789"/>
      <c r="O59" s="789"/>
      <c r="P59" s="789"/>
      <c r="Q59" s="789"/>
      <c r="R59" s="789"/>
      <c r="S59" s="789"/>
      <c r="T59" s="789"/>
      <c r="U59" s="789"/>
      <c r="V59" s="789"/>
      <c r="W59" s="789"/>
      <c r="X59" s="789"/>
      <c r="Y59" s="789"/>
      <c r="Z59" s="789"/>
      <c r="AA59" s="1470"/>
      <c r="AB59" s="1470"/>
    </row>
    <row r="60" spans="1:54" s="775" customFormat="1" x14ac:dyDescent="0.25">
      <c r="A60" s="418"/>
      <c r="B60" s="2464"/>
      <c r="C60" s="2464"/>
      <c r="D60" s="432"/>
      <c r="E60" s="786"/>
      <c r="F60" s="787"/>
      <c r="G60" s="786"/>
      <c r="H60" s="787"/>
      <c r="I60" s="786"/>
      <c r="J60" s="787"/>
      <c r="K60" s="786"/>
      <c r="L60" s="787"/>
      <c r="M60" s="786"/>
      <c r="N60" s="787"/>
      <c r="O60" s="786"/>
      <c r="P60" s="787"/>
      <c r="Q60" s="787"/>
      <c r="R60" s="786"/>
      <c r="S60" s="786"/>
      <c r="T60" s="787"/>
      <c r="U60" s="786"/>
      <c r="V60" s="787"/>
      <c r="W60" s="786"/>
      <c r="X60" s="787"/>
      <c r="Y60" s="786"/>
      <c r="Z60" s="787"/>
      <c r="AA60" s="786"/>
      <c r="AB60" s="786"/>
    </row>
    <row r="61" spans="1:54" s="775" customFormat="1" x14ac:dyDescent="0.25">
      <c r="A61" s="418"/>
      <c r="B61" s="2464"/>
      <c r="C61" s="2464"/>
      <c r="D61" s="432"/>
      <c r="E61" s="786"/>
      <c r="F61" s="787"/>
      <c r="G61" s="786"/>
      <c r="H61" s="787"/>
      <c r="I61" s="786"/>
      <c r="J61" s="787"/>
      <c r="K61" s="786"/>
      <c r="L61" s="787"/>
      <c r="M61" s="786"/>
      <c r="N61" s="787"/>
      <c r="O61" s="786"/>
      <c r="P61" s="787"/>
      <c r="Q61" s="787"/>
      <c r="R61" s="786"/>
      <c r="S61" s="786"/>
      <c r="T61" s="787"/>
      <c r="U61" s="786"/>
      <c r="V61" s="787"/>
      <c r="W61" s="786"/>
      <c r="X61" s="787"/>
      <c r="Y61" s="786"/>
      <c r="Z61" s="787"/>
      <c r="AA61" s="786"/>
      <c r="AB61" s="786"/>
    </row>
    <row r="62" spans="1:54" s="775" customFormat="1" x14ac:dyDescent="0.25">
      <c r="A62" s="418"/>
      <c r="B62" s="2464"/>
      <c r="C62" s="2464"/>
      <c r="D62" s="432"/>
      <c r="E62" s="786"/>
      <c r="F62" s="787"/>
      <c r="G62" s="786"/>
      <c r="H62" s="787"/>
      <c r="I62" s="786"/>
      <c r="J62" s="787"/>
      <c r="K62" s="786"/>
      <c r="L62" s="787"/>
      <c r="M62" s="786"/>
      <c r="N62" s="787"/>
      <c r="O62" s="786"/>
      <c r="P62" s="787"/>
      <c r="Q62" s="787"/>
      <c r="R62" s="786"/>
      <c r="S62" s="786"/>
      <c r="T62" s="787"/>
      <c r="U62" s="786"/>
      <c r="V62" s="787"/>
      <c r="W62" s="786"/>
      <c r="X62" s="787"/>
      <c r="Y62" s="786"/>
      <c r="Z62" s="787"/>
      <c r="AA62" s="786"/>
      <c r="AB62" s="786"/>
    </row>
    <row r="63" spans="1:54" s="775" customFormat="1" x14ac:dyDescent="0.25">
      <c r="A63" s="418"/>
      <c r="B63" s="2464"/>
      <c r="C63" s="2464"/>
      <c r="D63" s="432"/>
      <c r="E63" s="786"/>
      <c r="F63" s="787"/>
      <c r="G63" s="786"/>
      <c r="H63" s="787"/>
      <c r="I63" s="786"/>
      <c r="J63" s="787"/>
      <c r="K63" s="786"/>
      <c r="L63" s="787"/>
      <c r="M63" s="786"/>
      <c r="N63" s="787"/>
      <c r="O63" s="786"/>
      <c r="P63" s="787"/>
      <c r="Q63" s="787"/>
      <c r="R63" s="786"/>
      <c r="S63" s="786"/>
      <c r="T63" s="787"/>
      <c r="U63" s="786"/>
      <c r="V63" s="787"/>
      <c r="W63" s="786"/>
      <c r="X63" s="787"/>
      <c r="Y63" s="786"/>
      <c r="Z63" s="787"/>
      <c r="AA63" s="786"/>
      <c r="AB63" s="786"/>
    </row>
    <row r="64" spans="1:54" s="775" customFormat="1" x14ac:dyDescent="0.25">
      <c r="A64" s="418"/>
      <c r="B64" s="2464"/>
      <c r="C64" s="2464"/>
      <c r="D64" s="432"/>
      <c r="E64" s="786"/>
      <c r="F64" s="787"/>
      <c r="G64" s="786"/>
      <c r="H64" s="787"/>
      <c r="I64" s="786"/>
      <c r="J64" s="787"/>
      <c r="K64" s="786"/>
      <c r="L64" s="787"/>
      <c r="M64" s="786"/>
      <c r="N64" s="787"/>
      <c r="O64" s="786"/>
      <c r="P64" s="787"/>
      <c r="Q64" s="787"/>
      <c r="R64" s="786"/>
      <c r="S64" s="786"/>
      <c r="T64" s="787"/>
      <c r="U64" s="786"/>
      <c r="V64" s="787"/>
      <c r="W64" s="786"/>
      <c r="X64" s="787"/>
      <c r="Y64" s="786"/>
      <c r="Z64" s="787"/>
      <c r="AA64" s="786"/>
      <c r="AB64" s="786"/>
    </row>
    <row r="65" spans="1:28" s="775" customFormat="1" x14ac:dyDescent="0.25">
      <c r="A65" s="418"/>
      <c r="B65" s="2464"/>
      <c r="C65" s="2464"/>
      <c r="D65" s="432"/>
      <c r="E65" s="788"/>
      <c r="F65" s="787"/>
      <c r="G65" s="788"/>
      <c r="H65" s="787"/>
      <c r="I65" s="788"/>
      <c r="J65" s="787"/>
      <c r="K65" s="788"/>
      <c r="L65" s="787"/>
      <c r="M65" s="788"/>
      <c r="N65" s="787"/>
      <c r="O65" s="788"/>
      <c r="P65" s="787"/>
      <c r="Q65" s="787"/>
      <c r="R65" s="788"/>
      <c r="S65" s="788"/>
      <c r="T65" s="787"/>
      <c r="U65" s="788"/>
      <c r="V65" s="787"/>
      <c r="W65" s="788"/>
      <c r="X65" s="787"/>
      <c r="Y65" s="788"/>
      <c r="Z65" s="787"/>
      <c r="AA65" s="788"/>
      <c r="AB65" s="788"/>
    </row>
    <row r="66" spans="1:28" s="775" customFormat="1" x14ac:dyDescent="0.25">
      <c r="A66" s="418"/>
      <c r="B66" s="2464"/>
      <c r="C66" s="2464"/>
      <c r="D66" s="432"/>
      <c r="E66" s="786"/>
      <c r="F66" s="787"/>
      <c r="G66" s="786"/>
      <c r="H66" s="787"/>
      <c r="I66" s="786"/>
      <c r="J66" s="787"/>
      <c r="K66" s="786"/>
      <c r="L66" s="787"/>
      <c r="M66" s="786"/>
      <c r="N66" s="787"/>
      <c r="O66" s="786"/>
      <c r="P66" s="787"/>
      <c r="Q66" s="787"/>
      <c r="R66" s="786"/>
      <c r="S66" s="786"/>
      <c r="T66" s="787"/>
      <c r="U66" s="786"/>
      <c r="V66" s="787"/>
      <c r="W66" s="786"/>
      <c r="X66" s="787"/>
      <c r="Y66" s="786"/>
      <c r="Z66" s="787"/>
      <c r="AA66" s="786"/>
      <c r="AB66" s="786"/>
    </row>
    <row r="67" spans="1:28" s="775" customFormat="1" x14ac:dyDescent="0.25">
      <c r="A67" s="418"/>
      <c r="B67" s="2464"/>
      <c r="C67" s="2464"/>
      <c r="D67" s="438"/>
      <c r="E67" s="785"/>
      <c r="F67" s="785"/>
      <c r="G67" s="785"/>
      <c r="H67" s="785"/>
      <c r="I67" s="785"/>
      <c r="J67" s="785"/>
      <c r="K67" s="785"/>
      <c r="L67" s="785"/>
      <c r="M67" s="785"/>
      <c r="N67" s="785"/>
      <c r="O67" s="785"/>
      <c r="P67" s="785"/>
      <c r="Q67" s="785"/>
      <c r="R67" s="785"/>
      <c r="S67" s="785"/>
      <c r="T67" s="785"/>
      <c r="U67" s="785"/>
      <c r="V67" s="785"/>
      <c r="W67" s="785"/>
      <c r="X67" s="785"/>
      <c r="Y67" s="785"/>
      <c r="Z67" s="785"/>
      <c r="AA67" s="785"/>
      <c r="AB67" s="785"/>
    </row>
    <row r="68" spans="1:28" s="775" customFormat="1" x14ac:dyDescent="0.25">
      <c r="A68" s="418"/>
      <c r="B68" s="2464"/>
      <c r="C68" s="2464"/>
    </row>
    <row r="69" spans="1:28" s="775" customFormat="1" x14ac:dyDescent="0.25">
      <c r="A69" s="418"/>
      <c r="B69" s="2464"/>
      <c r="C69" s="2464"/>
    </row>
    <row r="70" spans="1:28" s="775" customFormat="1" hidden="1" x14ac:dyDescent="0.25">
      <c r="A70" s="418"/>
      <c r="B70" s="2464"/>
      <c r="C70" s="2464"/>
    </row>
    <row r="71" spans="1:28" s="775" customFormat="1" hidden="1" x14ac:dyDescent="0.25">
      <c r="A71" s="418"/>
      <c r="B71" s="756"/>
      <c r="C71" s="756"/>
      <c r="D71" s="424"/>
      <c r="E71" s="424"/>
      <c r="F71" s="424"/>
      <c r="G71" s="424"/>
      <c r="H71" s="424"/>
      <c r="I71" s="424"/>
      <c r="J71" s="424"/>
      <c r="K71" s="424"/>
    </row>
    <row r="72" spans="1:28" s="775" customFormat="1" hidden="1" x14ac:dyDescent="0.25">
      <c r="A72" s="418"/>
      <c r="B72" s="824"/>
      <c r="C72" s="824"/>
      <c r="D72" s="438"/>
      <c r="E72" s="438"/>
      <c r="F72" s="438"/>
      <c r="G72" s="438"/>
      <c r="H72" s="438"/>
      <c r="I72" s="438"/>
      <c r="J72" s="438"/>
      <c r="K72" s="438"/>
      <c r="N72" s="424"/>
      <c r="O72" s="424"/>
      <c r="P72" s="424"/>
      <c r="Q72" s="424"/>
      <c r="R72" s="424"/>
      <c r="S72" s="424"/>
      <c r="T72" s="424"/>
      <c r="U72" s="424"/>
      <c r="V72" s="424"/>
      <c r="W72" s="424"/>
      <c r="X72" s="424"/>
      <c r="Y72" s="424"/>
      <c r="Z72" s="424"/>
      <c r="AA72" s="424"/>
      <c r="AB72" s="424"/>
    </row>
    <row r="73" spans="1:28" s="775" customFormat="1" hidden="1" x14ac:dyDescent="0.25">
      <c r="A73" s="418"/>
      <c r="B73" s="824"/>
      <c r="C73" s="824"/>
      <c r="D73" s="2467"/>
      <c r="E73" s="2467"/>
      <c r="F73" s="2467"/>
      <c r="G73" s="2467"/>
      <c r="H73" s="2467"/>
      <c r="I73" s="2468"/>
      <c r="J73" s="2468"/>
      <c r="K73" s="2468"/>
      <c r="N73" s="784"/>
      <c r="O73" s="424"/>
      <c r="P73" s="424"/>
      <c r="Q73" s="424"/>
      <c r="R73" s="424"/>
      <c r="S73" s="424"/>
      <c r="T73" s="424"/>
      <c r="U73" s="424"/>
      <c r="V73" s="424"/>
      <c r="W73" s="424"/>
      <c r="X73" s="424"/>
      <c r="Y73" s="424"/>
      <c r="Z73" s="424"/>
      <c r="AA73" s="770"/>
    </row>
    <row r="74" spans="1:28" s="775" customFormat="1" hidden="1" x14ac:dyDescent="0.25">
      <c r="A74" s="418"/>
      <c r="B74" s="824"/>
      <c r="C74" s="824"/>
      <c r="D74" s="2468"/>
      <c r="E74" s="2468"/>
      <c r="F74" s="2468"/>
      <c r="G74" s="2468"/>
      <c r="H74" s="2468"/>
      <c r="I74" s="2468"/>
      <c r="J74" s="2468"/>
      <c r="K74" s="2468"/>
      <c r="N74" s="784"/>
      <c r="O74" s="2469"/>
      <c r="P74" s="2469"/>
      <c r="Q74" s="2469"/>
      <c r="R74" s="2469"/>
      <c r="S74" s="2469"/>
      <c r="T74" s="2469"/>
      <c r="U74" s="2469"/>
      <c r="V74" s="2469"/>
      <c r="W74" s="2469"/>
      <c r="X74" s="783"/>
      <c r="Y74" s="783"/>
      <c r="Z74" s="783"/>
      <c r="AA74" s="783"/>
      <c r="AB74" s="783"/>
    </row>
    <row r="75" spans="1:28" s="775" customFormat="1" hidden="1" x14ac:dyDescent="0.25">
      <c r="A75" s="418"/>
      <c r="B75" s="824"/>
      <c r="C75" s="824"/>
      <c r="D75" s="2468"/>
      <c r="E75" s="2468"/>
      <c r="F75" s="2468"/>
      <c r="G75" s="2468"/>
      <c r="H75" s="2468"/>
      <c r="I75" s="2468"/>
      <c r="J75" s="2468"/>
      <c r="K75" s="2468"/>
      <c r="N75" s="784"/>
      <c r="O75" s="783"/>
      <c r="P75" s="783"/>
      <c r="Q75" s="783"/>
      <c r="R75" s="783"/>
      <c r="S75" s="783"/>
      <c r="T75" s="783"/>
      <c r="U75" s="783"/>
      <c r="V75" s="783"/>
      <c r="W75" s="783"/>
      <c r="X75" s="783"/>
      <c r="Y75" s="783"/>
      <c r="Z75" s="783"/>
      <c r="AA75" s="783"/>
      <c r="AB75" s="783"/>
    </row>
    <row r="76" spans="1:28" s="775" customFormat="1" hidden="1" x14ac:dyDescent="0.25">
      <c r="A76" s="418"/>
      <c r="B76" s="824"/>
      <c r="C76" s="824"/>
      <c r="D76" s="2468"/>
      <c r="E76" s="2468"/>
      <c r="F76" s="2468"/>
      <c r="G76" s="2468"/>
      <c r="H76" s="2468"/>
      <c r="I76" s="2468"/>
      <c r="J76" s="2468"/>
      <c r="K76" s="2468"/>
      <c r="N76" s="784"/>
      <c r="O76" s="783"/>
      <c r="P76" s="783"/>
      <c r="Q76" s="783"/>
      <c r="R76" s="783"/>
      <c r="S76" s="783"/>
      <c r="T76" s="783"/>
      <c r="U76" s="783"/>
      <c r="V76" s="783"/>
      <c r="W76" s="783"/>
      <c r="X76" s="783"/>
      <c r="Y76" s="783"/>
      <c r="Z76" s="783"/>
      <c r="AA76" s="783"/>
      <c r="AB76" s="783"/>
    </row>
    <row r="77" spans="1:28" s="775" customFormat="1" hidden="1" x14ac:dyDescent="0.25">
      <c r="A77" s="418"/>
      <c r="B77" s="824"/>
      <c r="C77" s="824"/>
      <c r="D77" s="2468"/>
      <c r="E77" s="2468"/>
      <c r="F77" s="2468"/>
      <c r="G77" s="2468"/>
      <c r="H77" s="2468"/>
      <c r="I77" s="2468"/>
      <c r="J77" s="2468"/>
      <c r="K77" s="2468"/>
      <c r="N77" s="784"/>
      <c r="O77" s="783"/>
      <c r="P77" s="783"/>
      <c r="Q77" s="783"/>
      <c r="R77" s="783"/>
      <c r="S77" s="783"/>
      <c r="T77" s="783"/>
      <c r="U77" s="783"/>
      <c r="V77" s="783"/>
      <c r="W77" s="783"/>
      <c r="X77" s="783"/>
      <c r="Y77" s="783"/>
      <c r="Z77" s="783"/>
      <c r="AA77" s="783"/>
      <c r="AB77" s="783"/>
    </row>
    <row r="78" spans="1:28" s="775" customFormat="1" hidden="1" x14ac:dyDescent="0.25">
      <c r="A78" s="418"/>
      <c r="B78" s="824"/>
      <c r="C78" s="824"/>
      <c r="D78" s="2468"/>
      <c r="E78" s="2468"/>
      <c r="F78" s="2468"/>
      <c r="G78" s="2468"/>
      <c r="H78" s="2468"/>
      <c r="I78" s="2468"/>
      <c r="J78" s="2468"/>
      <c r="K78" s="2468"/>
      <c r="N78" s="784"/>
      <c r="O78" s="783"/>
      <c r="P78" s="783"/>
      <c r="Q78" s="783"/>
      <c r="R78" s="783"/>
      <c r="S78" s="783"/>
      <c r="T78" s="783"/>
      <c r="U78" s="783"/>
      <c r="V78" s="783"/>
      <c r="W78" s="783"/>
      <c r="X78" s="783"/>
      <c r="Y78" s="783"/>
      <c r="Z78" s="783"/>
      <c r="AA78" s="783"/>
      <c r="AB78" s="783"/>
    </row>
    <row r="79" spans="1:28" s="775" customFormat="1" hidden="1" x14ac:dyDescent="0.25">
      <c r="A79" s="418"/>
      <c r="B79" s="824"/>
      <c r="C79" s="824"/>
      <c r="D79" s="2468"/>
      <c r="E79" s="2468"/>
      <c r="F79" s="2468"/>
      <c r="G79" s="2468"/>
      <c r="H79" s="2468"/>
      <c r="I79" s="2468"/>
      <c r="J79" s="2468"/>
      <c r="K79" s="2468"/>
      <c r="N79" s="784"/>
      <c r="O79" s="783"/>
      <c r="P79" s="783"/>
      <c r="Q79" s="783"/>
      <c r="R79" s="783"/>
      <c r="S79" s="783"/>
      <c r="T79" s="783"/>
      <c r="U79" s="783"/>
      <c r="V79" s="783"/>
      <c r="W79" s="783"/>
      <c r="X79" s="783"/>
      <c r="Y79" s="783"/>
      <c r="Z79" s="783"/>
      <c r="AA79" s="783"/>
      <c r="AB79" s="783"/>
    </row>
    <row r="80" spans="1:28" s="775" customFormat="1" hidden="1" x14ac:dyDescent="0.25">
      <c r="A80" s="418"/>
      <c r="B80" s="781"/>
      <c r="C80" s="781"/>
      <c r="D80" s="2468"/>
      <c r="E80" s="2468"/>
      <c r="F80" s="2468"/>
      <c r="G80" s="2468"/>
      <c r="H80" s="2468"/>
      <c r="I80" s="2468"/>
      <c r="J80" s="2468"/>
      <c r="K80" s="2468"/>
      <c r="N80" s="784"/>
      <c r="O80" s="783"/>
      <c r="P80" s="783"/>
      <c r="Q80" s="783"/>
      <c r="R80" s="783"/>
      <c r="S80" s="783"/>
      <c r="T80" s="783"/>
      <c r="U80" s="783"/>
      <c r="V80" s="783"/>
      <c r="W80" s="783"/>
      <c r="X80" s="783"/>
      <c r="Y80" s="783"/>
      <c r="Z80" s="783"/>
      <c r="AA80" s="783"/>
      <c r="AB80" s="783"/>
    </row>
    <row r="81" spans="1:28" s="775" customFormat="1" hidden="1" x14ac:dyDescent="0.25">
      <c r="A81" s="418"/>
      <c r="B81" s="781"/>
      <c r="C81" s="781"/>
      <c r="D81" s="432"/>
      <c r="E81" s="2470"/>
      <c r="F81" s="2470"/>
      <c r="G81" s="2470"/>
      <c r="H81" s="2470"/>
      <c r="I81" s="2470"/>
      <c r="J81" s="2470"/>
      <c r="K81" s="2470"/>
      <c r="N81" s="784"/>
      <c r="O81" s="783"/>
      <c r="P81" s="783"/>
      <c r="Q81" s="783"/>
      <c r="R81" s="783"/>
      <c r="S81" s="783"/>
      <c r="T81" s="783"/>
      <c r="U81" s="783"/>
      <c r="V81" s="783"/>
      <c r="W81" s="783"/>
      <c r="X81" s="783"/>
      <c r="Y81" s="783"/>
      <c r="Z81" s="783"/>
      <c r="AA81" s="783"/>
      <c r="AB81" s="783"/>
    </row>
    <row r="82" spans="1:28" s="775" customFormat="1" hidden="1" x14ac:dyDescent="0.25">
      <c r="A82" s="418"/>
      <c r="B82" s="781"/>
      <c r="C82" s="781"/>
      <c r="D82" s="432"/>
      <c r="E82" s="2470"/>
      <c r="F82" s="2470"/>
      <c r="G82" s="2470"/>
      <c r="H82" s="2470"/>
      <c r="I82" s="2470"/>
      <c r="J82" s="2470"/>
      <c r="K82" s="2470"/>
      <c r="N82" s="782"/>
      <c r="O82" s="783"/>
      <c r="P82" s="783"/>
      <c r="Q82" s="783"/>
      <c r="R82" s="783"/>
      <c r="S82" s="783"/>
      <c r="T82" s="783"/>
      <c r="U82" s="783"/>
      <c r="V82" s="783"/>
      <c r="W82" s="783"/>
      <c r="X82" s="783"/>
      <c r="Y82" s="783"/>
      <c r="Z82" s="783"/>
      <c r="AA82" s="783"/>
      <c r="AB82" s="2459"/>
    </row>
    <row r="83" spans="1:28" s="775" customFormat="1" hidden="1" x14ac:dyDescent="0.25">
      <c r="A83" s="418"/>
      <c r="B83" s="756"/>
      <c r="C83" s="756"/>
      <c r="D83" s="424"/>
      <c r="E83" s="424"/>
      <c r="F83" s="424"/>
      <c r="G83" s="424"/>
      <c r="H83" s="424"/>
      <c r="I83" s="424"/>
      <c r="J83" s="424"/>
      <c r="K83" s="424"/>
      <c r="N83" s="782"/>
      <c r="O83" s="784"/>
      <c r="P83" s="2459"/>
      <c r="Q83" s="2459"/>
      <c r="R83" s="2459"/>
      <c r="S83" s="2459"/>
      <c r="T83" s="2459"/>
      <c r="U83" s="2459"/>
      <c r="V83" s="2459"/>
      <c r="W83" s="2459"/>
      <c r="X83" s="2459"/>
      <c r="Y83" s="2459"/>
      <c r="Z83" s="2459"/>
      <c r="AA83" s="2459"/>
      <c r="AB83" s="432"/>
    </row>
    <row r="84" spans="1:28" s="775" customFormat="1" hidden="1" x14ac:dyDescent="0.25">
      <c r="A84" s="418"/>
      <c r="B84" s="781"/>
      <c r="C84" s="781"/>
      <c r="D84" s="780"/>
      <c r="H84" s="779"/>
      <c r="I84" s="779"/>
      <c r="J84" s="779"/>
      <c r="K84" s="779"/>
      <c r="N84" s="782"/>
      <c r="O84" s="784"/>
      <c r="P84" s="2459"/>
      <c r="Q84" s="2459"/>
      <c r="R84" s="2459"/>
      <c r="S84" s="2459"/>
      <c r="T84" s="2459"/>
      <c r="U84" s="2459"/>
      <c r="V84" s="2459"/>
      <c r="W84" s="2459"/>
      <c r="X84" s="2459"/>
      <c r="Y84" s="2459"/>
      <c r="Z84" s="2459"/>
      <c r="AA84" s="2459"/>
      <c r="AB84" s="432"/>
    </row>
    <row r="85" spans="1:28" s="775" customFormat="1" hidden="1" x14ac:dyDescent="0.25">
      <c r="A85" s="418"/>
      <c r="B85" s="781"/>
      <c r="C85" s="781"/>
      <c r="D85" s="778"/>
      <c r="H85" s="777"/>
      <c r="I85" s="777"/>
      <c r="J85" s="777"/>
      <c r="K85" s="777"/>
      <c r="N85" s="424"/>
      <c r="O85" s="424"/>
      <c r="P85" s="424"/>
      <c r="Q85" s="424"/>
      <c r="R85" s="424"/>
      <c r="S85" s="424"/>
      <c r="T85" s="424"/>
      <c r="U85" s="424"/>
      <c r="V85" s="424"/>
      <c r="W85" s="424"/>
      <c r="X85" s="424"/>
      <c r="Y85" s="424"/>
      <c r="Z85" s="424"/>
      <c r="AB85" s="432"/>
    </row>
    <row r="86" spans="1:28" s="775" customFormat="1" hidden="1" x14ac:dyDescent="0.25">
      <c r="A86" s="418"/>
      <c r="B86" s="781"/>
      <c r="C86" s="781"/>
      <c r="D86" s="432"/>
      <c r="H86" s="774"/>
      <c r="I86" s="774"/>
      <c r="J86" s="774"/>
      <c r="K86" s="774"/>
      <c r="N86" s="776"/>
      <c r="O86" s="780"/>
      <c r="W86" s="779"/>
      <c r="X86" s="779"/>
      <c r="Y86" s="779"/>
      <c r="Z86" s="779"/>
      <c r="AA86" s="779"/>
      <c r="AB86" s="432"/>
    </row>
    <row r="87" spans="1:28" s="775" customFormat="1" hidden="1" x14ac:dyDescent="0.25">
      <c r="A87" s="418"/>
      <c r="B87" s="2464"/>
      <c r="C87" s="2464"/>
      <c r="N87" s="776"/>
      <c r="O87" s="778"/>
      <c r="W87" s="777"/>
      <c r="X87" s="777"/>
      <c r="Y87" s="777"/>
      <c r="Z87" s="777"/>
      <c r="AA87" s="777"/>
      <c r="AB87" s="432"/>
    </row>
    <row r="88" spans="1:28" s="775" customFormat="1" hidden="1" x14ac:dyDescent="0.25">
      <c r="A88" s="418"/>
      <c r="B88" s="2464"/>
      <c r="C88" s="2464"/>
      <c r="N88" s="776"/>
      <c r="O88" s="432"/>
      <c r="W88" s="774"/>
      <c r="X88" s="774"/>
      <c r="Y88" s="774"/>
      <c r="Z88" s="774"/>
      <c r="AA88" s="774"/>
      <c r="AB88" s="432"/>
    </row>
    <row r="89" spans="1:28" s="775" customFormat="1" hidden="1" x14ac:dyDescent="0.25">
      <c r="A89" s="418"/>
      <c r="B89" s="2464"/>
      <c r="C89" s="2464"/>
    </row>
    <row r="90" spans="1:28" s="775" customFormat="1" hidden="1" x14ac:dyDescent="0.25">
      <c r="A90" s="418"/>
      <c r="B90" s="2464"/>
      <c r="C90" s="2464"/>
    </row>
    <row r="91" spans="1:28" s="775" customFormat="1" hidden="1" x14ac:dyDescent="0.25">
      <c r="A91" s="418"/>
      <c r="B91" s="2464"/>
      <c r="C91" s="2464"/>
    </row>
    <row r="92" spans="1:28" s="775" customFormat="1" hidden="1" x14ac:dyDescent="0.25">
      <c r="A92" s="418"/>
      <c r="B92" s="2464"/>
      <c r="C92" s="2464"/>
    </row>
    <row r="93" spans="1:28" s="775" customFormat="1" hidden="1" x14ac:dyDescent="0.25">
      <c r="A93" s="418"/>
      <c r="B93" s="2464"/>
      <c r="C93" s="2464"/>
    </row>
    <row r="94" spans="1:28" s="775" customFormat="1" hidden="1" x14ac:dyDescent="0.25">
      <c r="A94" s="418"/>
      <c r="B94" s="2464"/>
      <c r="C94" s="2464"/>
    </row>
    <row r="95" spans="1:28" s="775" customFormat="1" hidden="1" x14ac:dyDescent="0.25">
      <c r="A95" s="418"/>
      <c r="B95" s="2464"/>
      <c r="C95" s="2464"/>
    </row>
    <row r="96" spans="1:28" s="775" customFormat="1" hidden="1" x14ac:dyDescent="0.25">
      <c r="A96" s="418"/>
      <c r="B96" s="2464"/>
      <c r="C96" s="2464"/>
    </row>
    <row r="97" spans="1:3" s="775" customFormat="1" hidden="1" x14ac:dyDescent="0.25">
      <c r="A97" s="418"/>
      <c r="B97" s="2464"/>
      <c r="C97" s="2464"/>
    </row>
    <row r="98" spans="1:3" s="775" customFormat="1" hidden="1" x14ac:dyDescent="0.25">
      <c r="A98" s="418"/>
      <c r="B98" s="2464"/>
      <c r="C98" s="2464"/>
    </row>
    <row r="99" spans="1:3" s="775" customFormat="1" hidden="1" x14ac:dyDescent="0.25">
      <c r="A99" s="418"/>
      <c r="B99" s="2464"/>
      <c r="C99" s="2464"/>
    </row>
    <row r="100" spans="1:3" s="775" customFormat="1" hidden="1" x14ac:dyDescent="0.25">
      <c r="A100" s="418"/>
      <c r="B100" s="2464"/>
      <c r="C100" s="2464"/>
    </row>
    <row r="101" spans="1:3" s="775" customFormat="1" hidden="1" x14ac:dyDescent="0.25">
      <c r="A101" s="418"/>
      <c r="B101" s="2464"/>
      <c r="C101" s="2464"/>
    </row>
    <row r="102" spans="1:3" s="775" customFormat="1" hidden="1" x14ac:dyDescent="0.25">
      <c r="A102" s="418"/>
      <c r="B102" s="2464"/>
      <c r="C102" s="2464"/>
    </row>
    <row r="103" spans="1:3" s="775" customFormat="1" hidden="1" x14ac:dyDescent="0.25">
      <c r="A103" s="418"/>
      <c r="B103" s="2464"/>
      <c r="C103" s="2464"/>
    </row>
    <row r="104" spans="1:3" s="775" customFormat="1" hidden="1" x14ac:dyDescent="0.25">
      <c r="A104" s="418"/>
      <c r="B104" s="2464"/>
      <c r="C104" s="2464"/>
    </row>
    <row r="105" spans="1:3" s="775" customFormat="1" hidden="1" x14ac:dyDescent="0.25">
      <c r="A105" s="418"/>
      <c r="B105" s="2464"/>
      <c r="C105" s="2464"/>
    </row>
    <row r="106" spans="1:3" s="775" customFormat="1" hidden="1" x14ac:dyDescent="0.25">
      <c r="A106" s="418"/>
      <c r="B106" s="2464"/>
      <c r="C106" s="2464"/>
    </row>
    <row r="107" spans="1:3" s="775" customFormat="1" x14ac:dyDescent="0.25">
      <c r="A107" s="418"/>
      <c r="B107" s="2464"/>
      <c r="C107" s="2464"/>
    </row>
    <row r="108" spans="1:3" s="775" customFormat="1" x14ac:dyDescent="0.25">
      <c r="A108" s="418"/>
      <c r="B108" s="2464"/>
      <c r="C108" s="2464"/>
    </row>
    <row r="109" spans="1:3" s="775" customFormat="1" x14ac:dyDescent="0.25">
      <c r="A109" s="418"/>
      <c r="B109" s="2464"/>
      <c r="C109" s="2464"/>
    </row>
    <row r="110" spans="1:3" s="775" customFormat="1" x14ac:dyDescent="0.25">
      <c r="A110" s="418"/>
      <c r="B110" s="2464"/>
      <c r="C110" s="2464"/>
    </row>
    <row r="111" spans="1:3" s="775" customFormat="1" x14ac:dyDescent="0.25">
      <c r="A111" s="418"/>
      <c r="B111" s="2464"/>
      <c r="C111" s="2464"/>
    </row>
    <row r="112" spans="1:3" s="775" customFormat="1" x14ac:dyDescent="0.25">
      <c r="A112" s="418"/>
      <c r="B112" s="2464"/>
      <c r="C112" s="2464"/>
    </row>
    <row r="113" spans="1:3" s="775" customFormat="1" x14ac:dyDescent="0.25">
      <c r="A113" s="418"/>
      <c r="B113" s="2464"/>
      <c r="C113" s="2464"/>
    </row>
    <row r="114" spans="1:3" s="775" customFormat="1" x14ac:dyDescent="0.25">
      <c r="A114" s="418"/>
      <c r="B114" s="2464"/>
      <c r="C114" s="2464"/>
    </row>
    <row r="115" spans="1:3" s="775" customFormat="1" x14ac:dyDescent="0.25">
      <c r="A115" s="418"/>
      <c r="B115" s="2464"/>
      <c r="C115" s="2464"/>
    </row>
    <row r="116" spans="1:3" s="775" customFormat="1" x14ac:dyDescent="0.25">
      <c r="A116" s="418"/>
      <c r="B116" s="2464"/>
      <c r="C116" s="2464"/>
    </row>
    <row r="117" spans="1:3" s="775" customFormat="1" x14ac:dyDescent="0.25">
      <c r="A117" s="418"/>
      <c r="B117" s="2464"/>
      <c r="C117" s="2464"/>
    </row>
    <row r="118" spans="1:3" s="775" customFormat="1" x14ac:dyDescent="0.25">
      <c r="A118" s="418"/>
      <c r="B118" s="2464"/>
      <c r="C118" s="2464"/>
    </row>
    <row r="119" spans="1:3" s="775" customFormat="1" x14ac:dyDescent="0.25">
      <c r="A119" s="418"/>
      <c r="B119" s="2464"/>
      <c r="C119" s="2464"/>
    </row>
    <row r="120" spans="1:3" s="775" customFormat="1" x14ac:dyDescent="0.25">
      <c r="A120" s="418"/>
      <c r="B120" s="2464"/>
      <c r="C120" s="2464"/>
    </row>
    <row r="121" spans="1:3" s="775" customFormat="1" x14ac:dyDescent="0.25">
      <c r="A121" s="418"/>
      <c r="B121" s="2464"/>
      <c r="C121" s="2464"/>
    </row>
    <row r="122" spans="1:3" s="775" customFormat="1" x14ac:dyDescent="0.25">
      <c r="A122" s="418"/>
      <c r="B122" s="2464"/>
      <c r="C122" s="2464"/>
    </row>
    <row r="123" spans="1:3" s="775" customFormat="1" x14ac:dyDescent="0.25">
      <c r="A123" s="418"/>
      <c r="B123" s="2464"/>
      <c r="C123" s="2464"/>
    </row>
    <row r="124" spans="1:3" s="775" customFormat="1" x14ac:dyDescent="0.25">
      <c r="A124" s="418"/>
      <c r="B124" s="2464"/>
      <c r="C124" s="2464"/>
    </row>
    <row r="125" spans="1:3" s="775" customFormat="1" x14ac:dyDescent="0.25">
      <c r="A125" s="418"/>
      <c r="B125" s="2464"/>
      <c r="C125" s="2464"/>
    </row>
    <row r="126" spans="1:3" s="775" customFormat="1" x14ac:dyDescent="0.25">
      <c r="A126" s="418"/>
      <c r="B126" s="2464"/>
      <c r="C126" s="2464"/>
    </row>
    <row r="127" spans="1:3" s="775" customFormat="1" x14ac:dyDescent="0.25">
      <c r="A127" s="418"/>
      <c r="B127" s="2464"/>
      <c r="C127" s="2464"/>
    </row>
    <row r="128" spans="1:3" s="775" customFormat="1" x14ac:dyDescent="0.25">
      <c r="A128" s="418"/>
      <c r="B128" s="2464"/>
      <c r="C128" s="2464"/>
    </row>
    <row r="129" spans="1:3" s="775" customFormat="1" x14ac:dyDescent="0.25">
      <c r="A129" s="418"/>
      <c r="B129" s="2464"/>
      <c r="C129" s="2464"/>
    </row>
    <row r="130" spans="1:3" s="775" customFormat="1" x14ac:dyDescent="0.25">
      <c r="A130" s="418"/>
      <c r="B130" s="2464"/>
      <c r="C130" s="2464"/>
    </row>
    <row r="131" spans="1:3" s="775" customFormat="1" x14ac:dyDescent="0.25">
      <c r="A131" s="418"/>
      <c r="B131" s="2464"/>
      <c r="C131" s="2464"/>
    </row>
    <row r="132" spans="1:3" s="775" customFormat="1" x14ac:dyDescent="0.25">
      <c r="A132" s="418"/>
      <c r="B132" s="2464"/>
      <c r="C132" s="2464"/>
    </row>
    <row r="133" spans="1:3" s="775" customFormat="1" x14ac:dyDescent="0.25">
      <c r="A133" s="418"/>
      <c r="B133" s="2464"/>
      <c r="C133" s="2464"/>
    </row>
    <row r="134" spans="1:3" s="775" customFormat="1" x14ac:dyDescent="0.25">
      <c r="A134" s="418"/>
      <c r="B134" s="2464"/>
      <c r="C134" s="2464"/>
    </row>
    <row r="135" spans="1:3" s="775" customFormat="1" x14ac:dyDescent="0.25">
      <c r="A135" s="418"/>
      <c r="B135" s="2464"/>
      <c r="C135" s="2464"/>
    </row>
    <row r="136" spans="1:3" s="775" customFormat="1" x14ac:dyDescent="0.25">
      <c r="A136" s="418"/>
      <c r="B136" s="2464"/>
      <c r="C136" s="2464"/>
    </row>
    <row r="137" spans="1:3" s="775" customFormat="1" x14ac:dyDescent="0.25">
      <c r="A137" s="418"/>
      <c r="B137" s="2464"/>
      <c r="C137" s="2464"/>
    </row>
    <row r="138" spans="1:3" s="775" customFormat="1" x14ac:dyDescent="0.25">
      <c r="A138" s="418"/>
      <c r="B138" s="2464"/>
      <c r="C138" s="2464"/>
    </row>
    <row r="139" spans="1:3" s="775" customFormat="1" x14ac:dyDescent="0.25">
      <c r="A139" s="418"/>
      <c r="B139" s="2464"/>
      <c r="C139" s="2464"/>
    </row>
    <row r="140" spans="1:3" s="775" customFormat="1" x14ac:dyDescent="0.25">
      <c r="A140" s="418"/>
      <c r="B140" s="2464"/>
      <c r="C140" s="2464"/>
    </row>
    <row r="141" spans="1:3" s="775" customFormat="1" x14ac:dyDescent="0.25">
      <c r="A141" s="418"/>
      <c r="B141" s="2464"/>
      <c r="C141" s="2464"/>
    </row>
    <row r="142" spans="1:3" s="775" customFormat="1" x14ac:dyDescent="0.25">
      <c r="A142" s="418"/>
      <c r="B142" s="2464"/>
      <c r="C142" s="2464"/>
    </row>
    <row r="143" spans="1:3" s="775" customFormat="1" x14ac:dyDescent="0.25">
      <c r="A143" s="418"/>
      <c r="B143" s="2464"/>
      <c r="C143" s="2464"/>
    </row>
    <row r="144" spans="1:3" s="775" customFormat="1" x14ac:dyDescent="0.25">
      <c r="A144" s="418"/>
      <c r="B144" s="2464"/>
      <c r="C144" s="2464"/>
    </row>
    <row r="145" spans="1:3" s="775" customFormat="1" x14ac:dyDescent="0.25">
      <c r="A145" s="418"/>
      <c r="B145" s="2464"/>
      <c r="C145" s="2464"/>
    </row>
    <row r="146" spans="1:3" s="775" customFormat="1" x14ac:dyDescent="0.25">
      <c r="A146" s="418"/>
      <c r="B146" s="2464"/>
      <c r="C146" s="2464"/>
    </row>
    <row r="147" spans="1:3" s="775" customFormat="1" x14ac:dyDescent="0.25">
      <c r="A147" s="418"/>
      <c r="B147" s="2464"/>
      <c r="C147" s="2464"/>
    </row>
    <row r="148" spans="1:3" s="775" customFormat="1" x14ac:dyDescent="0.25">
      <c r="A148" s="418"/>
      <c r="B148" s="2464"/>
      <c r="C148" s="2464"/>
    </row>
    <row r="149" spans="1:3" s="775" customFormat="1" x14ac:dyDescent="0.25">
      <c r="A149" s="418"/>
      <c r="B149" s="2464"/>
      <c r="C149" s="2464"/>
    </row>
    <row r="150" spans="1:3" s="775" customFormat="1" x14ac:dyDescent="0.25">
      <c r="A150" s="418"/>
      <c r="B150" s="2464"/>
      <c r="C150" s="2464"/>
    </row>
    <row r="151" spans="1:3" s="775" customFormat="1" x14ac:dyDescent="0.25">
      <c r="A151" s="418"/>
      <c r="B151" s="2464"/>
      <c r="C151" s="2464"/>
    </row>
    <row r="152" spans="1:3" s="775" customFormat="1" x14ac:dyDescent="0.25">
      <c r="A152" s="418"/>
      <c r="B152" s="2464"/>
      <c r="C152" s="2464"/>
    </row>
    <row r="153" spans="1:3" s="775" customFormat="1" x14ac:dyDescent="0.25">
      <c r="A153" s="418"/>
      <c r="B153" s="2464"/>
      <c r="C153" s="2464"/>
    </row>
    <row r="154" spans="1:3" s="775" customFormat="1" x14ac:dyDescent="0.25">
      <c r="A154" s="418"/>
      <c r="B154" s="2464"/>
      <c r="C154" s="2464"/>
    </row>
    <row r="155" spans="1:3" s="775" customFormat="1" x14ac:dyDescent="0.25">
      <c r="A155" s="418"/>
      <c r="B155" s="2464"/>
      <c r="C155" s="2464"/>
    </row>
    <row r="156" spans="1:3" s="775" customFormat="1" x14ac:dyDescent="0.25">
      <c r="A156" s="418"/>
      <c r="B156" s="2464"/>
      <c r="C156" s="2464"/>
    </row>
    <row r="157" spans="1:3" s="775" customFormat="1" x14ac:dyDescent="0.25">
      <c r="A157" s="418"/>
      <c r="B157" s="2464"/>
      <c r="C157" s="2464"/>
    </row>
    <row r="158" spans="1:3" s="775" customFormat="1" x14ac:dyDescent="0.25">
      <c r="A158" s="418"/>
      <c r="B158" s="2464"/>
      <c r="C158" s="2464"/>
    </row>
    <row r="159" spans="1:3" s="775" customFormat="1" x14ac:dyDescent="0.25">
      <c r="A159" s="418"/>
      <c r="B159" s="2464"/>
      <c r="C159" s="2464"/>
    </row>
    <row r="160" spans="1:3" s="775" customFormat="1" x14ac:dyDescent="0.25">
      <c r="A160" s="418"/>
      <c r="B160" s="2464"/>
      <c r="C160" s="2464"/>
    </row>
    <row r="161" spans="1:3" s="775" customFormat="1" x14ac:dyDescent="0.25">
      <c r="A161" s="418"/>
      <c r="B161" s="2464"/>
      <c r="C161" s="2464"/>
    </row>
    <row r="162" spans="1:3" s="775" customFormat="1" x14ac:dyDescent="0.25">
      <c r="A162" s="418"/>
      <c r="B162" s="2464"/>
      <c r="C162" s="2464"/>
    </row>
    <row r="163" spans="1:3" s="775" customFormat="1" x14ac:dyDescent="0.25">
      <c r="A163" s="418"/>
      <c r="B163" s="2464"/>
      <c r="C163" s="2464"/>
    </row>
    <row r="164" spans="1:3" s="775" customFormat="1" x14ac:dyDescent="0.25">
      <c r="A164" s="418"/>
      <c r="B164" s="2464"/>
      <c r="C164" s="2464"/>
    </row>
    <row r="165" spans="1:3" s="775" customFormat="1" x14ac:dyDescent="0.25">
      <c r="A165" s="418"/>
      <c r="B165" s="2464"/>
      <c r="C165" s="2464"/>
    </row>
    <row r="166" spans="1:3" s="775" customFormat="1" x14ac:dyDescent="0.25">
      <c r="A166" s="418"/>
      <c r="B166" s="2464"/>
      <c r="C166" s="2464"/>
    </row>
    <row r="167" spans="1:3" s="775" customFormat="1" x14ac:dyDescent="0.25">
      <c r="A167" s="418"/>
      <c r="B167" s="2464"/>
      <c r="C167" s="2464"/>
    </row>
    <row r="168" spans="1:3" s="775" customFormat="1" x14ac:dyDescent="0.25">
      <c r="A168" s="418"/>
      <c r="B168" s="2464"/>
      <c r="C168" s="2464"/>
    </row>
    <row r="169" spans="1:3" s="775" customFormat="1" x14ac:dyDescent="0.25">
      <c r="A169" s="418"/>
      <c r="B169" s="2464"/>
      <c r="C169" s="2464"/>
    </row>
    <row r="170" spans="1:3" s="775" customFormat="1" x14ac:dyDescent="0.25">
      <c r="A170" s="418"/>
      <c r="B170" s="2464"/>
      <c r="C170" s="2464"/>
    </row>
    <row r="171" spans="1:3" s="775" customFormat="1" x14ac:dyDescent="0.25">
      <c r="A171" s="418"/>
      <c r="B171" s="2464"/>
      <c r="C171" s="2464"/>
    </row>
    <row r="172" spans="1:3" s="775" customFormat="1" x14ac:dyDescent="0.25">
      <c r="A172" s="418"/>
      <c r="B172" s="2464"/>
      <c r="C172" s="2464"/>
    </row>
    <row r="173" spans="1:3" s="775" customFormat="1" x14ac:dyDescent="0.25">
      <c r="A173" s="418"/>
      <c r="B173" s="2464"/>
      <c r="C173" s="2464"/>
    </row>
    <row r="174" spans="1:3" s="775" customFormat="1" x14ac:dyDescent="0.25">
      <c r="A174" s="418"/>
      <c r="B174" s="2464"/>
      <c r="C174" s="2464"/>
    </row>
    <row r="175" spans="1:3" s="775" customFormat="1" x14ac:dyDescent="0.25">
      <c r="A175" s="418"/>
      <c r="B175" s="2464"/>
      <c r="C175" s="2464"/>
    </row>
    <row r="176" spans="1:3" s="775" customFormat="1" x14ac:dyDescent="0.25">
      <c r="A176" s="418"/>
      <c r="B176" s="2464"/>
      <c r="C176" s="2464"/>
    </row>
    <row r="177" spans="1:3" s="775" customFormat="1" x14ac:dyDescent="0.25">
      <c r="A177" s="418"/>
      <c r="B177" s="2464"/>
      <c r="C177" s="2464"/>
    </row>
    <row r="178" spans="1:3" s="775" customFormat="1" x14ac:dyDescent="0.25">
      <c r="A178" s="418"/>
      <c r="B178" s="2464"/>
      <c r="C178" s="2464"/>
    </row>
    <row r="179" spans="1:3" s="775" customFormat="1" x14ac:dyDescent="0.25">
      <c r="A179" s="418"/>
      <c r="B179" s="2464"/>
      <c r="C179" s="2464"/>
    </row>
    <row r="180" spans="1:3" s="775" customFormat="1" x14ac:dyDescent="0.25">
      <c r="A180" s="418"/>
      <c r="B180" s="2464"/>
      <c r="C180" s="2464"/>
    </row>
    <row r="181" spans="1:3" s="775" customFormat="1" x14ac:dyDescent="0.25">
      <c r="A181" s="418"/>
      <c r="B181" s="2464"/>
      <c r="C181" s="2464"/>
    </row>
    <row r="182" spans="1:3" s="775" customFormat="1" x14ac:dyDescent="0.25">
      <c r="A182" s="418"/>
      <c r="B182" s="2464"/>
      <c r="C182" s="2464"/>
    </row>
    <row r="183" spans="1:3" s="775" customFormat="1" x14ac:dyDescent="0.25">
      <c r="A183" s="418"/>
      <c r="B183" s="2464"/>
      <c r="C183" s="2464"/>
    </row>
    <row r="184" spans="1:3" s="775" customFormat="1" x14ac:dyDescent="0.25">
      <c r="A184" s="418"/>
      <c r="B184" s="2464"/>
      <c r="C184" s="2464"/>
    </row>
    <row r="185" spans="1:3" s="775" customFormat="1" x14ac:dyDescent="0.25">
      <c r="A185" s="418"/>
      <c r="B185" s="2464"/>
      <c r="C185" s="2464"/>
    </row>
    <row r="186" spans="1:3" s="775" customFormat="1" x14ac:dyDescent="0.25">
      <c r="A186" s="418"/>
      <c r="B186" s="2464"/>
      <c r="C186" s="2464"/>
    </row>
    <row r="187" spans="1:3" s="775" customFormat="1" x14ac:dyDescent="0.25">
      <c r="A187" s="418"/>
      <c r="B187" s="2464"/>
      <c r="C187" s="2464"/>
    </row>
    <row r="188" spans="1:3" s="775" customFormat="1" x14ac:dyDescent="0.25">
      <c r="A188" s="418"/>
      <c r="B188" s="2464"/>
      <c r="C188" s="2464"/>
    </row>
    <row r="189" spans="1:3" s="775" customFormat="1" x14ac:dyDescent="0.25">
      <c r="A189" s="418"/>
      <c r="B189" s="2464"/>
      <c r="C189" s="2464"/>
    </row>
    <row r="190" spans="1:3" s="775" customFormat="1" x14ac:dyDescent="0.25">
      <c r="A190" s="418"/>
      <c r="B190" s="2464"/>
      <c r="C190" s="2464"/>
    </row>
    <row r="191" spans="1:3" s="775" customFormat="1" x14ac:dyDescent="0.25">
      <c r="A191" s="418"/>
      <c r="B191" s="2464"/>
      <c r="C191" s="2464"/>
    </row>
    <row r="192" spans="1:3" s="775" customFormat="1" x14ac:dyDescent="0.25">
      <c r="A192" s="418"/>
      <c r="B192" s="2464"/>
      <c r="C192" s="2464"/>
    </row>
    <row r="193" spans="1:3" s="775" customFormat="1" x14ac:dyDescent="0.25">
      <c r="A193" s="418"/>
      <c r="B193" s="2464"/>
      <c r="C193" s="2464"/>
    </row>
    <row r="194" spans="1:3" s="775" customFormat="1" x14ac:dyDescent="0.25">
      <c r="A194" s="418"/>
      <c r="B194" s="2464"/>
      <c r="C194" s="2464"/>
    </row>
    <row r="195" spans="1:3" s="775" customFormat="1" x14ac:dyDescent="0.25">
      <c r="A195" s="418"/>
      <c r="B195" s="2464"/>
      <c r="C195" s="2464"/>
    </row>
    <row r="196" spans="1:3" s="775" customFormat="1" x14ac:dyDescent="0.25">
      <c r="A196" s="418"/>
      <c r="B196" s="2464"/>
      <c r="C196" s="2464"/>
    </row>
    <row r="197" spans="1:3" s="775" customFormat="1" x14ac:dyDescent="0.25">
      <c r="A197" s="418"/>
      <c r="B197" s="2464"/>
      <c r="C197" s="2464"/>
    </row>
    <row r="198" spans="1:3" s="775" customFormat="1" x14ac:dyDescent="0.25">
      <c r="A198" s="418"/>
      <c r="B198" s="2464"/>
      <c r="C198" s="2464"/>
    </row>
    <row r="199" spans="1:3" s="775" customFormat="1" x14ac:dyDescent="0.25">
      <c r="A199" s="418"/>
      <c r="B199" s="2464"/>
      <c r="C199" s="2464"/>
    </row>
    <row r="200" spans="1:3" s="775" customFormat="1" x14ac:dyDescent="0.25">
      <c r="A200" s="418"/>
      <c r="B200" s="2464"/>
      <c r="C200" s="2464"/>
    </row>
    <row r="201" spans="1:3" s="775" customFormat="1" x14ac:dyDescent="0.25">
      <c r="A201" s="418"/>
      <c r="B201" s="2464"/>
      <c r="C201" s="2464"/>
    </row>
    <row r="202" spans="1:3" s="775" customFormat="1" x14ac:dyDescent="0.25">
      <c r="A202" s="418"/>
      <c r="B202" s="2464"/>
      <c r="C202" s="2464"/>
    </row>
    <row r="203" spans="1:3" s="775" customFormat="1" x14ac:dyDescent="0.25">
      <c r="A203" s="418"/>
      <c r="B203" s="2464"/>
      <c r="C203" s="2464"/>
    </row>
    <row r="204" spans="1:3" s="775" customFormat="1" x14ac:dyDescent="0.25">
      <c r="A204" s="418"/>
      <c r="B204" s="2464"/>
      <c r="C204" s="2464"/>
    </row>
    <row r="205" spans="1:3" s="775" customFormat="1" x14ac:dyDescent="0.25">
      <c r="A205" s="418"/>
      <c r="B205" s="2464"/>
      <c r="C205" s="2464"/>
    </row>
    <row r="206" spans="1:3" s="775" customFormat="1" x14ac:dyDescent="0.25">
      <c r="A206" s="418"/>
      <c r="B206" s="2464"/>
      <c r="C206" s="2464"/>
    </row>
    <row r="207" spans="1:3" s="775" customFormat="1" x14ac:dyDescent="0.25">
      <c r="A207" s="418"/>
      <c r="B207" s="2464"/>
      <c r="C207" s="2464"/>
    </row>
    <row r="208" spans="1:3" s="775" customFormat="1" x14ac:dyDescent="0.25">
      <c r="A208" s="418"/>
      <c r="B208" s="2464"/>
      <c r="C208" s="2464"/>
    </row>
    <row r="209" spans="1:3" s="775" customFormat="1" x14ac:dyDescent="0.25">
      <c r="A209" s="418"/>
      <c r="B209" s="2464"/>
      <c r="C209" s="2464"/>
    </row>
    <row r="210" spans="1:3" s="775" customFormat="1" x14ac:dyDescent="0.25">
      <c r="A210" s="418"/>
      <c r="B210" s="2464"/>
      <c r="C210" s="2464"/>
    </row>
    <row r="211" spans="1:3" s="775" customFormat="1" x14ac:dyDescent="0.25">
      <c r="A211" s="418"/>
      <c r="B211" s="2464"/>
      <c r="C211" s="2464"/>
    </row>
    <row r="212" spans="1:3" s="775" customFormat="1" x14ac:dyDescent="0.25">
      <c r="A212" s="418"/>
      <c r="B212" s="2464"/>
      <c r="C212" s="2464"/>
    </row>
    <row r="213" spans="1:3" s="775" customFormat="1" x14ac:dyDescent="0.25">
      <c r="A213" s="418"/>
      <c r="B213" s="2464"/>
      <c r="C213" s="2464"/>
    </row>
    <row r="214" spans="1:3" s="775" customFormat="1" x14ac:dyDescent="0.25">
      <c r="A214" s="418"/>
      <c r="B214" s="2464"/>
      <c r="C214" s="2464"/>
    </row>
    <row r="215" spans="1:3" s="775" customFormat="1" x14ac:dyDescent="0.25">
      <c r="A215" s="418"/>
      <c r="B215" s="2464"/>
      <c r="C215" s="2464"/>
    </row>
    <row r="216" spans="1:3" s="775" customFormat="1" x14ac:dyDescent="0.25">
      <c r="A216" s="418"/>
      <c r="B216" s="2464"/>
      <c r="C216" s="2464"/>
    </row>
    <row r="217" spans="1:3" s="775" customFormat="1" x14ac:dyDescent="0.25">
      <c r="A217" s="418"/>
      <c r="B217" s="2464"/>
      <c r="C217" s="2464"/>
    </row>
    <row r="218" spans="1:3" s="775" customFormat="1" x14ac:dyDescent="0.25">
      <c r="A218" s="418"/>
      <c r="B218" s="2464"/>
      <c r="C218" s="2464"/>
    </row>
    <row r="219" spans="1:3" s="775" customFormat="1" x14ac:dyDescent="0.25">
      <c r="A219" s="418"/>
      <c r="B219" s="2464"/>
      <c r="C219" s="2464"/>
    </row>
    <row r="220" spans="1:3" s="775" customFormat="1" x14ac:dyDescent="0.25">
      <c r="A220" s="418"/>
      <c r="B220" s="2464"/>
      <c r="C220" s="2464"/>
    </row>
    <row r="221" spans="1:3" s="775" customFormat="1" x14ac:dyDescent="0.25">
      <c r="A221" s="418"/>
      <c r="B221" s="2464"/>
      <c r="C221" s="2464"/>
    </row>
    <row r="222" spans="1:3" s="775" customFormat="1" x14ac:dyDescent="0.25">
      <c r="A222" s="418"/>
      <c r="B222" s="2464"/>
      <c r="C222" s="2464"/>
    </row>
    <row r="223" spans="1:3" s="775" customFormat="1" x14ac:dyDescent="0.25">
      <c r="A223" s="418"/>
      <c r="B223" s="2464"/>
      <c r="C223" s="2464"/>
    </row>
    <row r="224" spans="1:3" s="775" customFormat="1" x14ac:dyDescent="0.25">
      <c r="A224" s="418"/>
      <c r="B224" s="2464"/>
      <c r="C224" s="2464"/>
    </row>
    <row r="225" spans="1:3" s="775" customFormat="1" x14ac:dyDescent="0.25">
      <c r="A225" s="418"/>
      <c r="B225" s="2464"/>
      <c r="C225" s="2464"/>
    </row>
    <row r="226" spans="1:3" s="775" customFormat="1" x14ac:dyDescent="0.25">
      <c r="A226" s="418"/>
      <c r="B226" s="2464"/>
      <c r="C226" s="2464"/>
    </row>
    <row r="227" spans="1:3" s="775" customFormat="1" x14ac:dyDescent="0.25">
      <c r="A227" s="418"/>
      <c r="B227" s="2464"/>
      <c r="C227" s="2464"/>
    </row>
    <row r="228" spans="1:3" s="775" customFormat="1" x14ac:dyDescent="0.25">
      <c r="A228" s="418"/>
      <c r="B228" s="2464"/>
      <c r="C228" s="2464"/>
    </row>
    <row r="229" spans="1:3" s="775" customFormat="1" x14ac:dyDescent="0.25">
      <c r="A229" s="418"/>
      <c r="B229" s="2464"/>
      <c r="C229" s="2464"/>
    </row>
    <row r="230" spans="1:3" s="775" customFormat="1" x14ac:dyDescent="0.25">
      <c r="A230" s="418"/>
      <c r="B230" s="2464"/>
      <c r="C230" s="2464"/>
    </row>
    <row r="231" spans="1:3" s="775" customFormat="1" x14ac:dyDescent="0.25">
      <c r="A231" s="418"/>
      <c r="B231" s="2464"/>
      <c r="C231" s="2464"/>
    </row>
    <row r="232" spans="1:3" s="775" customFormat="1" x14ac:dyDescent="0.25">
      <c r="A232" s="418"/>
      <c r="B232" s="2464"/>
      <c r="C232" s="2464"/>
    </row>
    <row r="233" spans="1:3" s="775" customFormat="1" x14ac:dyDescent="0.25">
      <c r="A233" s="418"/>
      <c r="B233" s="2464"/>
      <c r="C233" s="2464"/>
    </row>
    <row r="234" spans="1:3" s="775" customFormat="1" x14ac:dyDescent="0.25">
      <c r="A234" s="418"/>
      <c r="B234" s="2464"/>
      <c r="C234" s="2464"/>
    </row>
    <row r="235" spans="1:3" s="775" customFormat="1" x14ac:dyDescent="0.25">
      <c r="A235" s="418"/>
      <c r="B235" s="2464"/>
      <c r="C235" s="2464"/>
    </row>
    <row r="236" spans="1:3" s="775" customFormat="1" x14ac:dyDescent="0.25">
      <c r="A236" s="418"/>
      <c r="B236" s="2464"/>
      <c r="C236" s="2464"/>
    </row>
    <row r="237" spans="1:3" s="775" customFormat="1" x14ac:dyDescent="0.25">
      <c r="A237" s="418"/>
      <c r="B237" s="2464"/>
      <c r="C237" s="2464"/>
    </row>
    <row r="238" spans="1:3" s="775" customFormat="1" x14ac:dyDescent="0.25">
      <c r="A238" s="418"/>
      <c r="B238" s="2464"/>
      <c r="C238" s="2464"/>
    </row>
    <row r="239" spans="1:3" s="775" customFormat="1" x14ac:dyDescent="0.25">
      <c r="A239" s="418"/>
      <c r="B239" s="2464"/>
      <c r="C239" s="2464"/>
    </row>
    <row r="240" spans="1:3" s="775" customFormat="1" x14ac:dyDescent="0.25">
      <c r="A240" s="418"/>
      <c r="B240" s="2464"/>
      <c r="C240" s="2464"/>
    </row>
    <row r="241" spans="1:3" s="775" customFormat="1" x14ac:dyDescent="0.25">
      <c r="A241" s="418"/>
      <c r="B241" s="2464"/>
      <c r="C241" s="2464"/>
    </row>
    <row r="242" spans="1:3" s="775" customFormat="1" x14ac:dyDescent="0.25">
      <c r="A242" s="418"/>
      <c r="B242" s="2464"/>
      <c r="C242" s="2464"/>
    </row>
    <row r="243" spans="1:3" s="775" customFormat="1" x14ac:dyDescent="0.25">
      <c r="A243" s="418"/>
      <c r="B243" s="2464"/>
      <c r="C243" s="2464"/>
    </row>
    <row r="244" spans="1:3" s="775" customFormat="1" x14ac:dyDescent="0.25">
      <c r="A244" s="418"/>
      <c r="B244" s="2464"/>
      <c r="C244" s="2464"/>
    </row>
    <row r="245" spans="1:3" s="775" customFormat="1" x14ac:dyDescent="0.25">
      <c r="A245" s="418"/>
      <c r="B245" s="2464"/>
      <c r="C245" s="2464"/>
    </row>
    <row r="246" spans="1:3" s="775" customFormat="1" x14ac:dyDescent="0.25">
      <c r="A246" s="418"/>
      <c r="B246" s="2464"/>
      <c r="C246" s="2464"/>
    </row>
    <row r="247" spans="1:3" s="775" customFormat="1" x14ac:dyDescent="0.25">
      <c r="A247" s="418"/>
      <c r="B247" s="2464"/>
      <c r="C247" s="2464"/>
    </row>
    <row r="248" spans="1:3" s="775" customFormat="1" x14ac:dyDescent="0.25">
      <c r="A248" s="418"/>
      <c r="B248" s="2464"/>
      <c r="C248" s="2464"/>
    </row>
    <row r="249" spans="1:3" s="775" customFormat="1" x14ac:dyDescent="0.25">
      <c r="A249" s="418"/>
      <c r="B249" s="2464"/>
      <c r="C249" s="2464"/>
    </row>
    <row r="250" spans="1:3" s="775" customFormat="1" x14ac:dyDescent="0.25">
      <c r="A250" s="418"/>
      <c r="B250" s="2464"/>
      <c r="C250" s="2464"/>
    </row>
    <row r="251" spans="1:3" s="775" customFormat="1" x14ac:dyDescent="0.25">
      <c r="A251" s="418"/>
      <c r="B251" s="2464"/>
      <c r="C251" s="2464"/>
    </row>
    <row r="252" spans="1:3" s="775" customFormat="1" x14ac:dyDescent="0.25">
      <c r="A252" s="418"/>
      <c r="B252" s="2464"/>
      <c r="C252" s="2464"/>
    </row>
    <row r="253" spans="1:3" s="775" customFormat="1" x14ac:dyDescent="0.25">
      <c r="A253" s="418"/>
      <c r="B253" s="2464"/>
      <c r="C253" s="2464"/>
    </row>
    <row r="254" spans="1:3" s="775" customFormat="1" x14ac:dyDescent="0.25">
      <c r="A254" s="418"/>
      <c r="B254" s="2464"/>
      <c r="C254" s="2464"/>
    </row>
    <row r="255" spans="1:3" s="775" customFormat="1" x14ac:dyDescent="0.25">
      <c r="A255" s="418"/>
      <c r="B255" s="2464"/>
      <c r="C255" s="2464"/>
    </row>
    <row r="256" spans="1:3" s="775" customFormat="1" x14ac:dyDescent="0.25">
      <c r="A256" s="418"/>
      <c r="B256" s="2464"/>
      <c r="C256" s="2464"/>
    </row>
    <row r="257" spans="1:3" s="775" customFormat="1" x14ac:dyDescent="0.25">
      <c r="A257" s="418"/>
      <c r="B257" s="2464"/>
      <c r="C257" s="2464"/>
    </row>
    <row r="258" spans="1:3" s="775" customFormat="1" x14ac:dyDescent="0.25">
      <c r="A258" s="418"/>
      <c r="B258" s="2464"/>
      <c r="C258" s="2464"/>
    </row>
    <row r="259" spans="1:3" s="775" customFormat="1" x14ac:dyDescent="0.25">
      <c r="A259" s="418"/>
      <c r="B259" s="2464"/>
      <c r="C259" s="2464"/>
    </row>
    <row r="260" spans="1:3" s="775" customFormat="1" x14ac:dyDescent="0.25">
      <c r="A260" s="418"/>
      <c r="B260" s="2464"/>
      <c r="C260" s="2464"/>
    </row>
    <row r="261" spans="1:3" s="775" customFormat="1" x14ac:dyDescent="0.25">
      <c r="A261" s="418"/>
      <c r="B261" s="2464"/>
      <c r="C261" s="2464"/>
    </row>
    <row r="262" spans="1:3" s="775" customFormat="1" x14ac:dyDescent="0.25">
      <c r="A262" s="418"/>
      <c r="B262" s="2464"/>
      <c r="C262" s="2464"/>
    </row>
    <row r="263" spans="1:3" s="775" customFormat="1" x14ac:dyDescent="0.25">
      <c r="A263" s="418"/>
      <c r="B263" s="2464"/>
      <c r="C263" s="2464"/>
    </row>
    <row r="264" spans="1:3" s="775" customFormat="1" x14ac:dyDescent="0.25">
      <c r="A264" s="418"/>
      <c r="B264" s="2464"/>
      <c r="C264" s="2464"/>
    </row>
    <row r="265" spans="1:3" s="775" customFormat="1" x14ac:dyDescent="0.25">
      <c r="A265" s="418"/>
      <c r="B265" s="2464"/>
      <c r="C265" s="2464"/>
    </row>
    <row r="266" spans="1:3" s="775" customFormat="1" x14ac:dyDescent="0.25">
      <c r="A266" s="418"/>
      <c r="B266" s="2464"/>
      <c r="C266" s="2464"/>
    </row>
    <row r="267" spans="1:3" s="775" customFormat="1" x14ac:dyDescent="0.25">
      <c r="A267" s="418"/>
      <c r="B267" s="2464"/>
      <c r="C267" s="2464"/>
    </row>
    <row r="268" spans="1:3" s="775" customFormat="1" x14ac:dyDescent="0.25">
      <c r="A268" s="418"/>
      <c r="B268" s="2464"/>
      <c r="C268" s="2464"/>
    </row>
    <row r="269" spans="1:3" s="775" customFormat="1" x14ac:dyDescent="0.25">
      <c r="A269" s="418"/>
      <c r="B269" s="2464"/>
      <c r="C269" s="2464"/>
    </row>
    <row r="270" spans="1:3" s="775" customFormat="1" x14ac:dyDescent="0.25">
      <c r="A270" s="418"/>
      <c r="B270" s="2464"/>
      <c r="C270" s="2464"/>
    </row>
    <row r="271" spans="1:3" s="775" customFormat="1" x14ac:dyDescent="0.25">
      <c r="A271" s="418"/>
      <c r="B271" s="2464"/>
      <c r="C271" s="2464"/>
    </row>
    <row r="272" spans="1:3" s="775" customFormat="1" x14ac:dyDescent="0.25">
      <c r="A272" s="418"/>
      <c r="B272" s="2464"/>
      <c r="C272" s="2464"/>
    </row>
    <row r="273" spans="1:3" s="775" customFormat="1" x14ac:dyDescent="0.25">
      <c r="A273" s="418"/>
      <c r="B273" s="2464"/>
      <c r="C273" s="2464"/>
    </row>
    <row r="274" spans="1:3" s="775" customFormat="1" x14ac:dyDescent="0.25">
      <c r="A274" s="418"/>
      <c r="B274" s="2464"/>
      <c r="C274" s="2464"/>
    </row>
    <row r="275" spans="1:3" s="775" customFormat="1" x14ac:dyDescent="0.25">
      <c r="A275" s="418"/>
      <c r="B275" s="2464"/>
      <c r="C275" s="2464"/>
    </row>
    <row r="276" spans="1:3" s="775" customFormat="1" x14ac:dyDescent="0.25">
      <c r="A276" s="418"/>
      <c r="B276" s="2464"/>
      <c r="C276" s="2464"/>
    </row>
    <row r="277" spans="1:3" s="775" customFormat="1" x14ac:dyDescent="0.25">
      <c r="A277" s="418"/>
      <c r="B277" s="2464"/>
      <c r="C277" s="2464"/>
    </row>
    <row r="278" spans="1:3" s="775" customFormat="1" x14ac:dyDescent="0.25">
      <c r="A278" s="418"/>
      <c r="B278" s="2464"/>
      <c r="C278" s="2464"/>
    </row>
    <row r="279" spans="1:3" s="775" customFormat="1" x14ac:dyDescent="0.25">
      <c r="A279" s="418"/>
      <c r="B279" s="2464"/>
      <c r="C279" s="2464"/>
    </row>
    <row r="280" spans="1:3" s="775" customFormat="1" x14ac:dyDescent="0.25">
      <c r="A280" s="418"/>
      <c r="B280" s="2464"/>
      <c r="C280" s="2464"/>
    </row>
    <row r="281" spans="1:3" s="775" customFormat="1" x14ac:dyDescent="0.25">
      <c r="A281" s="418"/>
      <c r="B281" s="2464"/>
      <c r="C281" s="2464"/>
    </row>
    <row r="282" spans="1:3" s="775" customFormat="1" x14ac:dyDescent="0.25">
      <c r="A282" s="418"/>
      <c r="B282" s="2464"/>
      <c r="C282" s="2464"/>
    </row>
    <row r="283" spans="1:3" s="775" customFormat="1" x14ac:dyDescent="0.25">
      <c r="A283" s="418"/>
      <c r="B283" s="2464"/>
      <c r="C283" s="2464"/>
    </row>
    <row r="284" spans="1:3" s="775" customFormat="1" x14ac:dyDescent="0.25">
      <c r="A284" s="418"/>
      <c r="B284" s="2464"/>
      <c r="C284" s="2464"/>
    </row>
    <row r="285" spans="1:3" s="775" customFormat="1" x14ac:dyDescent="0.25">
      <c r="A285" s="418"/>
      <c r="B285" s="2464"/>
      <c r="C285" s="2464"/>
    </row>
    <row r="286" spans="1:3" s="775" customFormat="1" x14ac:dyDescent="0.25">
      <c r="A286" s="418"/>
      <c r="B286" s="2464"/>
      <c r="C286" s="2464"/>
    </row>
    <row r="287" spans="1:3" s="775" customFormat="1" x14ac:dyDescent="0.25">
      <c r="A287" s="418"/>
      <c r="B287" s="2464"/>
      <c r="C287" s="2464"/>
    </row>
    <row r="288" spans="1:3" s="775" customFormat="1" x14ac:dyDescent="0.25">
      <c r="A288" s="418"/>
      <c r="B288" s="2464"/>
      <c r="C288" s="2464"/>
    </row>
    <row r="289" spans="1:3" s="775" customFormat="1" x14ac:dyDescent="0.25">
      <c r="A289" s="418"/>
      <c r="B289" s="2464"/>
      <c r="C289" s="2464"/>
    </row>
    <row r="290" spans="1:3" s="775" customFormat="1" x14ac:dyDescent="0.25">
      <c r="A290" s="418"/>
      <c r="B290" s="2464"/>
      <c r="C290" s="2464"/>
    </row>
    <row r="291" spans="1:3" s="775" customFormat="1" x14ac:dyDescent="0.25">
      <c r="A291" s="418"/>
      <c r="B291" s="2464"/>
      <c r="C291" s="2464"/>
    </row>
    <row r="292" spans="1:3" s="775" customFormat="1" x14ac:dyDescent="0.25">
      <c r="A292" s="418"/>
      <c r="B292" s="2464"/>
      <c r="C292" s="2464"/>
    </row>
    <row r="293" spans="1:3" s="775" customFormat="1" x14ac:dyDescent="0.25">
      <c r="A293" s="418"/>
      <c r="B293" s="2464"/>
      <c r="C293" s="2464"/>
    </row>
    <row r="294" spans="1:3" s="775" customFormat="1" x14ac:dyDescent="0.25">
      <c r="A294" s="418"/>
      <c r="B294" s="2464"/>
      <c r="C294" s="2464"/>
    </row>
    <row r="295" spans="1:3" s="775" customFormat="1" x14ac:dyDescent="0.25">
      <c r="A295" s="418"/>
      <c r="B295" s="2464"/>
      <c r="C295" s="2464"/>
    </row>
    <row r="296" spans="1:3" s="775" customFormat="1" x14ac:dyDescent="0.25">
      <c r="A296" s="418"/>
      <c r="B296" s="2464"/>
      <c r="C296" s="2464"/>
    </row>
    <row r="297" spans="1:3" s="775" customFormat="1" x14ac:dyDescent="0.25">
      <c r="A297" s="418"/>
      <c r="B297" s="2464"/>
      <c r="C297" s="2464"/>
    </row>
    <row r="298" spans="1:3" s="775" customFormat="1" x14ac:dyDescent="0.25">
      <c r="A298" s="418"/>
      <c r="B298" s="2464"/>
      <c r="C298" s="2464"/>
    </row>
    <row r="299" spans="1:3" s="775" customFormat="1" x14ac:dyDescent="0.25">
      <c r="A299" s="418"/>
      <c r="B299" s="2464"/>
      <c r="C299" s="2464"/>
    </row>
    <row r="300" spans="1:3" s="775" customFormat="1" x14ac:dyDescent="0.25">
      <c r="A300" s="418"/>
      <c r="B300" s="2464"/>
      <c r="C300" s="2464"/>
    </row>
    <row r="301" spans="1:3" s="775" customFormat="1" x14ac:dyDescent="0.25">
      <c r="A301" s="418"/>
      <c r="B301" s="2464"/>
      <c r="C301" s="2464"/>
    </row>
    <row r="302" spans="1:3" s="775" customFormat="1" x14ac:dyDescent="0.25">
      <c r="A302" s="418"/>
      <c r="B302" s="2464"/>
      <c r="C302" s="2464"/>
    </row>
    <row r="303" spans="1:3" s="775" customFormat="1" x14ac:dyDescent="0.25">
      <c r="A303" s="418"/>
      <c r="B303" s="2464"/>
      <c r="C303" s="2464"/>
    </row>
    <row r="304" spans="1:3" s="775" customFormat="1" x14ac:dyDescent="0.25">
      <c r="A304" s="418"/>
      <c r="B304" s="2464"/>
      <c r="C304" s="2464"/>
    </row>
    <row r="305" spans="1:3" s="775" customFormat="1" x14ac:dyDescent="0.25">
      <c r="A305" s="418"/>
      <c r="B305" s="2464"/>
      <c r="C305" s="2464"/>
    </row>
    <row r="306" spans="1:3" s="775" customFormat="1" x14ac:dyDescent="0.25">
      <c r="A306" s="418"/>
      <c r="B306" s="2464"/>
      <c r="C306" s="2464"/>
    </row>
    <row r="307" spans="1:3" s="775" customFormat="1" x14ac:dyDescent="0.25">
      <c r="A307" s="418"/>
      <c r="B307" s="2464"/>
      <c r="C307" s="2464"/>
    </row>
    <row r="308" spans="1:3" s="775" customFormat="1" x14ac:dyDescent="0.25">
      <c r="A308" s="418"/>
      <c r="B308" s="2464"/>
      <c r="C308" s="2464"/>
    </row>
    <row r="309" spans="1:3" s="775" customFormat="1" x14ac:dyDescent="0.25">
      <c r="A309" s="418"/>
      <c r="B309" s="2464"/>
      <c r="C309" s="2464"/>
    </row>
    <row r="310" spans="1:3" s="775" customFormat="1" x14ac:dyDescent="0.25">
      <c r="A310" s="418"/>
      <c r="B310" s="2464"/>
      <c r="C310" s="2464"/>
    </row>
    <row r="311" spans="1:3" s="775" customFormat="1" x14ac:dyDescent="0.25">
      <c r="A311" s="418"/>
      <c r="B311" s="2464"/>
      <c r="C311" s="2464"/>
    </row>
    <row r="312" spans="1:3" s="775" customFormat="1" x14ac:dyDescent="0.25">
      <c r="A312" s="418"/>
      <c r="B312" s="2464"/>
      <c r="C312" s="2464"/>
    </row>
    <row r="313" spans="1:3" s="775" customFormat="1" x14ac:dyDescent="0.25">
      <c r="A313" s="418"/>
      <c r="B313" s="2464"/>
      <c r="C313" s="2464"/>
    </row>
    <row r="314" spans="1:3" s="775" customFormat="1" x14ac:dyDescent="0.25">
      <c r="A314" s="418"/>
      <c r="B314" s="2464"/>
      <c r="C314" s="2464"/>
    </row>
    <row r="315" spans="1:3" s="775" customFormat="1" x14ac:dyDescent="0.25">
      <c r="A315" s="418"/>
      <c r="B315" s="2464"/>
      <c r="C315" s="2464"/>
    </row>
    <row r="316" spans="1:3" s="775" customFormat="1" x14ac:dyDescent="0.25">
      <c r="A316" s="418"/>
      <c r="B316" s="2464"/>
      <c r="C316" s="2464"/>
    </row>
    <row r="317" spans="1:3" s="775" customFormat="1" x14ac:dyDescent="0.25">
      <c r="A317" s="418"/>
      <c r="B317" s="2464"/>
      <c r="C317" s="2464"/>
    </row>
    <row r="318" spans="1:3" s="775" customFormat="1" x14ac:dyDescent="0.25">
      <c r="A318" s="418"/>
      <c r="B318" s="2464"/>
      <c r="C318" s="2464"/>
    </row>
    <row r="319" spans="1:3" s="775" customFormat="1" x14ac:dyDescent="0.25">
      <c r="A319" s="418"/>
      <c r="B319" s="2464"/>
      <c r="C319" s="2464"/>
    </row>
    <row r="320" spans="1:3" s="775" customFormat="1" x14ac:dyDescent="0.25">
      <c r="A320" s="418"/>
      <c r="B320" s="2464"/>
      <c r="C320" s="2464"/>
    </row>
    <row r="321" spans="1:3" s="775" customFormat="1" x14ac:dyDescent="0.25">
      <c r="A321" s="418"/>
      <c r="B321" s="2464"/>
      <c r="C321" s="2464"/>
    </row>
    <row r="322" spans="1:3" s="775" customFormat="1" x14ac:dyDescent="0.25">
      <c r="A322" s="418"/>
      <c r="B322" s="2464"/>
      <c r="C322" s="2464"/>
    </row>
    <row r="323" spans="1:3" s="775" customFormat="1" x14ac:dyDescent="0.25">
      <c r="A323" s="418"/>
      <c r="B323" s="2464"/>
      <c r="C323" s="2464"/>
    </row>
    <row r="324" spans="1:3" s="775" customFormat="1" x14ac:dyDescent="0.25">
      <c r="A324" s="418"/>
      <c r="B324" s="2464"/>
      <c r="C324" s="2464"/>
    </row>
    <row r="325" spans="1:3" s="775" customFormat="1" x14ac:dyDescent="0.25">
      <c r="A325" s="418"/>
      <c r="B325" s="2464"/>
      <c r="C325" s="2464"/>
    </row>
    <row r="326" spans="1:3" s="775" customFormat="1" x14ac:dyDescent="0.25">
      <c r="A326" s="418"/>
      <c r="B326" s="2464"/>
      <c r="C326" s="2464"/>
    </row>
    <row r="327" spans="1:3" s="775" customFormat="1" x14ac:dyDescent="0.25">
      <c r="A327" s="418"/>
      <c r="B327" s="2464"/>
      <c r="C327" s="2464"/>
    </row>
    <row r="328" spans="1:3" s="775" customFormat="1" x14ac:dyDescent="0.25">
      <c r="A328" s="418"/>
      <c r="B328" s="2464"/>
      <c r="C328" s="2464"/>
    </row>
    <row r="329" spans="1:3" s="775" customFormat="1" x14ac:dyDescent="0.25">
      <c r="A329" s="418"/>
      <c r="B329" s="2464"/>
      <c r="C329" s="2464"/>
    </row>
    <row r="330" spans="1:3" s="775" customFormat="1" x14ac:dyDescent="0.25">
      <c r="A330" s="418"/>
      <c r="B330" s="2464"/>
      <c r="C330" s="2464"/>
    </row>
    <row r="331" spans="1:3" s="775" customFormat="1" x14ac:dyDescent="0.25">
      <c r="A331" s="418"/>
      <c r="B331" s="2464"/>
      <c r="C331" s="2464"/>
    </row>
    <row r="332" spans="1:3" s="775" customFormat="1" x14ac:dyDescent="0.25">
      <c r="A332" s="418"/>
      <c r="B332" s="2464"/>
      <c r="C332" s="2464"/>
    </row>
    <row r="333" spans="1:3" s="775" customFormat="1" x14ac:dyDescent="0.25">
      <c r="A333" s="418"/>
      <c r="B333" s="2464"/>
      <c r="C333" s="2464"/>
    </row>
    <row r="334" spans="1:3" s="775" customFormat="1" x14ac:dyDescent="0.25">
      <c r="A334" s="418"/>
      <c r="B334" s="2464"/>
      <c r="C334" s="2464"/>
    </row>
    <row r="335" spans="1:3" s="775" customFormat="1" x14ac:dyDescent="0.25">
      <c r="A335" s="418"/>
      <c r="B335" s="2464"/>
      <c r="C335" s="2464"/>
    </row>
    <row r="336" spans="1:3" s="775" customFormat="1" x14ac:dyDescent="0.25">
      <c r="A336" s="418"/>
      <c r="B336" s="2464"/>
      <c r="C336" s="2464"/>
    </row>
    <row r="337" spans="1:3" s="775" customFormat="1" x14ac:dyDescent="0.25">
      <c r="A337" s="418"/>
      <c r="B337" s="2464"/>
      <c r="C337" s="2464"/>
    </row>
    <row r="338" spans="1:3" s="775" customFormat="1" x14ac:dyDescent="0.25">
      <c r="A338" s="418"/>
      <c r="B338" s="2464"/>
      <c r="C338" s="2464"/>
    </row>
    <row r="339" spans="1:3" s="775" customFormat="1" x14ac:dyDescent="0.25">
      <c r="A339" s="418"/>
      <c r="B339" s="2464"/>
      <c r="C339" s="2464"/>
    </row>
    <row r="340" spans="1:3" s="775" customFormat="1" x14ac:dyDescent="0.25">
      <c r="A340" s="418"/>
      <c r="B340" s="2464"/>
      <c r="C340" s="2464"/>
    </row>
    <row r="341" spans="1:3" s="775" customFormat="1" x14ac:dyDescent="0.25">
      <c r="A341" s="418"/>
      <c r="B341" s="2464"/>
      <c r="C341" s="2464"/>
    </row>
    <row r="342" spans="1:3" s="775" customFormat="1" x14ac:dyDescent="0.25">
      <c r="A342" s="418"/>
      <c r="B342" s="2464"/>
      <c r="C342" s="2464"/>
    </row>
    <row r="343" spans="1:3" s="775" customFormat="1" x14ac:dyDescent="0.25">
      <c r="A343" s="418"/>
      <c r="B343" s="2464"/>
      <c r="C343" s="2464"/>
    </row>
    <row r="344" spans="1:3" s="775" customFormat="1" x14ac:dyDescent="0.25">
      <c r="A344" s="418"/>
      <c r="B344" s="2464"/>
      <c r="C344" s="2464"/>
    </row>
    <row r="345" spans="1:3" s="775" customFormat="1" x14ac:dyDescent="0.25">
      <c r="A345" s="418"/>
      <c r="B345" s="2464"/>
      <c r="C345" s="2464"/>
    </row>
    <row r="346" spans="1:3" s="775" customFormat="1" x14ac:dyDescent="0.25">
      <c r="A346" s="418"/>
      <c r="B346" s="2464"/>
      <c r="C346" s="2464"/>
    </row>
    <row r="347" spans="1:3" s="775" customFormat="1" x14ac:dyDescent="0.25">
      <c r="A347" s="418"/>
      <c r="B347" s="2464"/>
      <c r="C347" s="2464"/>
    </row>
    <row r="348" spans="1:3" s="775" customFormat="1" x14ac:dyDescent="0.25">
      <c r="A348" s="418"/>
      <c r="B348" s="2464"/>
      <c r="C348" s="2464"/>
    </row>
    <row r="349" spans="1:3" s="775" customFormat="1" x14ac:dyDescent="0.25">
      <c r="A349" s="418"/>
      <c r="B349" s="2464"/>
      <c r="C349" s="2464"/>
    </row>
    <row r="350" spans="1:3" s="775" customFormat="1" x14ac:dyDescent="0.25">
      <c r="A350" s="418"/>
      <c r="B350" s="2464"/>
      <c r="C350" s="2464"/>
    </row>
    <row r="351" spans="1:3" s="775" customFormat="1" x14ac:dyDescent="0.25">
      <c r="A351" s="418"/>
      <c r="B351" s="2464"/>
      <c r="C351" s="2464"/>
    </row>
    <row r="352" spans="1:3" s="775" customFormat="1" x14ac:dyDescent="0.25">
      <c r="A352" s="418"/>
      <c r="B352" s="2464"/>
      <c r="C352" s="2464"/>
    </row>
    <row r="353" spans="1:3" s="775" customFormat="1" x14ac:dyDescent="0.25">
      <c r="A353" s="418"/>
      <c r="B353" s="2464"/>
      <c r="C353" s="2464"/>
    </row>
    <row r="354" spans="1:3" s="775" customFormat="1" x14ac:dyDescent="0.25">
      <c r="A354" s="418"/>
      <c r="B354" s="2464"/>
      <c r="C354" s="2464"/>
    </row>
    <row r="355" spans="1:3" s="775" customFormat="1" x14ac:dyDescent="0.25">
      <c r="A355" s="418"/>
      <c r="B355" s="2464"/>
      <c r="C355" s="2464"/>
    </row>
    <row r="356" spans="1:3" s="775" customFormat="1" x14ac:dyDescent="0.25">
      <c r="A356" s="418"/>
      <c r="B356" s="2464"/>
      <c r="C356" s="2464"/>
    </row>
    <row r="357" spans="1:3" s="775" customFormat="1" x14ac:dyDescent="0.25">
      <c r="A357" s="418"/>
      <c r="B357" s="2464"/>
      <c r="C357" s="2464"/>
    </row>
    <row r="358" spans="1:3" s="775" customFormat="1" x14ac:dyDescent="0.25">
      <c r="A358" s="418"/>
      <c r="B358" s="2464"/>
      <c r="C358" s="2464"/>
    </row>
    <row r="359" spans="1:3" s="775" customFormat="1" x14ac:dyDescent="0.25">
      <c r="A359" s="418"/>
      <c r="B359" s="2464"/>
      <c r="C359" s="2464"/>
    </row>
    <row r="360" spans="1:3" s="775" customFormat="1" x14ac:dyDescent="0.25">
      <c r="A360" s="418"/>
      <c r="B360" s="2464"/>
      <c r="C360" s="2464"/>
    </row>
    <row r="361" spans="1:3" s="775" customFormat="1" x14ac:dyDescent="0.25">
      <c r="A361" s="418"/>
      <c r="B361" s="2464"/>
      <c r="C361" s="2464"/>
    </row>
    <row r="362" spans="1:3" s="775" customFormat="1" x14ac:dyDescent="0.25">
      <c r="A362" s="418"/>
      <c r="B362" s="2464"/>
      <c r="C362" s="2464"/>
    </row>
    <row r="363" spans="1:3" s="775" customFormat="1" x14ac:dyDescent="0.25">
      <c r="A363" s="418"/>
      <c r="B363" s="2464"/>
      <c r="C363" s="2464"/>
    </row>
    <row r="364" spans="1:3" s="775" customFormat="1" x14ac:dyDescent="0.25">
      <c r="A364" s="418"/>
      <c r="B364" s="2464"/>
      <c r="C364" s="2464"/>
    </row>
    <row r="365" spans="1:3" s="775" customFormat="1" x14ac:dyDescent="0.25">
      <c r="A365" s="418"/>
      <c r="B365" s="2464"/>
      <c r="C365" s="2464"/>
    </row>
    <row r="366" spans="1:3" s="775" customFormat="1" x14ac:dyDescent="0.25">
      <c r="A366" s="418"/>
      <c r="B366" s="2464"/>
      <c r="C366" s="2464"/>
    </row>
    <row r="367" spans="1:3" s="775" customFormat="1" x14ac:dyDescent="0.25">
      <c r="A367" s="418"/>
      <c r="B367" s="2464"/>
      <c r="C367" s="2464"/>
    </row>
    <row r="368" spans="1:3" s="775" customFormat="1" x14ac:dyDescent="0.25">
      <c r="A368" s="418"/>
      <c r="B368" s="2464"/>
      <c r="C368" s="2464"/>
    </row>
    <row r="369" spans="1:3" s="775" customFormat="1" x14ac:dyDescent="0.25">
      <c r="A369" s="418"/>
      <c r="B369" s="2464"/>
      <c r="C369" s="2464"/>
    </row>
    <row r="370" spans="1:3" s="775" customFormat="1" x14ac:dyDescent="0.25">
      <c r="A370" s="418"/>
      <c r="B370" s="2464"/>
      <c r="C370" s="2464"/>
    </row>
    <row r="371" spans="1:3" s="775" customFormat="1" x14ac:dyDescent="0.25">
      <c r="A371" s="418"/>
      <c r="B371" s="2464"/>
      <c r="C371" s="2464"/>
    </row>
    <row r="372" spans="1:3" s="775" customFormat="1" x14ac:dyDescent="0.25">
      <c r="A372" s="418"/>
      <c r="B372" s="2464"/>
      <c r="C372" s="2464"/>
    </row>
    <row r="373" spans="1:3" s="775" customFormat="1" x14ac:dyDescent="0.25">
      <c r="A373" s="418"/>
      <c r="B373" s="2464"/>
      <c r="C373" s="2464"/>
    </row>
    <row r="374" spans="1:3" s="775" customFormat="1" x14ac:dyDescent="0.25">
      <c r="A374" s="418"/>
      <c r="B374" s="2464"/>
      <c r="C374" s="2464"/>
    </row>
    <row r="375" spans="1:3" s="775" customFormat="1" x14ac:dyDescent="0.25">
      <c r="A375" s="418"/>
      <c r="B375" s="2464"/>
      <c r="C375" s="2464"/>
    </row>
    <row r="376" spans="1:3" s="775" customFormat="1" x14ac:dyDescent="0.25">
      <c r="A376" s="418"/>
      <c r="B376" s="2464"/>
      <c r="C376" s="2464"/>
    </row>
    <row r="377" spans="1:3" s="775" customFormat="1" x14ac:dyDescent="0.25">
      <c r="A377" s="418"/>
      <c r="B377" s="2464"/>
      <c r="C377" s="2464"/>
    </row>
    <row r="378" spans="1:3" s="775" customFormat="1" x14ac:dyDescent="0.25">
      <c r="A378" s="418"/>
      <c r="B378" s="2464"/>
      <c r="C378" s="2464"/>
    </row>
    <row r="379" spans="1:3" s="775" customFormat="1" x14ac:dyDescent="0.25">
      <c r="A379" s="418"/>
      <c r="B379" s="2464"/>
      <c r="C379" s="2464"/>
    </row>
    <row r="380" spans="1:3" s="775" customFormat="1" x14ac:dyDescent="0.25">
      <c r="A380" s="418"/>
      <c r="B380" s="2464"/>
      <c r="C380" s="2464"/>
    </row>
    <row r="381" spans="1:3" s="775" customFormat="1" x14ac:dyDescent="0.25">
      <c r="A381" s="418"/>
      <c r="B381" s="2464"/>
      <c r="C381" s="2464"/>
    </row>
    <row r="382" spans="1:3" s="775" customFormat="1" x14ac:dyDescent="0.25">
      <c r="A382" s="418"/>
      <c r="B382" s="2464"/>
      <c r="C382" s="2464"/>
    </row>
    <row r="383" spans="1:3" s="775" customFormat="1" x14ac:dyDescent="0.25">
      <c r="A383" s="418"/>
      <c r="B383" s="2464"/>
      <c r="C383" s="2464"/>
    </row>
    <row r="384" spans="1:3" s="775" customFormat="1" x14ac:dyDescent="0.25">
      <c r="A384" s="418"/>
      <c r="B384" s="2464"/>
      <c r="C384" s="2464"/>
    </row>
    <row r="385" spans="1:3" s="775" customFormat="1" x14ac:dyDescent="0.25">
      <c r="A385" s="418"/>
      <c r="B385" s="2464"/>
      <c r="C385" s="2464"/>
    </row>
    <row r="386" spans="1:3" s="775" customFormat="1" x14ac:dyDescent="0.25">
      <c r="A386" s="418"/>
      <c r="B386" s="2464"/>
      <c r="C386" s="2464"/>
    </row>
    <row r="387" spans="1:3" s="775" customFormat="1" x14ac:dyDescent="0.25">
      <c r="A387" s="418"/>
      <c r="B387" s="2464"/>
      <c r="C387" s="2464"/>
    </row>
    <row r="388" spans="1:3" s="775" customFormat="1" x14ac:dyDescent="0.25">
      <c r="A388" s="418"/>
      <c r="B388" s="2464"/>
      <c r="C388" s="2464"/>
    </row>
    <row r="389" spans="1:3" s="775" customFormat="1" x14ac:dyDescent="0.25">
      <c r="A389" s="418"/>
      <c r="B389" s="2464"/>
      <c r="C389" s="2464"/>
    </row>
    <row r="390" spans="1:3" s="775" customFormat="1" x14ac:dyDescent="0.25">
      <c r="A390" s="418"/>
      <c r="B390" s="2464"/>
      <c r="C390" s="2464"/>
    </row>
    <row r="391" spans="1:3" s="775" customFormat="1" x14ac:dyDescent="0.25">
      <c r="A391" s="418"/>
      <c r="B391" s="2464"/>
      <c r="C391" s="2464"/>
    </row>
    <row r="392" spans="1:3" s="775" customFormat="1" x14ac:dyDescent="0.25">
      <c r="A392" s="418"/>
      <c r="B392" s="2464"/>
      <c r="C392" s="2464"/>
    </row>
    <row r="393" spans="1:3" s="775" customFormat="1" x14ac:dyDescent="0.25">
      <c r="A393" s="418"/>
      <c r="B393" s="2464"/>
      <c r="C393" s="2464"/>
    </row>
    <row r="394" spans="1:3" s="775" customFormat="1" x14ac:dyDescent="0.25">
      <c r="A394" s="418"/>
      <c r="B394" s="2464"/>
      <c r="C394" s="2464"/>
    </row>
    <row r="395" spans="1:3" s="775" customFormat="1" x14ac:dyDescent="0.25">
      <c r="A395" s="418"/>
      <c r="B395" s="2464"/>
      <c r="C395" s="2464"/>
    </row>
    <row r="396" spans="1:3" s="775" customFormat="1" x14ac:dyDescent="0.25">
      <c r="A396" s="418"/>
      <c r="B396" s="2464"/>
      <c r="C396" s="2464"/>
    </row>
    <row r="397" spans="1:3" s="775" customFormat="1" x14ac:dyDescent="0.25">
      <c r="A397" s="418"/>
      <c r="B397" s="2464"/>
      <c r="C397" s="2464"/>
    </row>
    <row r="398" spans="1:3" s="775" customFormat="1" x14ac:dyDescent="0.25">
      <c r="A398" s="418"/>
      <c r="B398" s="2464"/>
      <c r="C398" s="2464"/>
    </row>
    <row r="399" spans="1:3" s="775" customFormat="1" x14ac:dyDescent="0.25">
      <c r="A399" s="418"/>
      <c r="B399" s="2464"/>
      <c r="C399" s="2464"/>
    </row>
    <row r="400" spans="1:3" s="775" customFormat="1" x14ac:dyDescent="0.25">
      <c r="A400" s="418"/>
      <c r="B400" s="2464"/>
      <c r="C400" s="2464"/>
    </row>
    <row r="401" spans="1:3" s="775" customFormat="1" x14ac:dyDescent="0.25">
      <c r="A401" s="418"/>
      <c r="B401" s="2464"/>
      <c r="C401" s="2464"/>
    </row>
    <row r="402" spans="1:3" s="775" customFormat="1" x14ac:dyDescent="0.25">
      <c r="A402" s="418"/>
      <c r="B402" s="2464"/>
      <c r="C402" s="2464"/>
    </row>
    <row r="403" spans="1:3" s="775" customFormat="1" x14ac:dyDescent="0.25">
      <c r="A403" s="418"/>
      <c r="B403" s="2464"/>
      <c r="C403" s="2464"/>
    </row>
    <row r="404" spans="1:3" s="775" customFormat="1" x14ac:dyDescent="0.25">
      <c r="A404" s="418"/>
      <c r="B404" s="2464"/>
      <c r="C404" s="2464"/>
    </row>
    <row r="405" spans="1:3" s="775" customFormat="1" x14ac:dyDescent="0.25">
      <c r="A405" s="418"/>
      <c r="B405" s="2464"/>
      <c r="C405" s="2464"/>
    </row>
    <row r="406" spans="1:3" s="775" customFormat="1" x14ac:dyDescent="0.25">
      <c r="A406" s="418"/>
      <c r="B406" s="2464"/>
      <c r="C406" s="2464"/>
    </row>
    <row r="407" spans="1:3" s="775" customFormat="1" x14ac:dyDescent="0.25">
      <c r="A407" s="418"/>
      <c r="B407" s="2464"/>
      <c r="C407" s="2464"/>
    </row>
    <row r="408" spans="1:3" s="775" customFormat="1" x14ac:dyDescent="0.25">
      <c r="A408" s="418"/>
      <c r="B408" s="2464"/>
      <c r="C408" s="2464"/>
    </row>
    <row r="409" spans="1:3" s="775" customFormat="1" x14ac:dyDescent="0.25">
      <c r="A409" s="418"/>
      <c r="B409" s="2464"/>
      <c r="C409" s="2464"/>
    </row>
    <row r="410" spans="1:3" s="775" customFormat="1" x14ac:dyDescent="0.25">
      <c r="A410" s="418"/>
      <c r="B410" s="2464"/>
      <c r="C410" s="2464"/>
    </row>
    <row r="411" spans="1:3" s="775" customFormat="1" x14ac:dyDescent="0.25">
      <c r="A411" s="418"/>
      <c r="B411" s="2464"/>
      <c r="C411" s="2464"/>
    </row>
    <row r="412" spans="1:3" s="775" customFormat="1" x14ac:dyDescent="0.25">
      <c r="A412" s="418"/>
      <c r="B412" s="2464"/>
      <c r="C412" s="2464"/>
    </row>
    <row r="413" spans="1:3" s="775" customFormat="1" x14ac:dyDescent="0.25">
      <c r="A413" s="418"/>
      <c r="B413" s="2464"/>
      <c r="C413" s="2464"/>
    </row>
    <row r="414" spans="1:3" s="775" customFormat="1" x14ac:dyDescent="0.25">
      <c r="A414" s="418"/>
      <c r="B414" s="2464"/>
      <c r="C414" s="2464"/>
    </row>
    <row r="415" spans="1:3" s="775" customFormat="1" x14ac:dyDescent="0.25">
      <c r="A415" s="418"/>
      <c r="B415" s="2464"/>
      <c r="C415" s="2464"/>
    </row>
    <row r="416" spans="1:3" s="775" customFormat="1" x14ac:dyDescent="0.25">
      <c r="A416" s="418"/>
      <c r="B416" s="2464"/>
      <c r="C416" s="2464"/>
    </row>
    <row r="417" spans="1:3" s="775" customFormat="1" x14ac:dyDescent="0.25">
      <c r="A417" s="418"/>
      <c r="B417" s="2464"/>
      <c r="C417" s="2464"/>
    </row>
    <row r="418" spans="1:3" s="775" customFormat="1" x14ac:dyDescent="0.25">
      <c r="A418" s="418"/>
      <c r="B418" s="2464"/>
      <c r="C418" s="2464"/>
    </row>
    <row r="419" spans="1:3" s="775" customFormat="1" x14ac:dyDescent="0.25">
      <c r="A419" s="418"/>
      <c r="B419" s="2464"/>
      <c r="C419" s="2464"/>
    </row>
    <row r="420" spans="1:3" s="775" customFormat="1" x14ac:dyDescent="0.25">
      <c r="A420" s="418"/>
      <c r="B420" s="2464"/>
      <c r="C420" s="2464"/>
    </row>
    <row r="421" spans="1:3" s="775" customFormat="1" x14ac:dyDescent="0.25">
      <c r="A421" s="418"/>
      <c r="B421" s="2464"/>
      <c r="C421" s="2464"/>
    </row>
    <row r="422" spans="1:3" s="775" customFormat="1" x14ac:dyDescent="0.25">
      <c r="A422" s="418"/>
      <c r="B422" s="2464"/>
      <c r="C422" s="2464"/>
    </row>
    <row r="423" spans="1:3" s="775" customFormat="1" x14ac:dyDescent="0.25">
      <c r="A423" s="418"/>
      <c r="B423" s="2464"/>
      <c r="C423" s="2464"/>
    </row>
    <row r="424" spans="1:3" s="775" customFormat="1" x14ac:dyDescent="0.25">
      <c r="A424" s="418"/>
      <c r="B424" s="2464"/>
      <c r="C424" s="2464"/>
    </row>
    <row r="425" spans="1:3" s="775" customFormat="1" x14ac:dyDescent="0.25">
      <c r="A425" s="418"/>
      <c r="B425" s="2464"/>
      <c r="C425" s="2464"/>
    </row>
    <row r="426" spans="1:3" s="775" customFormat="1" x14ac:dyDescent="0.25">
      <c r="A426" s="418"/>
      <c r="B426" s="2464"/>
      <c r="C426" s="2464"/>
    </row>
    <row r="427" spans="1:3" s="775" customFormat="1" x14ac:dyDescent="0.25">
      <c r="A427" s="418"/>
      <c r="B427" s="2464"/>
      <c r="C427" s="2464"/>
    </row>
    <row r="428" spans="1:3" s="775" customFormat="1" x14ac:dyDescent="0.25">
      <c r="A428" s="418"/>
      <c r="B428" s="2464"/>
      <c r="C428" s="2464"/>
    </row>
    <row r="429" spans="1:3" s="775" customFormat="1" x14ac:dyDescent="0.25">
      <c r="A429" s="418"/>
      <c r="B429" s="2464"/>
      <c r="C429" s="2464"/>
    </row>
    <row r="430" spans="1:3" s="775" customFormat="1" x14ac:dyDescent="0.25">
      <c r="A430" s="418"/>
      <c r="B430" s="2464"/>
      <c r="C430" s="2464"/>
    </row>
    <row r="431" spans="1:3" s="775" customFormat="1" x14ac:dyDescent="0.25">
      <c r="A431" s="418"/>
      <c r="B431" s="2464"/>
      <c r="C431" s="2464"/>
    </row>
    <row r="432" spans="1:3" s="775" customFormat="1" x14ac:dyDescent="0.25">
      <c r="A432" s="418"/>
      <c r="B432" s="2464"/>
      <c r="C432" s="2464"/>
    </row>
    <row r="433" spans="1:3" s="775" customFormat="1" x14ac:dyDescent="0.25">
      <c r="A433" s="418"/>
      <c r="B433" s="2464"/>
      <c r="C433" s="2464"/>
    </row>
    <row r="434" spans="1:3" s="775" customFormat="1" x14ac:dyDescent="0.25">
      <c r="A434" s="418"/>
      <c r="B434" s="2464"/>
      <c r="C434" s="2464"/>
    </row>
    <row r="435" spans="1:3" s="775" customFormat="1" x14ac:dyDescent="0.25">
      <c r="A435" s="418"/>
      <c r="B435" s="2464"/>
      <c r="C435" s="2464"/>
    </row>
    <row r="436" spans="1:3" s="775" customFormat="1" x14ac:dyDescent="0.25">
      <c r="A436" s="418"/>
      <c r="B436" s="2464"/>
      <c r="C436" s="2464"/>
    </row>
    <row r="437" spans="1:3" s="775" customFormat="1" x14ac:dyDescent="0.25">
      <c r="A437" s="418"/>
      <c r="B437" s="2464"/>
      <c r="C437" s="2464"/>
    </row>
    <row r="438" spans="1:3" s="775" customFormat="1" x14ac:dyDescent="0.25">
      <c r="A438" s="418"/>
      <c r="B438" s="2464"/>
      <c r="C438" s="2464"/>
    </row>
    <row r="439" spans="1:3" s="775" customFormat="1" x14ac:dyDescent="0.25">
      <c r="A439" s="418"/>
      <c r="B439" s="2464"/>
      <c r="C439" s="2464"/>
    </row>
    <row r="440" spans="1:3" s="775" customFormat="1" x14ac:dyDescent="0.25">
      <c r="A440" s="418"/>
      <c r="B440" s="2464"/>
      <c r="C440" s="2464"/>
    </row>
    <row r="441" spans="1:3" s="775" customFormat="1" x14ac:dyDescent="0.25">
      <c r="A441" s="418"/>
      <c r="B441" s="2464"/>
      <c r="C441" s="2464"/>
    </row>
    <row r="442" spans="1:3" s="775" customFormat="1" x14ac:dyDescent="0.25">
      <c r="A442" s="418"/>
      <c r="B442" s="2464"/>
      <c r="C442" s="2464"/>
    </row>
    <row r="443" spans="1:3" s="775" customFormat="1" x14ac:dyDescent="0.25">
      <c r="A443" s="418"/>
      <c r="B443" s="2464"/>
      <c r="C443" s="2464"/>
    </row>
    <row r="444" spans="1:3" s="775" customFormat="1" x14ac:dyDescent="0.25">
      <c r="A444" s="418"/>
      <c r="B444" s="2464"/>
      <c r="C444" s="2464"/>
    </row>
    <row r="445" spans="1:3" s="775" customFormat="1" x14ac:dyDescent="0.25">
      <c r="A445" s="418"/>
      <c r="B445" s="2464"/>
      <c r="C445" s="2464"/>
    </row>
    <row r="446" spans="1:3" s="775" customFormat="1" x14ac:dyDescent="0.25">
      <c r="A446" s="418"/>
      <c r="B446" s="2464"/>
      <c r="C446" s="2464"/>
    </row>
    <row r="447" spans="1:3" s="775" customFormat="1" x14ac:dyDescent="0.25">
      <c r="A447" s="418"/>
      <c r="B447" s="2464"/>
      <c r="C447" s="2464"/>
    </row>
    <row r="448" spans="1:3" s="775" customFormat="1" x14ac:dyDescent="0.25">
      <c r="A448" s="418"/>
      <c r="B448" s="2464"/>
      <c r="C448" s="2464"/>
    </row>
    <row r="449" spans="1:3" s="775" customFormat="1" x14ac:dyDescent="0.25">
      <c r="A449" s="418"/>
      <c r="B449" s="2464"/>
      <c r="C449" s="2464"/>
    </row>
    <row r="450" spans="1:3" s="775" customFormat="1" x14ac:dyDescent="0.25">
      <c r="A450" s="418"/>
      <c r="B450" s="2464"/>
      <c r="C450" s="2464"/>
    </row>
    <row r="451" spans="1:3" s="775" customFormat="1" x14ac:dyDescent="0.25">
      <c r="A451" s="418"/>
      <c r="B451" s="2464"/>
      <c r="C451" s="2464"/>
    </row>
    <row r="452" spans="1:3" s="775" customFormat="1" x14ac:dyDescent="0.25">
      <c r="A452" s="418"/>
      <c r="B452" s="2464"/>
      <c r="C452" s="2464"/>
    </row>
    <row r="453" spans="1:3" s="775" customFormat="1" x14ac:dyDescent="0.25">
      <c r="A453" s="418"/>
      <c r="B453" s="2464"/>
      <c r="C453" s="2464"/>
    </row>
    <row r="454" spans="1:3" s="775" customFormat="1" x14ac:dyDescent="0.25">
      <c r="A454" s="418"/>
      <c r="B454" s="2464"/>
      <c r="C454" s="2464"/>
    </row>
    <row r="455" spans="1:3" s="775" customFormat="1" x14ac:dyDescent="0.25">
      <c r="A455" s="418"/>
      <c r="B455" s="2464"/>
      <c r="C455" s="2464"/>
    </row>
    <row r="456" spans="1:3" s="775" customFormat="1" x14ac:dyDescent="0.25">
      <c r="A456" s="418"/>
      <c r="B456" s="2464"/>
      <c r="C456" s="2464"/>
    </row>
    <row r="457" spans="1:3" s="775" customFormat="1" x14ac:dyDescent="0.25">
      <c r="A457" s="418"/>
      <c r="B457" s="2464"/>
      <c r="C457" s="2464"/>
    </row>
    <row r="458" spans="1:3" s="775" customFormat="1" x14ac:dyDescent="0.25">
      <c r="A458" s="418"/>
      <c r="B458" s="2464"/>
      <c r="C458" s="2464"/>
    </row>
    <row r="459" spans="1:3" s="775" customFormat="1" x14ac:dyDescent="0.25">
      <c r="A459" s="418"/>
      <c r="B459" s="2464"/>
      <c r="C459" s="2464"/>
    </row>
    <row r="460" spans="1:3" s="775" customFormat="1" x14ac:dyDescent="0.25">
      <c r="A460" s="418"/>
      <c r="B460" s="2464"/>
      <c r="C460" s="2464"/>
    </row>
    <row r="461" spans="1:3" s="775" customFormat="1" x14ac:dyDescent="0.25">
      <c r="A461" s="418"/>
      <c r="B461" s="2464"/>
      <c r="C461" s="2464"/>
    </row>
    <row r="462" spans="1:3" s="775" customFormat="1" x14ac:dyDescent="0.25">
      <c r="A462" s="418"/>
      <c r="B462" s="2464"/>
      <c r="C462" s="2464"/>
    </row>
    <row r="463" spans="1:3" s="775" customFormat="1" x14ac:dyDescent="0.25">
      <c r="A463" s="418"/>
      <c r="B463" s="2464"/>
      <c r="C463" s="2464"/>
    </row>
    <row r="464" spans="1:3" s="775" customFormat="1" x14ac:dyDescent="0.25">
      <c r="A464" s="418"/>
      <c r="B464" s="2464"/>
      <c r="C464" s="2464"/>
    </row>
    <row r="465" spans="1:3" s="775" customFormat="1" x14ac:dyDescent="0.25">
      <c r="A465" s="418"/>
      <c r="B465" s="2464"/>
      <c r="C465" s="2464"/>
    </row>
    <row r="466" spans="1:3" s="775" customFormat="1" x14ac:dyDescent="0.25">
      <c r="A466" s="418"/>
      <c r="B466" s="2464"/>
      <c r="C466" s="2464"/>
    </row>
    <row r="467" spans="1:3" s="775" customFormat="1" x14ac:dyDescent="0.25">
      <c r="A467" s="418"/>
      <c r="B467" s="2464"/>
      <c r="C467" s="2464"/>
    </row>
    <row r="468" spans="1:3" s="775" customFormat="1" x14ac:dyDescent="0.25">
      <c r="A468" s="418"/>
      <c r="B468" s="2464"/>
      <c r="C468" s="2464"/>
    </row>
    <row r="469" spans="1:3" s="775" customFormat="1" x14ac:dyDescent="0.25">
      <c r="A469" s="418"/>
      <c r="B469" s="2464"/>
      <c r="C469" s="2464"/>
    </row>
    <row r="470" spans="1:3" s="775" customFormat="1" x14ac:dyDescent="0.25">
      <c r="A470" s="418"/>
      <c r="B470" s="2464"/>
      <c r="C470" s="2464"/>
    </row>
    <row r="471" spans="1:3" s="775" customFormat="1" x14ac:dyDescent="0.25">
      <c r="A471" s="418"/>
      <c r="B471" s="2464"/>
      <c r="C471" s="2464"/>
    </row>
    <row r="472" spans="1:3" s="775" customFormat="1" x14ac:dyDescent="0.25">
      <c r="A472" s="418"/>
      <c r="B472" s="2464"/>
      <c r="C472" s="2464"/>
    </row>
    <row r="473" spans="1:3" s="775" customFormat="1" x14ac:dyDescent="0.25">
      <c r="A473" s="418"/>
      <c r="B473" s="2464"/>
      <c r="C473" s="2464"/>
    </row>
    <row r="474" spans="1:3" s="775" customFormat="1" x14ac:dyDescent="0.25">
      <c r="A474" s="418"/>
      <c r="B474" s="2464"/>
      <c r="C474" s="2464"/>
    </row>
    <row r="475" spans="1:3" s="775" customFormat="1" x14ac:dyDescent="0.25">
      <c r="A475" s="418"/>
      <c r="B475" s="2464"/>
      <c r="C475" s="2464"/>
    </row>
    <row r="476" spans="1:3" s="775" customFormat="1" x14ac:dyDescent="0.25">
      <c r="A476" s="418"/>
      <c r="B476" s="2464"/>
      <c r="C476" s="2464"/>
    </row>
    <row r="477" spans="1:3" s="775" customFormat="1" x14ac:dyDescent="0.25">
      <c r="A477" s="418"/>
      <c r="B477" s="2464"/>
      <c r="C477" s="2464"/>
    </row>
    <row r="478" spans="1:3" s="775" customFormat="1" x14ac:dyDescent="0.25">
      <c r="A478" s="418"/>
      <c r="B478" s="2464"/>
      <c r="C478" s="2464"/>
    </row>
    <row r="479" spans="1:3" s="775" customFormat="1" x14ac:dyDescent="0.25">
      <c r="A479" s="418"/>
      <c r="B479" s="2464"/>
      <c r="C479" s="2464"/>
    </row>
    <row r="480" spans="1:3" s="775" customFormat="1" x14ac:dyDescent="0.25">
      <c r="A480" s="418"/>
      <c r="B480" s="2464"/>
      <c r="C480" s="2464"/>
    </row>
    <row r="481" spans="1:3" s="775" customFormat="1" x14ac:dyDescent="0.25">
      <c r="A481" s="418"/>
      <c r="B481" s="2464"/>
      <c r="C481" s="2464"/>
    </row>
    <row r="482" spans="1:3" s="775" customFormat="1" x14ac:dyDescent="0.25">
      <c r="A482" s="418"/>
      <c r="B482" s="2464"/>
      <c r="C482" s="2464"/>
    </row>
    <row r="483" spans="1:3" s="775" customFormat="1" x14ac:dyDescent="0.25">
      <c r="A483" s="418"/>
      <c r="B483" s="2464"/>
      <c r="C483" s="2464"/>
    </row>
    <row r="484" spans="1:3" s="775" customFormat="1" x14ac:dyDescent="0.25">
      <c r="A484" s="418"/>
      <c r="B484" s="2464"/>
      <c r="C484" s="2464"/>
    </row>
    <row r="485" spans="1:3" s="775" customFormat="1" x14ac:dyDescent="0.25">
      <c r="A485" s="418"/>
      <c r="B485" s="2464"/>
      <c r="C485" s="2464"/>
    </row>
    <row r="486" spans="1:3" s="775" customFormat="1" x14ac:dyDescent="0.25">
      <c r="A486" s="418"/>
      <c r="B486" s="2464"/>
      <c r="C486" s="2464"/>
    </row>
    <row r="487" spans="1:3" s="775" customFormat="1" x14ac:dyDescent="0.25">
      <c r="A487" s="418"/>
      <c r="B487" s="2464"/>
      <c r="C487" s="2464"/>
    </row>
    <row r="488" spans="1:3" s="775" customFormat="1" x14ac:dyDescent="0.25">
      <c r="A488" s="418"/>
      <c r="B488" s="2464"/>
      <c r="C488" s="2464"/>
    </row>
    <row r="489" spans="1:3" s="775" customFormat="1" x14ac:dyDescent="0.25">
      <c r="A489" s="418"/>
      <c r="B489" s="2464"/>
      <c r="C489" s="2464"/>
    </row>
    <row r="490" spans="1:3" s="775" customFormat="1" x14ac:dyDescent="0.25">
      <c r="A490" s="418"/>
      <c r="B490" s="2464"/>
      <c r="C490" s="2464"/>
    </row>
    <row r="491" spans="1:3" s="775" customFormat="1" x14ac:dyDescent="0.25">
      <c r="A491" s="418"/>
      <c r="B491" s="2464"/>
      <c r="C491" s="2464"/>
    </row>
    <row r="492" spans="1:3" s="775" customFormat="1" x14ac:dyDescent="0.25">
      <c r="A492" s="418"/>
      <c r="B492" s="2464"/>
      <c r="C492" s="2464"/>
    </row>
    <row r="493" spans="1:3" s="775" customFormat="1" x14ac:dyDescent="0.25">
      <c r="A493" s="418"/>
      <c r="B493" s="2464"/>
      <c r="C493" s="2464"/>
    </row>
    <row r="494" spans="1:3" s="775" customFormat="1" x14ac:dyDescent="0.25">
      <c r="A494" s="418"/>
      <c r="B494" s="2464"/>
      <c r="C494" s="2464"/>
    </row>
    <row r="495" spans="1:3" s="775" customFormat="1" x14ac:dyDescent="0.25">
      <c r="A495" s="418"/>
      <c r="B495" s="2464"/>
      <c r="C495" s="2464"/>
    </row>
    <row r="496" spans="1:3" s="775" customFormat="1" x14ac:dyDescent="0.25">
      <c r="A496" s="418"/>
      <c r="B496" s="2464"/>
      <c r="C496" s="2464"/>
    </row>
    <row r="497" spans="1:3" s="775" customFormat="1" x14ac:dyDescent="0.25">
      <c r="A497" s="418"/>
      <c r="B497" s="2464"/>
      <c r="C497" s="2464"/>
    </row>
    <row r="498" spans="1:3" s="775" customFormat="1" x14ac:dyDescent="0.25">
      <c r="A498" s="418"/>
      <c r="B498" s="2464"/>
      <c r="C498" s="2464"/>
    </row>
    <row r="499" spans="1:3" s="775" customFormat="1" x14ac:dyDescent="0.25">
      <c r="A499" s="418"/>
      <c r="B499" s="2464"/>
      <c r="C499" s="2464"/>
    </row>
    <row r="500" spans="1:3" s="775" customFormat="1" x14ac:dyDescent="0.25">
      <c r="A500" s="418"/>
      <c r="B500" s="2464"/>
      <c r="C500" s="2464"/>
    </row>
    <row r="501" spans="1:3" s="775" customFormat="1" x14ac:dyDescent="0.25">
      <c r="A501" s="418"/>
      <c r="B501" s="2464"/>
      <c r="C501" s="2464"/>
    </row>
    <row r="502" spans="1:3" s="775" customFormat="1" x14ac:dyDescent="0.25">
      <c r="A502" s="418"/>
      <c r="B502" s="2464"/>
      <c r="C502" s="2464"/>
    </row>
    <row r="503" spans="1:3" s="775" customFormat="1" x14ac:dyDescent="0.25">
      <c r="A503" s="418"/>
      <c r="B503" s="2464"/>
      <c r="C503" s="2464"/>
    </row>
    <row r="504" spans="1:3" s="775" customFormat="1" x14ac:dyDescent="0.25">
      <c r="A504" s="418"/>
      <c r="B504" s="2464"/>
      <c r="C504" s="2464"/>
    </row>
    <row r="505" spans="1:3" s="775" customFormat="1" x14ac:dyDescent="0.25">
      <c r="A505" s="418"/>
      <c r="B505" s="2464"/>
      <c r="C505" s="2464"/>
    </row>
    <row r="506" spans="1:3" s="775" customFormat="1" x14ac:dyDescent="0.25">
      <c r="A506" s="418"/>
      <c r="B506" s="2464"/>
      <c r="C506" s="2464"/>
    </row>
    <row r="507" spans="1:3" s="775" customFormat="1" x14ac:dyDescent="0.25">
      <c r="A507" s="418"/>
      <c r="B507" s="2464"/>
      <c r="C507" s="2464"/>
    </row>
    <row r="508" spans="1:3" s="775" customFormat="1" x14ac:dyDescent="0.25">
      <c r="A508" s="418"/>
      <c r="B508" s="2464"/>
      <c r="C508" s="2464"/>
    </row>
    <row r="509" spans="1:3" s="775" customFormat="1" x14ac:dyDescent="0.25">
      <c r="A509" s="418"/>
      <c r="B509" s="2464"/>
      <c r="C509" s="2464"/>
    </row>
    <row r="510" spans="1:3" s="775" customFormat="1" x14ac:dyDescent="0.25">
      <c r="A510" s="418"/>
      <c r="B510" s="2464"/>
      <c r="C510" s="2464"/>
    </row>
    <row r="511" spans="1:3" s="775" customFormat="1" x14ac:dyDescent="0.25">
      <c r="A511" s="418"/>
      <c r="B511" s="2464"/>
      <c r="C511" s="2464"/>
    </row>
    <row r="512" spans="1:3" s="775" customFormat="1" x14ac:dyDescent="0.25">
      <c r="A512" s="418"/>
      <c r="B512" s="2464"/>
      <c r="C512" s="2464"/>
    </row>
    <row r="513" spans="1:3" s="775" customFormat="1" x14ac:dyDescent="0.25">
      <c r="A513" s="418"/>
      <c r="B513" s="2464"/>
      <c r="C513" s="2464"/>
    </row>
    <row r="514" spans="1:3" s="775" customFormat="1" x14ac:dyDescent="0.25">
      <c r="A514" s="418"/>
      <c r="B514" s="2464"/>
      <c r="C514" s="2464"/>
    </row>
    <row r="515" spans="1:3" s="775" customFormat="1" x14ac:dyDescent="0.25">
      <c r="A515" s="418"/>
      <c r="B515" s="2464"/>
      <c r="C515" s="2464"/>
    </row>
    <row r="516" spans="1:3" s="775" customFormat="1" x14ac:dyDescent="0.25">
      <c r="A516" s="418"/>
      <c r="B516" s="2464"/>
      <c r="C516" s="2464"/>
    </row>
    <row r="517" spans="1:3" s="775" customFormat="1" x14ac:dyDescent="0.25">
      <c r="A517" s="418"/>
      <c r="B517" s="2464"/>
      <c r="C517" s="2464"/>
    </row>
    <row r="518" spans="1:3" s="775" customFormat="1" x14ac:dyDescent="0.25">
      <c r="A518" s="418"/>
      <c r="B518" s="2464"/>
      <c r="C518" s="2464"/>
    </row>
    <row r="519" spans="1:3" s="775" customFormat="1" x14ac:dyDescent="0.25">
      <c r="A519" s="418"/>
      <c r="B519" s="2464"/>
      <c r="C519" s="2464"/>
    </row>
    <row r="520" spans="1:3" s="775" customFormat="1" x14ac:dyDescent="0.25">
      <c r="A520" s="418"/>
      <c r="B520" s="2464"/>
      <c r="C520" s="2464"/>
    </row>
    <row r="521" spans="1:3" s="775" customFormat="1" x14ac:dyDescent="0.25">
      <c r="A521" s="418"/>
      <c r="B521" s="2464"/>
      <c r="C521" s="2464"/>
    </row>
    <row r="522" spans="1:3" s="775" customFormat="1" x14ac:dyDescent="0.25">
      <c r="A522" s="418"/>
      <c r="B522" s="2464"/>
      <c r="C522" s="2464"/>
    </row>
    <row r="523" spans="1:3" s="775" customFormat="1" x14ac:dyDescent="0.25">
      <c r="A523" s="418"/>
      <c r="B523" s="2464"/>
      <c r="C523" s="2464"/>
    </row>
    <row r="524" spans="1:3" s="775" customFormat="1" x14ac:dyDescent="0.25">
      <c r="A524" s="418"/>
      <c r="B524" s="2464"/>
      <c r="C524" s="2464"/>
    </row>
    <row r="525" spans="1:3" s="775" customFormat="1" x14ac:dyDescent="0.25">
      <c r="A525" s="418"/>
      <c r="B525" s="2464"/>
      <c r="C525" s="2464"/>
    </row>
    <row r="526" spans="1:3" s="775" customFormat="1" x14ac:dyDescent="0.25">
      <c r="A526" s="418"/>
      <c r="B526" s="2464"/>
      <c r="C526" s="2464"/>
    </row>
    <row r="527" spans="1:3" s="775" customFormat="1" x14ac:dyDescent="0.25">
      <c r="A527" s="418"/>
      <c r="B527" s="2464"/>
      <c r="C527" s="2464"/>
    </row>
    <row r="528" spans="1:3" s="775" customFormat="1" x14ac:dyDescent="0.25">
      <c r="A528" s="418"/>
      <c r="B528" s="2464"/>
      <c r="C528" s="2464"/>
    </row>
    <row r="529" spans="1:3" s="775" customFormat="1" x14ac:dyDescent="0.25">
      <c r="A529" s="418"/>
      <c r="B529" s="2464"/>
      <c r="C529" s="2464"/>
    </row>
    <row r="530" spans="1:3" s="775" customFormat="1" x14ac:dyDescent="0.25">
      <c r="A530" s="418"/>
      <c r="B530" s="2464"/>
      <c r="C530" s="2464"/>
    </row>
    <row r="531" spans="1:3" s="775" customFormat="1" x14ac:dyDescent="0.25">
      <c r="A531" s="418"/>
      <c r="B531" s="2464"/>
      <c r="C531" s="2464"/>
    </row>
    <row r="532" spans="1:3" s="775" customFormat="1" x14ac:dyDescent="0.25">
      <c r="A532" s="418"/>
      <c r="B532" s="2464"/>
      <c r="C532" s="2464"/>
    </row>
    <row r="533" spans="1:3" s="775" customFormat="1" x14ac:dyDescent="0.25">
      <c r="A533" s="418"/>
      <c r="B533" s="2464"/>
      <c r="C533" s="2464"/>
    </row>
    <row r="534" spans="1:3" s="775" customFormat="1" x14ac:dyDescent="0.25">
      <c r="A534" s="418"/>
      <c r="B534" s="2464"/>
      <c r="C534" s="2464"/>
    </row>
    <row r="535" spans="1:3" s="775" customFormat="1" x14ac:dyDescent="0.25">
      <c r="A535" s="418"/>
      <c r="B535" s="2464"/>
      <c r="C535" s="2464"/>
    </row>
    <row r="536" spans="1:3" s="775" customFormat="1" x14ac:dyDescent="0.25">
      <c r="A536" s="418"/>
      <c r="B536" s="2464"/>
      <c r="C536" s="2464"/>
    </row>
    <row r="537" spans="1:3" s="775" customFormat="1" x14ac:dyDescent="0.25">
      <c r="A537" s="418"/>
      <c r="B537" s="2464"/>
      <c r="C537" s="2464"/>
    </row>
    <row r="538" spans="1:3" s="775" customFormat="1" x14ac:dyDescent="0.25">
      <c r="A538" s="418"/>
      <c r="B538" s="2464"/>
      <c r="C538" s="2464"/>
    </row>
    <row r="539" spans="1:3" s="775" customFormat="1" x14ac:dyDescent="0.25">
      <c r="A539" s="418"/>
      <c r="B539" s="2464"/>
      <c r="C539" s="2464"/>
    </row>
    <row r="540" spans="1:3" s="775" customFormat="1" x14ac:dyDescent="0.25">
      <c r="A540" s="418"/>
      <c r="B540" s="2464"/>
      <c r="C540" s="2464"/>
    </row>
    <row r="541" spans="1:3" s="775" customFormat="1" x14ac:dyDescent="0.25">
      <c r="A541" s="418"/>
      <c r="B541" s="2464"/>
      <c r="C541" s="2464"/>
    </row>
    <row r="542" spans="1:3" s="775" customFormat="1" x14ac:dyDescent="0.25">
      <c r="A542" s="418"/>
      <c r="B542" s="2464"/>
      <c r="C542" s="2464"/>
    </row>
    <row r="543" spans="1:3" s="775" customFormat="1" x14ac:dyDescent="0.25">
      <c r="A543" s="418"/>
      <c r="B543" s="2464"/>
      <c r="C543" s="2464"/>
    </row>
    <row r="544" spans="1:3" s="775" customFormat="1" x14ac:dyDescent="0.25">
      <c r="A544" s="418"/>
      <c r="B544" s="2464"/>
      <c r="C544" s="2464"/>
    </row>
    <row r="545" spans="1:3" s="775" customFormat="1" x14ac:dyDescent="0.25">
      <c r="A545" s="418"/>
      <c r="B545" s="2464"/>
      <c r="C545" s="2464"/>
    </row>
    <row r="546" spans="1:3" s="775" customFormat="1" x14ac:dyDescent="0.25">
      <c r="A546" s="418"/>
      <c r="B546" s="2464"/>
      <c r="C546" s="2464"/>
    </row>
    <row r="547" spans="1:3" s="775" customFormat="1" x14ac:dyDescent="0.25">
      <c r="A547" s="418"/>
      <c r="B547" s="2464"/>
      <c r="C547" s="2464"/>
    </row>
    <row r="548" spans="1:3" s="775" customFormat="1" x14ac:dyDescent="0.25">
      <c r="A548" s="418"/>
      <c r="B548" s="2464"/>
      <c r="C548" s="2464"/>
    </row>
    <row r="549" spans="1:3" s="775" customFormat="1" x14ac:dyDescent="0.25">
      <c r="A549" s="418"/>
      <c r="B549" s="2464"/>
      <c r="C549" s="2464"/>
    </row>
    <row r="550" spans="1:3" s="775" customFormat="1" x14ac:dyDescent="0.25">
      <c r="A550" s="418"/>
      <c r="B550" s="2464"/>
      <c r="C550" s="2464"/>
    </row>
    <row r="551" spans="1:3" s="775" customFormat="1" x14ac:dyDescent="0.25">
      <c r="A551" s="418"/>
      <c r="B551" s="2464"/>
      <c r="C551" s="2464"/>
    </row>
    <row r="552" spans="1:3" s="775" customFormat="1" x14ac:dyDescent="0.25">
      <c r="A552" s="418"/>
      <c r="B552" s="2464"/>
      <c r="C552" s="2464"/>
    </row>
    <row r="553" spans="1:3" s="775" customFormat="1" x14ac:dyDescent="0.25">
      <c r="A553" s="418"/>
      <c r="B553" s="2464"/>
      <c r="C553" s="2464"/>
    </row>
    <row r="554" spans="1:3" s="775" customFormat="1" x14ac:dyDescent="0.25">
      <c r="A554" s="418"/>
      <c r="B554" s="2464"/>
      <c r="C554" s="2464"/>
    </row>
    <row r="555" spans="1:3" s="775" customFormat="1" x14ac:dyDescent="0.25">
      <c r="A555" s="418"/>
      <c r="B555" s="2464"/>
      <c r="C555" s="2464"/>
    </row>
    <row r="556" spans="1:3" s="775" customFormat="1" x14ac:dyDescent="0.25">
      <c r="A556" s="418"/>
      <c r="B556" s="2464"/>
      <c r="C556" s="2464"/>
    </row>
    <row r="557" spans="1:3" s="775" customFormat="1" x14ac:dyDescent="0.25">
      <c r="A557" s="418"/>
      <c r="B557" s="2464"/>
      <c r="C557" s="2464"/>
    </row>
    <row r="558" spans="1:3" s="775" customFormat="1" x14ac:dyDescent="0.25">
      <c r="A558" s="418"/>
      <c r="B558" s="2464"/>
      <c r="C558" s="2464"/>
    </row>
    <row r="559" spans="1:3" s="775" customFormat="1" x14ac:dyDescent="0.25">
      <c r="A559" s="418"/>
      <c r="B559" s="2464"/>
      <c r="C559" s="2464"/>
    </row>
    <row r="560" spans="1:3" s="775" customFormat="1" x14ac:dyDescent="0.25">
      <c r="A560" s="418"/>
      <c r="B560" s="2464"/>
      <c r="C560" s="2464"/>
    </row>
    <row r="561" spans="1:3" s="775" customFormat="1" x14ac:dyDescent="0.25">
      <c r="A561" s="418"/>
      <c r="B561" s="2464"/>
      <c r="C561" s="2464"/>
    </row>
    <row r="562" spans="1:3" s="775" customFormat="1" x14ac:dyDescent="0.25">
      <c r="A562" s="418"/>
      <c r="B562" s="2464"/>
      <c r="C562" s="2464"/>
    </row>
    <row r="563" spans="1:3" s="775" customFormat="1" x14ac:dyDescent="0.25">
      <c r="A563" s="418"/>
      <c r="B563" s="2464"/>
      <c r="C563" s="2464"/>
    </row>
    <row r="564" spans="1:3" s="775" customFormat="1" x14ac:dyDescent="0.25">
      <c r="A564" s="418"/>
      <c r="B564" s="2464"/>
      <c r="C564" s="2464"/>
    </row>
    <row r="565" spans="1:3" s="775" customFormat="1" x14ac:dyDescent="0.25">
      <c r="A565" s="418"/>
      <c r="B565" s="2464"/>
      <c r="C565" s="2464"/>
    </row>
    <row r="566" spans="1:3" s="775" customFormat="1" x14ac:dyDescent="0.25">
      <c r="A566" s="418"/>
      <c r="B566" s="2464"/>
      <c r="C566" s="2464"/>
    </row>
    <row r="567" spans="1:3" s="775" customFormat="1" x14ac:dyDescent="0.25">
      <c r="A567" s="418"/>
      <c r="B567" s="2464"/>
      <c r="C567" s="2464"/>
    </row>
    <row r="568" spans="1:3" s="775" customFormat="1" x14ac:dyDescent="0.25">
      <c r="A568" s="418"/>
      <c r="B568" s="2464"/>
      <c r="C568" s="2464"/>
    </row>
    <row r="569" spans="1:3" s="775" customFormat="1" x14ac:dyDescent="0.25">
      <c r="A569" s="418"/>
      <c r="B569" s="2464"/>
      <c r="C569" s="2464"/>
    </row>
    <row r="570" spans="1:3" s="775" customFormat="1" x14ac:dyDescent="0.25">
      <c r="A570" s="418"/>
      <c r="B570" s="2464"/>
      <c r="C570" s="2464"/>
    </row>
    <row r="571" spans="1:3" s="775" customFormat="1" x14ac:dyDescent="0.25">
      <c r="A571" s="418"/>
      <c r="B571" s="2464"/>
      <c r="C571" s="2464"/>
    </row>
    <row r="572" spans="1:3" s="775" customFormat="1" x14ac:dyDescent="0.25">
      <c r="A572" s="418"/>
      <c r="B572" s="2464"/>
      <c r="C572" s="2464"/>
    </row>
    <row r="573" spans="1:3" s="775" customFormat="1" x14ac:dyDescent="0.25">
      <c r="A573" s="418"/>
      <c r="B573" s="2464"/>
      <c r="C573" s="2464"/>
    </row>
    <row r="574" spans="1:3" s="775" customFormat="1" x14ac:dyDescent="0.25">
      <c r="A574" s="418"/>
      <c r="B574" s="2464"/>
      <c r="C574" s="2464"/>
    </row>
    <row r="575" spans="1:3" s="775" customFormat="1" x14ac:dyDescent="0.25">
      <c r="A575" s="418"/>
      <c r="B575" s="2464"/>
      <c r="C575" s="2464"/>
    </row>
    <row r="576" spans="1:3" s="775" customFormat="1" x14ac:dyDescent="0.25">
      <c r="A576" s="418"/>
      <c r="B576" s="2464"/>
      <c r="C576" s="2464"/>
    </row>
    <row r="577" spans="1:3" s="775" customFormat="1" x14ac:dyDescent="0.25">
      <c r="A577" s="418"/>
      <c r="B577" s="2464"/>
      <c r="C577" s="2464"/>
    </row>
    <row r="578" spans="1:3" s="775" customFormat="1" x14ac:dyDescent="0.25">
      <c r="A578" s="418"/>
      <c r="B578" s="2464"/>
      <c r="C578" s="2464"/>
    </row>
    <row r="579" spans="1:3" s="775" customFormat="1" x14ac:dyDescent="0.25">
      <c r="A579" s="418"/>
      <c r="B579" s="2464"/>
      <c r="C579" s="2464"/>
    </row>
    <row r="580" spans="1:3" s="775" customFormat="1" x14ac:dyDescent="0.25">
      <c r="A580" s="418"/>
      <c r="B580" s="2464"/>
      <c r="C580" s="2464"/>
    </row>
    <row r="581" spans="1:3" s="775" customFormat="1" x14ac:dyDescent="0.25">
      <c r="A581" s="418"/>
      <c r="B581" s="2464"/>
      <c r="C581" s="2464"/>
    </row>
    <row r="582" spans="1:3" s="775" customFormat="1" x14ac:dyDescent="0.25">
      <c r="A582" s="418"/>
      <c r="B582" s="2464"/>
      <c r="C582" s="2464"/>
    </row>
    <row r="583" spans="1:3" s="775" customFormat="1" x14ac:dyDescent="0.25">
      <c r="A583" s="418"/>
      <c r="B583" s="2464"/>
      <c r="C583" s="2464"/>
    </row>
    <row r="584" spans="1:3" s="775" customFormat="1" x14ac:dyDescent="0.25">
      <c r="A584" s="418"/>
      <c r="B584" s="2464"/>
      <c r="C584" s="2464"/>
    </row>
    <row r="585" spans="1:3" s="775" customFormat="1" x14ac:dyDescent="0.25">
      <c r="A585" s="418"/>
      <c r="B585" s="2464"/>
      <c r="C585" s="2464"/>
    </row>
    <row r="586" spans="1:3" s="775" customFormat="1" x14ac:dyDescent="0.25">
      <c r="A586" s="418"/>
      <c r="B586" s="2464"/>
      <c r="C586" s="2464"/>
    </row>
    <row r="587" spans="1:3" s="775" customFormat="1" x14ac:dyDescent="0.25">
      <c r="A587" s="418"/>
      <c r="B587" s="2464"/>
      <c r="C587" s="2464"/>
    </row>
    <row r="588" spans="1:3" s="775" customFormat="1" x14ac:dyDescent="0.25">
      <c r="A588" s="418"/>
      <c r="B588" s="2464"/>
      <c r="C588" s="2464"/>
    </row>
    <row r="589" spans="1:3" s="775" customFormat="1" x14ac:dyDescent="0.25">
      <c r="A589" s="418"/>
      <c r="B589" s="2464"/>
      <c r="C589" s="2464"/>
    </row>
    <row r="590" spans="1:3" s="775" customFormat="1" x14ac:dyDescent="0.25">
      <c r="A590" s="418"/>
      <c r="B590" s="2464"/>
      <c r="C590" s="2464"/>
    </row>
    <row r="591" spans="1:3" s="775" customFormat="1" x14ac:dyDescent="0.25">
      <c r="A591" s="418"/>
      <c r="B591" s="2464"/>
      <c r="C591" s="2464"/>
    </row>
    <row r="592" spans="1:3" s="775" customFormat="1" x14ac:dyDescent="0.25">
      <c r="A592" s="418"/>
      <c r="B592" s="2464"/>
      <c r="C592" s="2464"/>
    </row>
    <row r="593" spans="1:3" s="775" customFormat="1" x14ac:dyDescent="0.25">
      <c r="A593" s="418"/>
      <c r="B593" s="2464"/>
      <c r="C593" s="2464"/>
    </row>
    <row r="594" spans="1:3" s="775" customFormat="1" x14ac:dyDescent="0.25">
      <c r="A594" s="418"/>
      <c r="B594" s="2464"/>
      <c r="C594" s="2464"/>
    </row>
    <row r="595" spans="1:3" s="775" customFormat="1" x14ac:dyDescent="0.25">
      <c r="A595" s="418"/>
      <c r="B595" s="2464"/>
      <c r="C595" s="2464"/>
    </row>
    <row r="596" spans="1:3" s="775" customFormat="1" x14ac:dyDescent="0.25">
      <c r="A596" s="418"/>
      <c r="B596" s="2464"/>
      <c r="C596" s="2464"/>
    </row>
    <row r="597" spans="1:3" s="775" customFormat="1" x14ac:dyDescent="0.25">
      <c r="A597" s="418"/>
      <c r="B597" s="2464"/>
      <c r="C597" s="2464"/>
    </row>
    <row r="598" spans="1:3" s="775" customFormat="1" x14ac:dyDescent="0.25">
      <c r="A598" s="418"/>
      <c r="B598" s="2464"/>
      <c r="C598" s="2464"/>
    </row>
    <row r="599" spans="1:3" s="775" customFormat="1" x14ac:dyDescent="0.25">
      <c r="A599" s="418"/>
      <c r="B599" s="2464"/>
      <c r="C599" s="2464"/>
    </row>
    <row r="600" spans="1:3" s="775" customFormat="1" x14ac:dyDescent="0.25">
      <c r="A600" s="418"/>
      <c r="B600" s="2464"/>
      <c r="C600" s="2464"/>
    </row>
    <row r="601" spans="1:3" s="775" customFormat="1" x14ac:dyDescent="0.25">
      <c r="A601" s="418"/>
      <c r="B601" s="2464"/>
      <c r="C601" s="2464"/>
    </row>
    <row r="602" spans="1:3" s="775" customFormat="1" x14ac:dyDescent="0.25">
      <c r="A602" s="418"/>
      <c r="B602" s="2464"/>
      <c r="C602" s="2464"/>
    </row>
    <row r="603" spans="1:3" s="775" customFormat="1" x14ac:dyDescent="0.25">
      <c r="A603" s="418"/>
      <c r="B603" s="2464"/>
      <c r="C603" s="2464"/>
    </row>
    <row r="604" spans="1:3" s="775" customFormat="1" x14ac:dyDescent="0.25">
      <c r="A604" s="418"/>
      <c r="B604" s="2464"/>
      <c r="C604" s="2464"/>
    </row>
    <row r="605" spans="1:3" s="775" customFormat="1" x14ac:dyDescent="0.25">
      <c r="A605" s="418"/>
      <c r="B605" s="2464"/>
      <c r="C605" s="2464"/>
    </row>
    <row r="606" spans="1:3" s="775" customFormat="1" x14ac:dyDescent="0.25">
      <c r="A606" s="418"/>
      <c r="B606" s="2464"/>
      <c r="C606" s="2464"/>
    </row>
    <row r="607" spans="1:3" s="775" customFormat="1" x14ac:dyDescent="0.25">
      <c r="A607" s="418"/>
      <c r="B607" s="2464"/>
      <c r="C607" s="2464"/>
    </row>
    <row r="608" spans="1:3" s="775" customFormat="1" x14ac:dyDescent="0.25">
      <c r="A608" s="418"/>
      <c r="B608" s="2464"/>
      <c r="C608" s="2464"/>
    </row>
    <row r="609" spans="1:3" s="775" customFormat="1" x14ac:dyDescent="0.25">
      <c r="A609" s="418"/>
      <c r="B609" s="2464"/>
      <c r="C609" s="2464"/>
    </row>
    <row r="610" spans="1:3" s="775" customFormat="1" x14ac:dyDescent="0.25">
      <c r="A610" s="418"/>
      <c r="B610" s="2464"/>
      <c r="C610" s="2464"/>
    </row>
    <row r="611" spans="1:3" s="775" customFormat="1" x14ac:dyDescent="0.25">
      <c r="A611" s="418"/>
      <c r="B611" s="2464"/>
      <c r="C611" s="2464"/>
    </row>
    <row r="612" spans="1:3" s="775" customFormat="1" x14ac:dyDescent="0.25">
      <c r="A612" s="418"/>
      <c r="B612" s="2464"/>
      <c r="C612" s="2464"/>
    </row>
    <row r="613" spans="1:3" s="775" customFormat="1" x14ac:dyDescent="0.25">
      <c r="A613" s="418"/>
      <c r="B613" s="2464"/>
      <c r="C613" s="2464"/>
    </row>
    <row r="614" spans="1:3" s="775" customFormat="1" x14ac:dyDescent="0.25">
      <c r="A614" s="418"/>
      <c r="B614" s="2464"/>
      <c r="C614" s="2464"/>
    </row>
    <row r="615" spans="1:3" s="775" customFormat="1" x14ac:dyDescent="0.25">
      <c r="A615" s="418"/>
      <c r="B615" s="2464"/>
      <c r="C615" s="2464"/>
    </row>
    <row r="616" spans="1:3" s="775" customFormat="1" x14ac:dyDescent="0.25">
      <c r="A616" s="418"/>
      <c r="B616" s="2464"/>
      <c r="C616" s="2464"/>
    </row>
    <row r="617" spans="1:3" s="775" customFormat="1" x14ac:dyDescent="0.25">
      <c r="A617" s="418"/>
      <c r="B617" s="2464"/>
      <c r="C617" s="2464"/>
    </row>
    <row r="618" spans="1:3" s="775" customFormat="1" x14ac:dyDescent="0.25">
      <c r="A618" s="418"/>
      <c r="B618" s="2464"/>
      <c r="C618" s="2464"/>
    </row>
    <row r="619" spans="1:3" s="775" customFormat="1" x14ac:dyDescent="0.25">
      <c r="A619" s="418"/>
      <c r="B619" s="2464"/>
      <c r="C619" s="2464"/>
    </row>
    <row r="620" spans="1:3" s="775" customFormat="1" x14ac:dyDescent="0.25">
      <c r="A620" s="418"/>
      <c r="B620" s="2464"/>
      <c r="C620" s="2464"/>
    </row>
    <row r="621" spans="1:3" s="775" customFormat="1" x14ac:dyDescent="0.25">
      <c r="A621" s="418"/>
      <c r="B621" s="2464"/>
      <c r="C621" s="2464"/>
    </row>
    <row r="622" spans="1:3" s="775" customFormat="1" x14ac:dyDescent="0.25">
      <c r="A622" s="418"/>
      <c r="B622" s="2464"/>
      <c r="C622" s="2464"/>
    </row>
    <row r="623" spans="1:3" s="775" customFormat="1" x14ac:dyDescent="0.25">
      <c r="A623" s="418"/>
      <c r="B623" s="2464"/>
      <c r="C623" s="2464"/>
    </row>
    <row r="624" spans="1:3" s="775" customFormat="1" x14ac:dyDescent="0.25">
      <c r="A624" s="418"/>
      <c r="B624" s="2464"/>
      <c r="C624" s="2464"/>
    </row>
    <row r="625" spans="1:3" s="775" customFormat="1" x14ac:dyDescent="0.25">
      <c r="A625" s="418"/>
      <c r="B625" s="2464"/>
      <c r="C625" s="2464"/>
    </row>
    <row r="626" spans="1:3" s="775" customFormat="1" x14ac:dyDescent="0.25">
      <c r="A626" s="418"/>
      <c r="B626" s="2464"/>
      <c r="C626" s="2464"/>
    </row>
    <row r="627" spans="1:3" s="775" customFormat="1" x14ac:dyDescent="0.25">
      <c r="A627" s="418"/>
      <c r="B627" s="2464"/>
      <c r="C627" s="2464"/>
    </row>
    <row r="628" spans="1:3" s="775" customFormat="1" x14ac:dyDescent="0.25">
      <c r="A628" s="418"/>
      <c r="B628" s="2464"/>
      <c r="C628" s="2464"/>
    </row>
    <row r="629" spans="1:3" s="775" customFormat="1" x14ac:dyDescent="0.25">
      <c r="A629" s="418"/>
      <c r="B629" s="2464"/>
      <c r="C629" s="2464"/>
    </row>
    <row r="630" spans="1:3" s="775" customFormat="1" x14ac:dyDescent="0.25">
      <c r="A630" s="418"/>
      <c r="B630" s="2464"/>
      <c r="C630" s="2464"/>
    </row>
    <row r="631" spans="1:3" s="775" customFormat="1" x14ac:dyDescent="0.25">
      <c r="A631" s="418"/>
      <c r="B631" s="2464"/>
      <c r="C631" s="2464"/>
    </row>
    <row r="632" spans="1:3" s="775" customFormat="1" x14ac:dyDescent="0.25">
      <c r="A632" s="418"/>
      <c r="B632" s="2464"/>
      <c r="C632" s="2464"/>
    </row>
    <row r="633" spans="1:3" s="775" customFormat="1" x14ac:dyDescent="0.25">
      <c r="A633" s="418"/>
      <c r="B633" s="2464"/>
      <c r="C633" s="2464"/>
    </row>
    <row r="634" spans="1:3" s="775" customFormat="1" x14ac:dyDescent="0.25">
      <c r="A634" s="418"/>
      <c r="B634" s="2464"/>
      <c r="C634" s="2464"/>
    </row>
    <row r="635" spans="1:3" s="775" customFormat="1" x14ac:dyDescent="0.25">
      <c r="A635" s="418"/>
      <c r="B635" s="2464"/>
      <c r="C635" s="2464"/>
    </row>
    <row r="636" spans="1:3" s="775" customFormat="1" x14ac:dyDescent="0.25">
      <c r="A636" s="418"/>
      <c r="B636" s="2464"/>
      <c r="C636" s="2464"/>
    </row>
    <row r="637" spans="1:3" s="775" customFormat="1" x14ac:dyDescent="0.25">
      <c r="A637" s="418"/>
      <c r="B637" s="2464"/>
      <c r="C637" s="2464"/>
    </row>
    <row r="638" spans="1:3" s="775" customFormat="1" x14ac:dyDescent="0.25">
      <c r="A638" s="418"/>
      <c r="B638" s="2464"/>
      <c r="C638" s="2464"/>
    </row>
    <row r="639" spans="1:3" s="775" customFormat="1" x14ac:dyDescent="0.25">
      <c r="A639" s="418"/>
      <c r="B639" s="2464"/>
      <c r="C639" s="2464"/>
    </row>
    <row r="640" spans="1:3" s="775" customFormat="1" x14ac:dyDescent="0.25">
      <c r="A640" s="418"/>
      <c r="B640" s="2464"/>
      <c r="C640" s="2464"/>
    </row>
    <row r="641" spans="1:3" s="775" customFormat="1" x14ac:dyDescent="0.25">
      <c r="A641" s="418"/>
      <c r="B641" s="2464"/>
      <c r="C641" s="2464"/>
    </row>
    <row r="642" spans="1:3" s="775" customFormat="1" x14ac:dyDescent="0.25">
      <c r="A642" s="418"/>
      <c r="B642" s="2464"/>
      <c r="C642" s="2464"/>
    </row>
    <row r="643" spans="1:3" s="775" customFormat="1" x14ac:dyDescent="0.25">
      <c r="A643" s="418"/>
      <c r="B643" s="2464"/>
      <c r="C643" s="2464"/>
    </row>
    <row r="644" spans="1:3" s="775" customFormat="1" x14ac:dyDescent="0.25">
      <c r="A644" s="418"/>
      <c r="B644" s="2464"/>
      <c r="C644" s="2464"/>
    </row>
    <row r="645" spans="1:3" s="775" customFormat="1" x14ac:dyDescent="0.25">
      <c r="A645" s="418"/>
      <c r="B645" s="2464"/>
      <c r="C645" s="2464"/>
    </row>
    <row r="646" spans="1:3" s="775" customFormat="1" x14ac:dyDescent="0.25">
      <c r="A646" s="418"/>
      <c r="B646" s="2464"/>
      <c r="C646" s="2464"/>
    </row>
    <row r="647" spans="1:3" s="775" customFormat="1" x14ac:dyDescent="0.25">
      <c r="A647" s="418"/>
      <c r="B647" s="2464"/>
      <c r="C647" s="2464"/>
    </row>
    <row r="648" spans="1:3" s="775" customFormat="1" x14ac:dyDescent="0.25">
      <c r="A648" s="418"/>
      <c r="B648" s="2464"/>
      <c r="C648" s="2464"/>
    </row>
    <row r="649" spans="1:3" s="775" customFormat="1" x14ac:dyDescent="0.25">
      <c r="A649" s="418"/>
      <c r="B649" s="2464"/>
      <c r="C649" s="2464"/>
    </row>
    <row r="650" spans="1:3" s="775" customFormat="1" x14ac:dyDescent="0.25">
      <c r="A650" s="418"/>
      <c r="B650" s="2464"/>
      <c r="C650" s="2464"/>
    </row>
    <row r="651" spans="1:3" s="775" customFormat="1" x14ac:dyDescent="0.25">
      <c r="A651" s="418"/>
      <c r="B651" s="2464"/>
      <c r="C651" s="2464"/>
    </row>
    <row r="652" spans="1:3" s="775" customFormat="1" x14ac:dyDescent="0.25">
      <c r="A652" s="418"/>
      <c r="B652" s="2464"/>
      <c r="C652" s="2464"/>
    </row>
    <row r="653" spans="1:3" s="775" customFormat="1" x14ac:dyDescent="0.25">
      <c r="A653" s="418"/>
      <c r="B653" s="2464"/>
      <c r="C653" s="2464"/>
    </row>
    <row r="654" spans="1:3" s="775" customFormat="1" x14ac:dyDescent="0.25">
      <c r="A654" s="418"/>
      <c r="B654" s="2464"/>
      <c r="C654" s="2464"/>
    </row>
    <row r="655" spans="1:3" s="775" customFormat="1" x14ac:dyDescent="0.25">
      <c r="A655" s="418"/>
      <c r="B655" s="2464"/>
      <c r="C655" s="2464"/>
    </row>
    <row r="656" spans="1:3" s="775" customFormat="1" x14ac:dyDescent="0.25">
      <c r="A656" s="418"/>
      <c r="B656" s="2464"/>
      <c r="C656" s="2464"/>
    </row>
    <row r="657" spans="1:3" s="775" customFormat="1" x14ac:dyDescent="0.25">
      <c r="A657" s="418"/>
      <c r="B657" s="2464"/>
      <c r="C657" s="2464"/>
    </row>
    <row r="658" spans="1:3" s="775" customFormat="1" x14ac:dyDescent="0.25">
      <c r="A658" s="418"/>
      <c r="B658" s="2464"/>
      <c r="C658" s="2464"/>
    </row>
    <row r="659" spans="1:3" s="775" customFormat="1" x14ac:dyDescent="0.25">
      <c r="A659" s="418"/>
      <c r="B659" s="2464"/>
      <c r="C659" s="2464"/>
    </row>
    <row r="660" spans="1:3" s="775" customFormat="1" x14ac:dyDescent="0.25">
      <c r="A660" s="418"/>
      <c r="B660" s="2464"/>
      <c r="C660" s="2464"/>
    </row>
    <row r="661" spans="1:3" s="775" customFormat="1" x14ac:dyDescent="0.25">
      <c r="A661" s="418"/>
      <c r="B661" s="2464"/>
      <c r="C661" s="2464"/>
    </row>
    <row r="662" spans="1:3" s="775" customFormat="1" x14ac:dyDescent="0.25">
      <c r="A662" s="418"/>
      <c r="B662" s="2464"/>
      <c r="C662" s="2464"/>
    </row>
    <row r="663" spans="1:3" s="775" customFormat="1" x14ac:dyDescent="0.25">
      <c r="A663" s="418"/>
      <c r="B663" s="2464"/>
      <c r="C663" s="2464"/>
    </row>
    <row r="664" spans="1:3" s="775" customFormat="1" x14ac:dyDescent="0.25">
      <c r="A664" s="418"/>
      <c r="B664" s="2464"/>
      <c r="C664" s="2464"/>
    </row>
    <row r="665" spans="1:3" s="775" customFormat="1" x14ac:dyDescent="0.25">
      <c r="A665" s="418"/>
      <c r="B665" s="2464"/>
      <c r="C665" s="2464"/>
    </row>
    <row r="666" spans="1:3" s="775" customFormat="1" x14ac:dyDescent="0.25">
      <c r="A666" s="418"/>
      <c r="B666" s="2464"/>
      <c r="C666" s="2464"/>
    </row>
    <row r="667" spans="1:3" s="775" customFormat="1" x14ac:dyDescent="0.25">
      <c r="A667" s="418"/>
      <c r="B667" s="2464"/>
      <c r="C667" s="2464"/>
    </row>
    <row r="668" spans="1:3" s="775" customFormat="1" x14ac:dyDescent="0.25">
      <c r="A668" s="418"/>
      <c r="B668" s="2464"/>
      <c r="C668" s="2464"/>
    </row>
    <row r="669" spans="1:3" s="775" customFormat="1" x14ac:dyDescent="0.25">
      <c r="A669" s="418"/>
      <c r="B669" s="2464"/>
      <c r="C669" s="2464"/>
    </row>
    <row r="670" spans="1:3" s="775" customFormat="1" x14ac:dyDescent="0.25">
      <c r="A670" s="418"/>
      <c r="B670" s="2464"/>
      <c r="C670" s="2464"/>
    </row>
    <row r="671" spans="1:3" s="775" customFormat="1" x14ac:dyDescent="0.25">
      <c r="A671" s="418"/>
      <c r="B671" s="2464"/>
      <c r="C671" s="2464"/>
    </row>
    <row r="672" spans="1:3" s="775" customFormat="1" x14ac:dyDescent="0.25">
      <c r="A672" s="418"/>
      <c r="B672" s="2464"/>
      <c r="C672" s="2464"/>
    </row>
    <row r="673" spans="1:3" s="775" customFormat="1" x14ac:dyDescent="0.25">
      <c r="A673" s="418"/>
      <c r="B673" s="2464"/>
      <c r="C673" s="2464"/>
    </row>
    <row r="674" spans="1:3" s="775" customFormat="1" x14ac:dyDescent="0.25">
      <c r="A674" s="418"/>
      <c r="B674" s="2464"/>
      <c r="C674" s="2464"/>
    </row>
    <row r="675" spans="1:3" s="775" customFormat="1" x14ac:dyDescent="0.25">
      <c r="A675" s="418"/>
      <c r="B675" s="2464"/>
      <c r="C675" s="2464"/>
    </row>
    <row r="676" spans="1:3" s="775" customFormat="1" x14ac:dyDescent="0.25">
      <c r="A676" s="418"/>
      <c r="B676" s="2464"/>
      <c r="C676" s="2464"/>
    </row>
    <row r="677" spans="1:3" s="775" customFormat="1" x14ac:dyDescent="0.25">
      <c r="A677" s="418"/>
      <c r="B677" s="2464"/>
      <c r="C677" s="2464"/>
    </row>
    <row r="678" spans="1:3" s="775" customFormat="1" x14ac:dyDescent="0.25">
      <c r="A678" s="418"/>
      <c r="B678" s="2464"/>
      <c r="C678" s="2464"/>
    </row>
    <row r="679" spans="1:3" s="775" customFormat="1" x14ac:dyDescent="0.25">
      <c r="A679" s="418"/>
      <c r="B679" s="2464"/>
      <c r="C679" s="2464"/>
    </row>
    <row r="680" spans="1:3" s="775" customFormat="1" x14ac:dyDescent="0.25">
      <c r="A680" s="418"/>
      <c r="B680" s="2464"/>
      <c r="C680" s="2464"/>
    </row>
    <row r="681" spans="1:3" s="775" customFormat="1" x14ac:dyDescent="0.25">
      <c r="A681" s="418"/>
      <c r="B681" s="2464"/>
      <c r="C681" s="2464"/>
    </row>
    <row r="682" spans="1:3" s="775" customFormat="1" x14ac:dyDescent="0.25">
      <c r="A682" s="418"/>
      <c r="B682" s="2464"/>
      <c r="C682" s="2464"/>
    </row>
    <row r="683" spans="1:3" s="775" customFormat="1" x14ac:dyDescent="0.25">
      <c r="A683" s="418"/>
      <c r="B683" s="2464"/>
      <c r="C683" s="2464"/>
    </row>
    <row r="684" spans="1:3" s="775" customFormat="1" x14ac:dyDescent="0.25">
      <c r="A684" s="418"/>
      <c r="B684" s="2464"/>
      <c r="C684" s="2464"/>
    </row>
    <row r="685" spans="1:3" s="775" customFormat="1" x14ac:dyDescent="0.25">
      <c r="A685" s="418"/>
      <c r="B685" s="2464"/>
      <c r="C685" s="2464"/>
    </row>
    <row r="686" spans="1:3" s="775" customFormat="1" x14ac:dyDescent="0.25">
      <c r="A686" s="418"/>
      <c r="B686" s="2464"/>
      <c r="C686" s="2464"/>
    </row>
    <row r="687" spans="1:3" s="775" customFormat="1" x14ac:dyDescent="0.25">
      <c r="A687" s="418"/>
      <c r="B687" s="2464"/>
      <c r="C687" s="2464"/>
    </row>
    <row r="688" spans="1:3" s="775" customFormat="1" x14ac:dyDescent="0.25">
      <c r="A688" s="418"/>
      <c r="B688" s="2464"/>
      <c r="C688" s="2464"/>
    </row>
    <row r="689" spans="1:3" s="775" customFormat="1" x14ac:dyDescent="0.25">
      <c r="A689" s="418"/>
      <c r="B689" s="2464"/>
      <c r="C689" s="2464"/>
    </row>
    <row r="690" spans="1:3" s="775" customFormat="1" x14ac:dyDescent="0.25">
      <c r="A690" s="418"/>
      <c r="B690" s="2464"/>
      <c r="C690" s="2464"/>
    </row>
    <row r="691" spans="1:3" s="775" customFormat="1" x14ac:dyDescent="0.25">
      <c r="A691" s="418"/>
      <c r="B691" s="2464"/>
      <c r="C691" s="2464"/>
    </row>
    <row r="692" spans="1:3" s="775" customFormat="1" x14ac:dyDescent="0.25">
      <c r="A692" s="418"/>
      <c r="B692" s="2464"/>
      <c r="C692" s="2464"/>
    </row>
    <row r="693" spans="1:3" s="775" customFormat="1" x14ac:dyDescent="0.25">
      <c r="A693" s="418"/>
      <c r="B693" s="2464"/>
      <c r="C693" s="2464"/>
    </row>
    <row r="694" spans="1:3" s="775" customFormat="1" x14ac:dyDescent="0.25">
      <c r="A694" s="418"/>
      <c r="B694" s="2464"/>
      <c r="C694" s="2464"/>
    </row>
    <row r="695" spans="1:3" s="775" customFormat="1" x14ac:dyDescent="0.25">
      <c r="A695" s="418"/>
      <c r="B695" s="2464"/>
      <c r="C695" s="2464"/>
    </row>
    <row r="696" spans="1:3" s="775" customFormat="1" x14ac:dyDescent="0.25">
      <c r="A696" s="418"/>
      <c r="B696" s="2464"/>
      <c r="C696" s="2464"/>
    </row>
    <row r="697" spans="1:3" s="775" customFormat="1" x14ac:dyDescent="0.25">
      <c r="A697" s="418"/>
      <c r="B697" s="2464"/>
      <c r="C697" s="2464"/>
    </row>
    <row r="698" spans="1:3" s="775" customFormat="1" x14ac:dyDescent="0.25">
      <c r="A698" s="418"/>
      <c r="B698" s="2464"/>
      <c r="C698" s="2464"/>
    </row>
    <row r="699" spans="1:3" s="775" customFormat="1" x14ac:dyDescent="0.25">
      <c r="A699" s="418"/>
      <c r="B699" s="2464"/>
      <c r="C699" s="2464"/>
    </row>
    <row r="700" spans="1:3" s="775" customFormat="1" x14ac:dyDescent="0.25">
      <c r="A700" s="418"/>
      <c r="B700" s="2464"/>
      <c r="C700" s="2464"/>
    </row>
    <row r="701" spans="1:3" s="775" customFormat="1" x14ac:dyDescent="0.25">
      <c r="A701" s="418"/>
      <c r="B701" s="2464"/>
      <c r="C701" s="2464"/>
    </row>
    <row r="702" spans="1:3" s="775" customFormat="1" x14ac:dyDescent="0.25">
      <c r="A702" s="418"/>
      <c r="B702" s="2464"/>
      <c r="C702" s="2464"/>
    </row>
    <row r="703" spans="1:3" s="775" customFormat="1" x14ac:dyDescent="0.25">
      <c r="A703" s="418"/>
      <c r="B703" s="2464"/>
      <c r="C703" s="2464"/>
    </row>
    <row r="704" spans="1:3" s="775" customFormat="1" x14ac:dyDescent="0.25">
      <c r="A704" s="418"/>
      <c r="B704" s="2464"/>
      <c r="C704" s="2464"/>
    </row>
    <row r="705" spans="1:3" s="775" customFormat="1" x14ac:dyDescent="0.25">
      <c r="A705" s="418"/>
      <c r="B705" s="2464"/>
      <c r="C705" s="2464"/>
    </row>
    <row r="706" spans="1:3" s="775" customFormat="1" x14ac:dyDescent="0.25">
      <c r="A706" s="418"/>
      <c r="B706" s="2464"/>
      <c r="C706" s="2464"/>
    </row>
    <row r="707" spans="1:3" s="775" customFormat="1" x14ac:dyDescent="0.25">
      <c r="A707" s="418"/>
      <c r="B707" s="2464"/>
      <c r="C707" s="2464"/>
    </row>
    <row r="708" spans="1:3" s="775" customFormat="1" x14ac:dyDescent="0.25">
      <c r="A708" s="418"/>
      <c r="B708" s="2464"/>
      <c r="C708" s="2464"/>
    </row>
    <row r="709" spans="1:3" s="775" customFormat="1" x14ac:dyDescent="0.25">
      <c r="A709" s="418"/>
      <c r="B709" s="2464"/>
      <c r="C709" s="2464"/>
    </row>
    <row r="710" spans="1:3" s="775" customFormat="1" x14ac:dyDescent="0.25">
      <c r="A710" s="418"/>
      <c r="B710" s="2464"/>
      <c r="C710" s="2464"/>
    </row>
    <row r="711" spans="1:3" s="775" customFormat="1" x14ac:dyDescent="0.25">
      <c r="A711" s="418"/>
      <c r="B711" s="2464"/>
      <c r="C711" s="2464"/>
    </row>
    <row r="712" spans="1:3" s="775" customFormat="1" x14ac:dyDescent="0.25">
      <c r="A712" s="418"/>
      <c r="B712" s="2464"/>
      <c r="C712" s="2464"/>
    </row>
    <row r="713" spans="1:3" s="775" customFormat="1" x14ac:dyDescent="0.25">
      <c r="A713" s="418"/>
      <c r="B713" s="2464"/>
      <c r="C713" s="2464"/>
    </row>
    <row r="714" spans="1:3" s="775" customFormat="1" x14ac:dyDescent="0.25">
      <c r="A714" s="418"/>
      <c r="B714" s="2464"/>
      <c r="C714" s="2464"/>
    </row>
    <row r="715" spans="1:3" s="775" customFormat="1" x14ac:dyDescent="0.25">
      <c r="A715" s="418"/>
      <c r="B715" s="2464"/>
      <c r="C715" s="2464"/>
    </row>
    <row r="716" spans="1:3" s="775" customFormat="1" x14ac:dyDescent="0.25">
      <c r="A716" s="418"/>
      <c r="B716" s="2464"/>
      <c r="C716" s="2464"/>
    </row>
    <row r="717" spans="1:3" s="775" customFormat="1" x14ac:dyDescent="0.25">
      <c r="A717" s="418"/>
      <c r="B717" s="2464"/>
      <c r="C717" s="2464"/>
    </row>
    <row r="718" spans="1:3" s="775" customFormat="1" x14ac:dyDescent="0.25">
      <c r="A718" s="418"/>
      <c r="B718" s="2464"/>
      <c r="C718" s="2464"/>
    </row>
    <row r="719" spans="1:3" s="775" customFormat="1" x14ac:dyDescent="0.25">
      <c r="A719" s="418"/>
      <c r="B719" s="2464"/>
      <c r="C719" s="2464"/>
    </row>
    <row r="720" spans="1:3" s="775" customFormat="1" x14ac:dyDescent="0.25">
      <c r="A720" s="418"/>
      <c r="B720" s="2464"/>
      <c r="C720" s="2464"/>
    </row>
    <row r="721" spans="1:3" s="775" customFormat="1" x14ac:dyDescent="0.25">
      <c r="A721" s="418"/>
      <c r="B721" s="2464"/>
      <c r="C721" s="2464"/>
    </row>
    <row r="722" spans="1:3" s="775" customFormat="1" x14ac:dyDescent="0.25">
      <c r="A722" s="418"/>
      <c r="B722" s="2464"/>
      <c r="C722" s="2464"/>
    </row>
    <row r="723" spans="1:3" s="775" customFormat="1" x14ac:dyDescent="0.25">
      <c r="A723" s="418"/>
      <c r="B723" s="2464"/>
      <c r="C723" s="2464"/>
    </row>
    <row r="724" spans="1:3" s="775" customFormat="1" x14ac:dyDescent="0.25">
      <c r="A724" s="418"/>
      <c r="B724" s="2464"/>
      <c r="C724" s="2464"/>
    </row>
    <row r="725" spans="1:3" s="775" customFormat="1" x14ac:dyDescent="0.25">
      <c r="A725" s="418"/>
      <c r="B725" s="2464"/>
      <c r="C725" s="2464"/>
    </row>
    <row r="726" spans="1:3" s="775" customFormat="1" x14ac:dyDescent="0.25">
      <c r="A726" s="418"/>
      <c r="B726" s="2464"/>
      <c r="C726" s="2464"/>
    </row>
    <row r="727" spans="1:3" s="775" customFormat="1" x14ac:dyDescent="0.25">
      <c r="A727" s="418"/>
      <c r="B727" s="2464"/>
      <c r="C727" s="2464"/>
    </row>
    <row r="728" spans="1:3" s="775" customFormat="1" x14ac:dyDescent="0.25">
      <c r="A728" s="418"/>
      <c r="B728" s="2464"/>
      <c r="C728" s="2464"/>
    </row>
    <row r="729" spans="1:3" s="775" customFormat="1" x14ac:dyDescent="0.25">
      <c r="A729" s="418"/>
      <c r="B729" s="2464"/>
      <c r="C729" s="2464"/>
    </row>
    <row r="730" spans="1:3" s="775" customFormat="1" x14ac:dyDescent="0.25">
      <c r="A730" s="418"/>
      <c r="B730" s="2464"/>
      <c r="C730" s="2464"/>
    </row>
    <row r="731" spans="1:3" s="775" customFormat="1" x14ac:dyDescent="0.25">
      <c r="A731" s="418"/>
      <c r="B731" s="2464"/>
      <c r="C731" s="2464"/>
    </row>
    <row r="732" spans="1:3" s="775" customFormat="1" x14ac:dyDescent="0.25">
      <c r="A732" s="418"/>
      <c r="B732" s="2464"/>
      <c r="C732" s="2464"/>
    </row>
    <row r="733" spans="1:3" s="775" customFormat="1" x14ac:dyDescent="0.25">
      <c r="A733" s="418"/>
      <c r="B733" s="2464"/>
      <c r="C733" s="2464"/>
    </row>
    <row r="734" spans="1:3" s="775" customFormat="1" x14ac:dyDescent="0.25">
      <c r="A734" s="418"/>
      <c r="B734" s="2464"/>
      <c r="C734" s="2464"/>
    </row>
    <row r="735" spans="1:3" s="775" customFormat="1" x14ac:dyDescent="0.25">
      <c r="A735" s="418"/>
      <c r="B735" s="2464"/>
      <c r="C735" s="2464"/>
    </row>
  </sheetData>
  <mergeCells count="20">
    <mergeCell ref="D2:BB2"/>
    <mergeCell ref="D3:BB3"/>
    <mergeCell ref="D4:BB4"/>
    <mergeCell ref="D47:BB47"/>
    <mergeCell ref="D48:BB48"/>
    <mergeCell ref="R58:V58"/>
    <mergeCell ref="W58:X58"/>
    <mergeCell ref="Y58:Z58"/>
    <mergeCell ref="AA58:AB58"/>
    <mergeCell ref="E58:F58"/>
    <mergeCell ref="G58:H58"/>
    <mergeCell ref="I58:J58"/>
    <mergeCell ref="K58:L58"/>
    <mergeCell ref="M58:N58"/>
    <mergeCell ref="O58:P58"/>
    <mergeCell ref="D50:BB50"/>
    <mergeCell ref="D51:BB51"/>
    <mergeCell ref="D52:BB52"/>
    <mergeCell ref="D53:BB53"/>
    <mergeCell ref="D49:BB49"/>
  </mergeCells>
  <pageMargins left="0.74803149606299213" right="0.74803149606299213" top="0.98425196850393704" bottom="0.98425196850393704" header="0.51181102362204722" footer="0.51181102362204722"/>
  <pageSetup paperSize="9" scale="2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K50"/>
  <sheetViews>
    <sheetView showGridLines="0" view="pageBreakPreview" topLeftCell="S1" zoomScaleNormal="100" zoomScaleSheetLayoutView="100" workbookViewId="0">
      <selection activeCell="X24" sqref="X24:X30"/>
    </sheetView>
  </sheetViews>
  <sheetFormatPr defaultColWidth="9.140625" defaultRowHeight="12" x14ac:dyDescent="0.2"/>
  <cols>
    <col min="1" max="1" width="2.28515625" style="2413" customWidth="1"/>
    <col min="2" max="2" width="12.5703125" style="863" customWidth="1"/>
    <col min="3" max="3" width="3.7109375" style="863" customWidth="1"/>
    <col min="4" max="4" width="31.7109375" style="863" customWidth="1"/>
    <col min="5" max="16384" width="9.140625" style="863"/>
  </cols>
  <sheetData>
    <row r="1" spans="1:37" s="2411" customFormat="1" ht="15" x14ac:dyDescent="0.25">
      <c r="A1" s="2410"/>
    </row>
    <row r="2" spans="1:37" s="2411" customFormat="1" ht="15" customHeight="1" x14ac:dyDescent="0.2">
      <c r="A2" s="2412">
        <v>1</v>
      </c>
      <c r="B2" s="2412" t="s">
        <v>24</v>
      </c>
      <c r="C2" s="2412">
        <f>1+[10]Grants!C2</f>
        <v>27</v>
      </c>
      <c r="D2" s="3739" t="s">
        <v>694</v>
      </c>
      <c r="E2" s="3740"/>
      <c r="F2" s="3740"/>
      <c r="G2" s="3740"/>
      <c r="H2" s="3740"/>
      <c r="I2" s="3740"/>
      <c r="J2" s="3740"/>
      <c r="K2" s="3740"/>
      <c r="L2" s="3740"/>
      <c r="M2" s="3740"/>
      <c r="N2" s="3740"/>
      <c r="O2" s="3740"/>
      <c r="P2" s="3740"/>
      <c r="Q2" s="3740"/>
      <c r="R2" s="3740"/>
      <c r="S2" s="3740"/>
      <c r="T2" s="3740"/>
      <c r="U2" s="3740"/>
      <c r="V2" s="3740"/>
      <c r="W2" s="3740"/>
      <c r="X2" s="3740"/>
      <c r="Y2" s="3740"/>
      <c r="Z2" s="3740"/>
      <c r="AA2" s="3740"/>
      <c r="AB2" s="3740"/>
      <c r="AC2" s="3740"/>
      <c r="AD2" s="3740"/>
      <c r="AE2" s="3740"/>
      <c r="AF2" s="3740"/>
      <c r="AG2" s="3740"/>
      <c r="AH2" s="3740"/>
      <c r="AI2" s="3740"/>
      <c r="AJ2" s="3740"/>
      <c r="AK2" s="3741"/>
    </row>
    <row r="3" spans="1:37" s="2411" customFormat="1" ht="15" customHeight="1" x14ac:dyDescent="0.2">
      <c r="A3" s="2412">
        <v>2</v>
      </c>
      <c r="B3" s="2412" t="s">
        <v>26</v>
      </c>
      <c r="C3" s="2412"/>
      <c r="D3" s="3749" t="s">
        <v>693</v>
      </c>
      <c r="E3" s="3750"/>
      <c r="F3" s="3750"/>
      <c r="G3" s="3750"/>
      <c r="H3" s="3750"/>
      <c r="I3" s="3750"/>
      <c r="J3" s="3750"/>
      <c r="K3" s="3750"/>
      <c r="L3" s="3750"/>
      <c r="M3" s="3750"/>
      <c r="N3" s="3750"/>
      <c r="O3" s="3750"/>
      <c r="P3" s="3750"/>
      <c r="Q3" s="3750"/>
      <c r="R3" s="3750"/>
      <c r="S3" s="3750"/>
      <c r="T3" s="3750"/>
      <c r="U3" s="3750"/>
      <c r="V3" s="3750"/>
      <c r="W3" s="3750"/>
      <c r="X3" s="3750"/>
      <c r="Y3" s="3750"/>
      <c r="Z3" s="3750"/>
      <c r="AA3" s="3750"/>
      <c r="AB3" s="3750"/>
      <c r="AC3" s="3750"/>
      <c r="AD3" s="3750"/>
      <c r="AE3" s="3750"/>
      <c r="AF3" s="3750"/>
      <c r="AG3" s="3750"/>
      <c r="AH3" s="3750"/>
      <c r="AI3" s="3750"/>
      <c r="AJ3" s="3750"/>
      <c r="AK3" s="3751"/>
    </row>
    <row r="4" spans="1:37" s="2411" customFormat="1" ht="14.25" customHeight="1" x14ac:dyDescent="0.2">
      <c r="A4" s="2412">
        <v>3</v>
      </c>
      <c r="B4" s="2412" t="s">
        <v>28</v>
      </c>
      <c r="C4" s="2412"/>
      <c r="D4" s="3749" t="s">
        <v>692</v>
      </c>
      <c r="E4" s="3750"/>
      <c r="F4" s="3750"/>
      <c r="G4" s="3750"/>
      <c r="H4" s="3750"/>
      <c r="I4" s="3750"/>
      <c r="J4" s="3750"/>
      <c r="K4" s="3750"/>
      <c r="L4" s="3750"/>
      <c r="M4" s="3750"/>
      <c r="N4" s="3750"/>
      <c r="O4" s="3750"/>
      <c r="P4" s="3750"/>
      <c r="Q4" s="3750"/>
      <c r="R4" s="3750"/>
      <c r="S4" s="3750"/>
      <c r="T4" s="3750"/>
      <c r="U4" s="3750"/>
      <c r="V4" s="3750"/>
      <c r="W4" s="3750"/>
      <c r="X4" s="3750"/>
      <c r="Y4" s="3750"/>
      <c r="Z4" s="3750"/>
      <c r="AA4" s="3750"/>
      <c r="AB4" s="3750"/>
      <c r="AC4" s="3750"/>
      <c r="AD4" s="3750"/>
      <c r="AE4" s="3750"/>
      <c r="AF4" s="3750"/>
      <c r="AG4" s="3750"/>
      <c r="AH4" s="3750"/>
      <c r="AI4" s="3750"/>
      <c r="AJ4" s="3750"/>
      <c r="AK4" s="3751"/>
    </row>
    <row r="5" spans="1:37" ht="12.75" x14ac:dyDescent="0.2">
      <c r="C5" s="864"/>
    </row>
    <row r="6" spans="1:37" s="560" customFormat="1" ht="12.75" x14ac:dyDescent="0.2">
      <c r="A6" s="2412">
        <v>4</v>
      </c>
      <c r="B6" s="864" t="s">
        <v>1</v>
      </c>
      <c r="D6" s="2414" t="s">
        <v>31</v>
      </c>
      <c r="E6" s="2415" t="s">
        <v>691</v>
      </c>
      <c r="F6" s="2415"/>
      <c r="G6" s="2415"/>
      <c r="H6" s="2415"/>
      <c r="I6" s="1623"/>
      <c r="J6" s="1623"/>
      <c r="K6" s="1623"/>
      <c r="L6" s="2415"/>
      <c r="M6" s="2415"/>
      <c r="N6" s="2415"/>
      <c r="O6" s="2415"/>
      <c r="P6" s="861"/>
      <c r="Q6" s="861"/>
      <c r="R6" s="861"/>
      <c r="S6" s="861"/>
      <c r="T6" s="861"/>
      <c r="U6" s="861"/>
      <c r="V6" s="861"/>
      <c r="W6" s="861"/>
    </row>
    <row r="7" spans="1:37" s="560" customFormat="1" ht="11.25" x14ac:dyDescent="0.2">
      <c r="A7" s="2416"/>
      <c r="D7" s="3304"/>
      <c r="E7" s="862" t="s">
        <v>690</v>
      </c>
      <c r="F7" s="862"/>
      <c r="G7" s="862"/>
      <c r="H7" s="862"/>
      <c r="I7" s="862"/>
      <c r="J7" s="862" t="s">
        <v>689</v>
      </c>
      <c r="K7" s="862"/>
      <c r="L7" s="862"/>
      <c r="M7" s="862"/>
      <c r="N7" s="862"/>
      <c r="O7" s="862"/>
      <c r="P7" s="862"/>
      <c r="Q7" s="862" t="s">
        <v>688</v>
      </c>
      <c r="R7" s="862"/>
      <c r="S7" s="862" t="s">
        <v>687</v>
      </c>
      <c r="T7" s="862"/>
      <c r="U7" s="862"/>
      <c r="V7" s="862"/>
      <c r="W7" s="2912"/>
      <c r="X7" s="861"/>
      <c r="Y7" s="1505"/>
    </row>
    <row r="8" spans="1:37" s="560" customFormat="1" ht="11.25" x14ac:dyDescent="0.2">
      <c r="A8" s="2416"/>
      <c r="D8" s="2985" t="s">
        <v>10</v>
      </c>
      <c r="E8" s="2417">
        <v>1194349</v>
      </c>
      <c r="F8" s="2417"/>
      <c r="G8" s="2417"/>
      <c r="H8" s="2417"/>
      <c r="I8" s="2417"/>
      <c r="J8" s="2417">
        <v>1082044</v>
      </c>
      <c r="K8" s="2417"/>
      <c r="L8" s="2417"/>
      <c r="M8" s="2417"/>
      <c r="N8" s="2417"/>
      <c r="O8" s="2417"/>
      <c r="P8" s="2417">
        <v>1000558</v>
      </c>
      <c r="Q8" s="2417"/>
      <c r="R8" s="2417"/>
      <c r="S8" s="2417"/>
      <c r="T8" s="2417"/>
      <c r="U8" s="2417"/>
      <c r="V8" s="2417"/>
      <c r="W8" s="3335"/>
      <c r="X8" s="2417"/>
      <c r="Y8" s="861"/>
    </row>
    <row r="9" spans="1:37" s="560" customFormat="1" ht="11.25" x14ac:dyDescent="0.2">
      <c r="A9" s="2416"/>
      <c r="D9" s="2985" t="s">
        <v>11</v>
      </c>
      <c r="E9" s="2417">
        <v>1463364</v>
      </c>
      <c r="F9" s="2417"/>
      <c r="G9" s="2417"/>
      <c r="H9" s="2417"/>
      <c r="I9" s="2417"/>
      <c r="J9" s="2417">
        <v>1173938</v>
      </c>
      <c r="K9" s="2417"/>
      <c r="L9" s="2417"/>
      <c r="M9" s="2417"/>
      <c r="N9" s="2417"/>
      <c r="O9" s="2417"/>
      <c r="P9" s="2417">
        <v>915661</v>
      </c>
      <c r="Q9" s="2417"/>
      <c r="R9" s="2417"/>
      <c r="S9" s="2417"/>
      <c r="T9" s="2417"/>
      <c r="U9" s="2417"/>
      <c r="V9" s="2417"/>
      <c r="W9" s="3335"/>
      <c r="X9" s="2417"/>
      <c r="Y9" s="861"/>
    </row>
    <row r="10" spans="1:37" x14ac:dyDescent="0.2">
      <c r="D10" s="3305" t="s">
        <v>9</v>
      </c>
      <c r="E10" s="2418">
        <v>2657714</v>
      </c>
      <c r="F10" s="2418"/>
      <c r="G10" s="2418"/>
      <c r="H10" s="2418"/>
      <c r="I10" s="2418"/>
      <c r="J10" s="2418">
        <v>2255982</v>
      </c>
      <c r="K10" s="2418"/>
      <c r="L10" s="2418"/>
      <c r="M10" s="2418"/>
      <c r="N10" s="2418"/>
      <c r="O10" s="2418"/>
      <c r="P10" s="2418">
        <v>1916219</v>
      </c>
      <c r="Q10" s="2418"/>
      <c r="R10" s="2418"/>
      <c r="S10" s="2418">
        <f>+'[16]Demographic trends'!N41*3.4%</f>
        <v>1760199.074</v>
      </c>
      <c r="T10" s="2418"/>
      <c r="U10" s="2418"/>
      <c r="V10" s="2418"/>
      <c r="W10" s="3336"/>
      <c r="X10" s="2418"/>
      <c r="Y10" s="837"/>
    </row>
    <row r="11" spans="1:37" x14ac:dyDescent="0.2">
      <c r="D11" s="2986" t="s">
        <v>686</v>
      </c>
      <c r="E11" s="2419">
        <v>6.5</v>
      </c>
      <c r="F11" s="2420"/>
      <c r="G11" s="2420"/>
      <c r="H11" s="2420"/>
      <c r="I11" s="2420"/>
      <c r="J11" s="2421">
        <v>5</v>
      </c>
      <c r="K11" s="2420"/>
      <c r="L11" s="2420"/>
      <c r="M11" s="2420"/>
      <c r="N11" s="2420"/>
      <c r="O11" s="2420"/>
      <c r="P11" s="2421">
        <v>4</v>
      </c>
      <c r="Q11" s="2420"/>
      <c r="R11" s="2420"/>
      <c r="S11" s="2419">
        <f>100-96.6</f>
        <v>3.4000000000000057</v>
      </c>
      <c r="T11" s="2419"/>
      <c r="U11" s="2419"/>
      <c r="V11" s="2419"/>
      <c r="W11" s="3337"/>
      <c r="X11" s="2422"/>
      <c r="Y11" s="837"/>
    </row>
    <row r="12" spans="1:37" x14ac:dyDescent="0.2">
      <c r="D12" s="1624"/>
      <c r="E12" s="2417"/>
      <c r="F12" s="2417"/>
      <c r="G12" s="2417"/>
      <c r="H12" s="2417"/>
      <c r="I12" s="2417"/>
      <c r="J12" s="2417"/>
      <c r="K12" s="2417"/>
      <c r="L12" s="2417"/>
      <c r="M12" s="2417"/>
      <c r="N12" s="2417"/>
      <c r="O12" s="2417"/>
      <c r="P12" s="2417"/>
      <c r="Q12" s="2417"/>
      <c r="R12" s="2417"/>
      <c r="S12" s="837"/>
      <c r="T12" s="837"/>
      <c r="U12" s="837"/>
      <c r="V12" s="837"/>
      <c r="W12" s="837"/>
    </row>
    <row r="13" spans="1:37" x14ac:dyDescent="0.2">
      <c r="D13" s="2423"/>
      <c r="E13" s="2417"/>
      <c r="F13" s="2417"/>
      <c r="G13" s="2417"/>
      <c r="H13" s="2417"/>
      <c r="I13" s="2417"/>
      <c r="J13" s="2417"/>
      <c r="K13" s="2417"/>
      <c r="L13" s="2417"/>
      <c r="M13" s="2417"/>
      <c r="N13" s="2417"/>
      <c r="O13" s="2417"/>
      <c r="P13" s="2417"/>
      <c r="Q13" s="2417"/>
      <c r="R13" s="2417"/>
      <c r="S13" s="837"/>
      <c r="T13" s="837"/>
      <c r="U13" s="837"/>
      <c r="V13" s="837"/>
      <c r="W13" s="837"/>
    </row>
    <row r="14" spans="1:37" ht="12.75" x14ac:dyDescent="0.2">
      <c r="A14" s="2412"/>
      <c r="B14" s="2412"/>
      <c r="C14" s="2412"/>
      <c r="D14" s="2414" t="s">
        <v>55</v>
      </c>
      <c r="E14" s="2415" t="s">
        <v>685</v>
      </c>
      <c r="F14" s="2415"/>
      <c r="G14" s="2415"/>
      <c r="H14" s="2415"/>
      <c r="I14" s="837"/>
      <c r="J14" s="837"/>
      <c r="K14" s="837"/>
      <c r="L14" s="837"/>
      <c r="M14" s="837"/>
      <c r="N14" s="837"/>
      <c r="O14" s="837"/>
      <c r="P14" s="837"/>
      <c r="Q14" s="837"/>
      <c r="R14" s="837"/>
      <c r="S14" s="837"/>
      <c r="T14" s="837"/>
      <c r="U14" s="837"/>
      <c r="V14" s="837"/>
      <c r="W14" s="837"/>
    </row>
    <row r="15" spans="1:37" x14ac:dyDescent="0.2">
      <c r="D15" s="2984"/>
      <c r="E15" s="862" t="s">
        <v>684</v>
      </c>
      <c r="F15" s="862" t="s">
        <v>683</v>
      </c>
      <c r="G15" s="862" t="s">
        <v>682</v>
      </c>
      <c r="H15" s="862" t="s">
        <v>130</v>
      </c>
      <c r="I15" s="862" t="s">
        <v>131</v>
      </c>
      <c r="J15" s="862" t="s">
        <v>132</v>
      </c>
      <c r="K15" s="862" t="s">
        <v>133</v>
      </c>
      <c r="L15" s="862" t="s">
        <v>134</v>
      </c>
      <c r="M15" s="862" t="s">
        <v>135</v>
      </c>
      <c r="N15" s="862" t="s">
        <v>136</v>
      </c>
      <c r="O15" s="862" t="s">
        <v>137</v>
      </c>
      <c r="P15" s="862" t="s">
        <v>681</v>
      </c>
      <c r="Q15" s="862" t="s">
        <v>139</v>
      </c>
      <c r="R15" s="862" t="s">
        <v>140</v>
      </c>
      <c r="S15" s="862" t="s">
        <v>141</v>
      </c>
      <c r="T15" s="2424" t="s">
        <v>142</v>
      </c>
      <c r="U15" s="2424" t="s">
        <v>143</v>
      </c>
      <c r="V15" s="2424" t="s">
        <v>144</v>
      </c>
      <c r="W15" s="2424" t="s">
        <v>145</v>
      </c>
      <c r="X15" s="3338" t="s">
        <v>334</v>
      </c>
    </row>
    <row r="16" spans="1:37" x14ac:dyDescent="0.2">
      <c r="D16" s="2249" t="s">
        <v>680</v>
      </c>
      <c r="E16" s="860">
        <v>3487</v>
      </c>
      <c r="F16" s="860">
        <v>8172</v>
      </c>
      <c r="G16" s="860">
        <v>16835</v>
      </c>
      <c r="H16" s="860">
        <v>22789</v>
      </c>
      <c r="I16" s="860">
        <v>33574</v>
      </c>
      <c r="J16" s="860">
        <v>34978</v>
      </c>
      <c r="K16" s="860">
        <v>42355</v>
      </c>
      <c r="L16" s="860">
        <v>76494</v>
      </c>
      <c r="M16" s="860">
        <v>86917</v>
      </c>
      <c r="N16" s="860">
        <v>90112</v>
      </c>
      <c r="O16" s="860">
        <v>98631</v>
      </c>
      <c r="P16" s="860">
        <v>102292</v>
      </c>
      <c r="Q16" s="860">
        <v>107065</v>
      </c>
      <c r="R16" s="860">
        <v>110731</v>
      </c>
      <c r="S16" s="860">
        <v>112185</v>
      </c>
      <c r="T16" s="859">
        <v>114993</v>
      </c>
      <c r="U16" s="860">
        <v>120268</v>
      </c>
      <c r="V16" s="859">
        <v>120632</v>
      </c>
      <c r="W16" s="560">
        <v>126777</v>
      </c>
      <c r="X16" s="2802">
        <v>131040</v>
      </c>
    </row>
    <row r="17" spans="1:24" x14ac:dyDescent="0.2">
      <c r="D17" s="3306" t="s">
        <v>679</v>
      </c>
      <c r="E17" s="858">
        <v>711629</v>
      </c>
      <c r="F17" s="858">
        <v>660528</v>
      </c>
      <c r="G17" s="858">
        <v>633778</v>
      </c>
      <c r="H17" s="858">
        <v>607537</v>
      </c>
      <c r="I17" s="858">
        <v>655822</v>
      </c>
      <c r="J17" s="858">
        <v>694232</v>
      </c>
      <c r="K17" s="858">
        <v>840424</v>
      </c>
      <c r="L17" s="858">
        <v>1228231</v>
      </c>
      <c r="M17" s="858">
        <v>1293280</v>
      </c>
      <c r="N17" s="858">
        <v>1315143</v>
      </c>
      <c r="O17" s="858">
        <v>1422808</v>
      </c>
      <c r="P17" s="858">
        <v>1408456</v>
      </c>
      <c r="Q17" s="858">
        <v>1286883</v>
      </c>
      <c r="R17" s="858">
        <v>1264477</v>
      </c>
      <c r="S17" s="858">
        <v>1200898</v>
      </c>
      <c r="T17" s="857">
        <v>1198131</v>
      </c>
      <c r="U17" s="858">
        <v>1164192</v>
      </c>
      <c r="V17" s="857">
        <v>1120419</v>
      </c>
      <c r="W17" s="1589">
        <v>1112663</v>
      </c>
      <c r="X17" s="3339">
        <v>1085541</v>
      </c>
    </row>
    <row r="18" spans="1:24" x14ac:dyDescent="0.2">
      <c r="D18" s="3307" t="s">
        <v>678</v>
      </c>
      <c r="E18" s="858">
        <v>715116</v>
      </c>
      <c r="F18" s="858">
        <v>668700</v>
      </c>
      <c r="G18" s="858">
        <v>650613</v>
      </c>
      <c r="H18" s="858">
        <v>630326</v>
      </c>
      <c r="I18" s="858">
        <v>689396</v>
      </c>
      <c r="J18" s="858">
        <v>729210</v>
      </c>
      <c r="K18" s="858">
        <v>882779</v>
      </c>
      <c r="L18" s="858">
        <v>1304725</v>
      </c>
      <c r="M18" s="858">
        <v>1380197</v>
      </c>
      <c r="N18" s="858">
        <v>1405255</v>
      </c>
      <c r="O18" s="858">
        <v>1521439</v>
      </c>
      <c r="P18" s="858">
        <v>1510748</v>
      </c>
      <c r="Q18" s="858">
        <v>1393948</v>
      </c>
      <c r="R18" s="858">
        <v>1375208</v>
      </c>
      <c r="S18" s="858">
        <v>1313083</v>
      </c>
      <c r="T18" s="857">
        <v>1313124</v>
      </c>
      <c r="U18" s="858">
        <v>1284460</v>
      </c>
      <c r="V18" s="857">
        <v>1241051</v>
      </c>
      <c r="W18" s="1596">
        <v>1239440</v>
      </c>
      <c r="X18" s="3340">
        <v>1216581</v>
      </c>
    </row>
    <row r="19" spans="1:24" ht="22.5" x14ac:dyDescent="0.2">
      <c r="D19" s="3308" t="s">
        <v>677</v>
      </c>
      <c r="E19" s="856">
        <v>0.29688360148160325</v>
      </c>
      <c r="F19" s="856">
        <v>0.2762686585663115</v>
      </c>
      <c r="G19" s="856">
        <v>0.25604624639610107</v>
      </c>
      <c r="H19" s="856">
        <v>0.23456879712440862</v>
      </c>
      <c r="I19" s="856">
        <v>0.18266994312132651</v>
      </c>
      <c r="J19" s="856">
        <v>0.18308974011003815</v>
      </c>
      <c r="K19" s="856">
        <v>0.17967221456157043</v>
      </c>
      <c r="L19" s="856">
        <v>0.20145255518068389</v>
      </c>
      <c r="M19" s="856">
        <v>0.17539355937488998</v>
      </c>
      <c r="N19" s="856">
        <v>0.12836759928368349</v>
      </c>
      <c r="O19" s="856">
        <v>0.12696495851964021</v>
      </c>
      <c r="P19" s="856">
        <v>0.12196832718734328</v>
      </c>
      <c r="Q19" s="856">
        <v>0.10701188935694049</v>
      </c>
      <c r="R19" s="856">
        <v>9.8200187830331173E-2</v>
      </c>
      <c r="S19" s="856">
        <v>8.8260134368736948E-2</v>
      </c>
      <c r="T19" s="856">
        <v>8.455831500014295E-2</v>
      </c>
      <c r="U19" s="856">
        <v>8.0116559033521578E-2</v>
      </c>
      <c r="V19" s="856">
        <v>7.8302642608742506E-2</v>
      </c>
      <c r="W19" s="1590">
        <v>7.4983260288419118E-2</v>
      </c>
      <c r="X19" s="3341">
        <v>7.2184253927357042E-2</v>
      </c>
    </row>
    <row r="20" spans="1:24" x14ac:dyDescent="0.2">
      <c r="D20" s="3309" t="s">
        <v>676</v>
      </c>
      <c r="E20" s="855">
        <v>2408742</v>
      </c>
      <c r="F20" s="855">
        <v>2420470</v>
      </c>
      <c r="G20" s="855">
        <v>2540998</v>
      </c>
      <c r="H20" s="855">
        <v>2687169</v>
      </c>
      <c r="I20" s="855">
        <v>3773998</v>
      </c>
      <c r="J20" s="855">
        <v>3982801</v>
      </c>
      <c r="K20" s="855">
        <v>4913275</v>
      </c>
      <c r="L20" s="855">
        <v>6476587</v>
      </c>
      <c r="M20" s="855">
        <v>7869143</v>
      </c>
      <c r="N20" s="855">
        <v>10947116</v>
      </c>
      <c r="O20" s="855">
        <v>11983141</v>
      </c>
      <c r="P20" s="855">
        <v>12386396</v>
      </c>
      <c r="Q20" s="855">
        <v>13026104</v>
      </c>
      <c r="R20" s="855">
        <v>14004128</v>
      </c>
      <c r="S20" s="855">
        <v>14877419</v>
      </c>
      <c r="T20" s="855">
        <v>15529212</v>
      </c>
      <c r="U20" s="855">
        <v>16032391</v>
      </c>
      <c r="V20" s="855">
        <v>15849414</v>
      </c>
      <c r="W20" s="855">
        <v>16529556</v>
      </c>
      <c r="X20" s="3342">
        <v>16853828</v>
      </c>
    </row>
    <row r="21" spans="1:24" x14ac:dyDescent="0.2">
      <c r="D21" s="854"/>
      <c r="E21" s="853"/>
      <c r="F21" s="853"/>
      <c r="G21" s="853"/>
      <c r="H21" s="853"/>
      <c r="I21" s="853"/>
      <c r="J21" s="853"/>
      <c r="K21" s="853"/>
      <c r="L21" s="853"/>
      <c r="M21" s="853"/>
      <c r="N21" s="853"/>
      <c r="O21" s="853"/>
      <c r="P21" s="853"/>
      <c r="Q21" s="853"/>
      <c r="R21" s="853"/>
      <c r="S21" s="853"/>
      <c r="T21" s="853"/>
      <c r="U21" s="853"/>
      <c r="V21" s="853"/>
      <c r="W21" s="853"/>
    </row>
    <row r="22" spans="1:24" x14ac:dyDescent="0.2">
      <c r="D22" s="852"/>
      <c r="E22" s="2417"/>
      <c r="F22" s="2417"/>
      <c r="G22" s="2417"/>
      <c r="H22" s="2417"/>
      <c r="I22" s="2417"/>
      <c r="J22" s="2417"/>
      <c r="K22" s="2417"/>
      <c r="L22" s="2417"/>
      <c r="M22" s="2417"/>
      <c r="N22" s="2417"/>
      <c r="O22" s="2417"/>
      <c r="P22" s="2417"/>
      <c r="Q22" s="2417"/>
      <c r="R22" s="2417"/>
      <c r="S22" s="2417"/>
      <c r="T22" s="2417"/>
      <c r="U22" s="2417"/>
      <c r="V22" s="2417"/>
    </row>
    <row r="23" spans="1:24" ht="12.75" customHeight="1" x14ac:dyDescent="0.25">
      <c r="D23" s="3310" t="s">
        <v>262</v>
      </c>
      <c r="E23" s="2425" t="s">
        <v>675</v>
      </c>
      <c r="F23" s="2425"/>
      <c r="G23" s="2425"/>
      <c r="H23" s="2425"/>
      <c r="I23" s="2426"/>
      <c r="J23" s="2426"/>
      <c r="K23" s="2426"/>
      <c r="L23" s="2427"/>
      <c r="M23" s="2427"/>
      <c r="N23" s="2427"/>
      <c r="O23" s="2427"/>
      <c r="P23" s="842"/>
      <c r="Q23" s="2427"/>
      <c r="R23" s="2427"/>
      <c r="S23" s="2427"/>
      <c r="T23" s="2427"/>
      <c r="U23" s="2427"/>
      <c r="V23" s="2427"/>
      <c r="W23" s="1591">
        <v>155</v>
      </c>
      <c r="X23" s="1592">
        <v>290</v>
      </c>
    </row>
    <row r="24" spans="1:24" x14ac:dyDescent="0.2">
      <c r="D24" s="3304" t="s">
        <v>674</v>
      </c>
      <c r="E24" s="862"/>
      <c r="F24" s="862"/>
      <c r="G24" s="862"/>
      <c r="H24" s="862"/>
      <c r="I24" s="862"/>
      <c r="J24" s="862"/>
      <c r="K24" s="862">
        <v>2002</v>
      </c>
      <c r="L24" s="862">
        <v>2003</v>
      </c>
      <c r="M24" s="862">
        <v>2004</v>
      </c>
      <c r="N24" s="862">
        <v>2005</v>
      </c>
      <c r="O24" s="862">
        <v>2006</v>
      </c>
      <c r="P24" s="862">
        <v>2007</v>
      </c>
      <c r="Q24" s="862">
        <v>2008</v>
      </c>
      <c r="R24" s="862">
        <v>2009</v>
      </c>
      <c r="S24" s="862">
        <v>2010</v>
      </c>
      <c r="T24" s="862">
        <v>2011</v>
      </c>
      <c r="U24" s="862">
        <v>2012</v>
      </c>
      <c r="V24" s="862">
        <v>2013</v>
      </c>
      <c r="W24" s="862">
        <v>2014</v>
      </c>
      <c r="X24" s="2912">
        <v>2015</v>
      </c>
    </row>
    <row r="25" spans="1:24" x14ac:dyDescent="0.2">
      <c r="D25" s="3311" t="s">
        <v>673</v>
      </c>
      <c r="E25" s="2428"/>
      <c r="F25" s="2428"/>
      <c r="G25" s="2428"/>
      <c r="H25" s="2428"/>
      <c r="I25" s="860"/>
      <c r="J25" s="860"/>
      <c r="K25" s="860">
        <v>562</v>
      </c>
      <c r="L25" s="860">
        <v>519</v>
      </c>
      <c r="M25" s="860">
        <v>777</v>
      </c>
      <c r="N25" s="860">
        <v>754</v>
      </c>
      <c r="O25" s="860">
        <v>692</v>
      </c>
      <c r="P25" s="860">
        <v>727</v>
      </c>
      <c r="Q25" s="860">
        <v>804</v>
      </c>
      <c r="R25" s="860">
        <v>872</v>
      </c>
      <c r="S25" s="860">
        <v>792</v>
      </c>
      <c r="T25" s="860">
        <v>890</v>
      </c>
      <c r="U25" s="859">
        <v>1053</v>
      </c>
      <c r="V25" s="859">
        <v>1086</v>
      </c>
      <c r="W25" s="859">
        <v>1320</v>
      </c>
      <c r="X25" s="3081">
        <v>1691</v>
      </c>
    </row>
    <row r="26" spans="1:24" ht="12" hidden="1" customHeight="1" x14ac:dyDescent="0.2">
      <c r="D26" s="3757" t="s">
        <v>672</v>
      </c>
      <c r="E26" s="3758"/>
      <c r="F26" s="3758"/>
      <c r="G26" s="3758"/>
      <c r="H26" s="3758"/>
      <c r="I26" s="1472"/>
      <c r="J26" s="1472"/>
      <c r="K26" s="851">
        <v>310</v>
      </c>
      <c r="L26" s="851">
        <v>347</v>
      </c>
      <c r="M26" s="851">
        <v>463</v>
      </c>
      <c r="N26" s="851">
        <v>445</v>
      </c>
      <c r="O26" s="851">
        <v>462</v>
      </c>
      <c r="P26" s="851">
        <v>430</v>
      </c>
      <c r="Q26" s="851"/>
      <c r="R26" s="851"/>
      <c r="S26" s="851"/>
      <c r="T26" s="851"/>
      <c r="U26" s="851"/>
      <c r="V26" s="851"/>
      <c r="W26" s="851"/>
      <c r="X26" s="3343"/>
    </row>
    <row r="27" spans="1:24" ht="12" hidden="1" customHeight="1" x14ac:dyDescent="0.2">
      <c r="D27" s="3759" t="s">
        <v>671</v>
      </c>
      <c r="E27" s="3760"/>
      <c r="F27" s="3760"/>
      <c r="G27" s="3760"/>
      <c r="H27" s="3760"/>
      <c r="I27" s="1593"/>
      <c r="J27" s="1593"/>
      <c r="K27" s="1593">
        <v>35</v>
      </c>
      <c r="L27" s="1593">
        <v>30</v>
      </c>
      <c r="M27" s="1593">
        <v>42</v>
      </c>
      <c r="N27" s="1593">
        <v>36</v>
      </c>
      <c r="O27" s="1593">
        <v>21</v>
      </c>
      <c r="P27" s="1593">
        <v>28</v>
      </c>
      <c r="Q27" s="1593"/>
      <c r="R27" s="1593"/>
      <c r="S27" s="1593"/>
      <c r="T27" s="1593"/>
      <c r="U27" s="1593"/>
      <c r="V27" s="1593"/>
      <c r="W27" s="1593"/>
      <c r="X27" s="3344"/>
    </row>
    <row r="28" spans="1:24" ht="12" hidden="1" customHeight="1" x14ac:dyDescent="0.2">
      <c r="D28" s="3755" t="s">
        <v>670</v>
      </c>
      <c r="E28" s="3756"/>
      <c r="F28" s="3756"/>
      <c r="G28" s="3756"/>
      <c r="H28" s="3756"/>
      <c r="I28" s="1594"/>
      <c r="J28" s="1594"/>
      <c r="K28" s="1594">
        <v>38</v>
      </c>
      <c r="L28" s="1594">
        <v>39</v>
      </c>
      <c r="M28" s="1594">
        <v>58</v>
      </c>
      <c r="N28" s="1594">
        <v>47</v>
      </c>
      <c r="O28" s="1594">
        <v>45</v>
      </c>
      <c r="P28" s="1594">
        <v>34</v>
      </c>
      <c r="Q28" s="1594"/>
      <c r="R28" s="1594"/>
      <c r="S28" s="1594"/>
      <c r="T28" s="1594"/>
      <c r="U28" s="1594"/>
      <c r="V28" s="1594"/>
      <c r="W28" s="1594"/>
      <c r="X28" s="3345"/>
    </row>
    <row r="29" spans="1:24" x14ac:dyDescent="0.2">
      <c r="D29" s="3312" t="s">
        <v>669</v>
      </c>
      <c r="E29" s="1595"/>
      <c r="F29" s="1595"/>
      <c r="G29" s="1595"/>
      <c r="H29" s="1595"/>
      <c r="I29" s="1595"/>
      <c r="J29" s="1595"/>
      <c r="K29" s="1595">
        <v>383</v>
      </c>
      <c r="L29" s="1595">
        <v>416</v>
      </c>
      <c r="M29" s="1595">
        <v>563</v>
      </c>
      <c r="N29" s="1595">
        <v>528</v>
      </c>
      <c r="O29" s="1595">
        <v>528</v>
      </c>
      <c r="P29" s="1595">
        <v>492</v>
      </c>
      <c r="Q29" s="1595">
        <v>636</v>
      </c>
      <c r="R29" s="1595">
        <v>697</v>
      </c>
      <c r="S29" s="1595">
        <v>633</v>
      </c>
      <c r="T29" s="1595">
        <v>745</v>
      </c>
      <c r="U29" s="1595">
        <v>929</v>
      </c>
      <c r="V29" s="1595">
        <v>960</v>
      </c>
      <c r="W29" s="1595">
        <f>W25-W23</f>
        <v>1165</v>
      </c>
      <c r="X29" s="3346">
        <f>X25-X23</f>
        <v>1401</v>
      </c>
    </row>
    <row r="30" spans="1:24" s="837" customFormat="1" x14ac:dyDescent="0.2">
      <c r="A30" s="2413"/>
      <c r="B30" s="863"/>
      <c r="C30" s="863"/>
      <c r="D30" s="1624" t="s">
        <v>668</v>
      </c>
      <c r="E30" s="1095"/>
      <c r="F30" s="1095"/>
      <c r="G30" s="1095"/>
      <c r="H30" s="1095"/>
      <c r="I30" s="1095"/>
      <c r="J30" s="1095"/>
      <c r="K30" s="1095">
        <f t="shared" ref="K30:X30" si="0">+K29/K25</f>
        <v>0.68149466192170816</v>
      </c>
      <c r="L30" s="1095">
        <f t="shared" si="0"/>
        <v>0.80154142581888244</v>
      </c>
      <c r="M30" s="1095">
        <f t="shared" si="0"/>
        <v>0.72458172458172454</v>
      </c>
      <c r="N30" s="1095">
        <f t="shared" si="0"/>
        <v>0.70026525198938994</v>
      </c>
      <c r="O30" s="1095">
        <f t="shared" si="0"/>
        <v>0.76300578034682076</v>
      </c>
      <c r="P30" s="1095">
        <f t="shared" si="0"/>
        <v>0.67675378266850073</v>
      </c>
      <c r="Q30" s="1095">
        <f t="shared" si="0"/>
        <v>0.79104477611940294</v>
      </c>
      <c r="R30" s="1095">
        <f t="shared" si="0"/>
        <v>0.79931192660550454</v>
      </c>
      <c r="S30" s="1095">
        <f t="shared" si="0"/>
        <v>0.7992424242424242</v>
      </c>
      <c r="T30" s="1095">
        <f t="shared" si="0"/>
        <v>0.8370786516853933</v>
      </c>
      <c r="U30" s="1095">
        <f t="shared" si="0"/>
        <v>0.88224121557454893</v>
      </c>
      <c r="V30" s="1095">
        <f t="shared" si="0"/>
        <v>0.88397790055248615</v>
      </c>
      <c r="W30" s="1095">
        <f t="shared" si="0"/>
        <v>0.88257575757575757</v>
      </c>
      <c r="X30" s="1096">
        <f t="shared" si="0"/>
        <v>0.82850384387936138</v>
      </c>
    </row>
    <row r="31" spans="1:24" s="837" customFormat="1" x14ac:dyDescent="0.2">
      <c r="A31" s="2413"/>
      <c r="B31" s="863"/>
      <c r="C31" s="863"/>
      <c r="D31" s="1624"/>
      <c r="E31" s="1095"/>
      <c r="F31" s="1095"/>
      <c r="G31" s="1095"/>
      <c r="H31" s="1095"/>
      <c r="I31" s="1095"/>
      <c r="J31" s="1095"/>
      <c r="K31" s="1095"/>
      <c r="L31" s="1095"/>
      <c r="M31" s="1095"/>
      <c r="N31" s="1095"/>
      <c r="O31" s="1095"/>
      <c r="P31" s="1095"/>
      <c r="Q31" s="1095"/>
      <c r="R31" s="1095"/>
      <c r="S31" s="1095"/>
      <c r="T31" s="1095"/>
      <c r="U31" s="1095"/>
      <c r="V31" s="1095"/>
      <c r="W31" s="1095"/>
    </row>
    <row r="32" spans="1:24" s="837" customFormat="1" x14ac:dyDescent="0.2">
      <c r="A32" s="2413"/>
      <c r="B32" s="863"/>
      <c r="C32" s="863"/>
      <c r="D32" s="1624"/>
      <c r="E32" s="1095"/>
      <c r="F32" s="1095"/>
      <c r="G32" s="1095"/>
      <c r="H32" s="1095"/>
      <c r="I32" s="1095"/>
      <c r="J32" s="1095"/>
      <c r="K32" s="1095"/>
      <c r="L32" s="1095"/>
      <c r="M32" s="1095"/>
      <c r="N32" s="1095"/>
      <c r="O32" s="1095"/>
      <c r="P32" s="1095"/>
      <c r="Q32" s="1095"/>
      <c r="R32" s="1095"/>
      <c r="S32" s="1095"/>
      <c r="T32" s="1095"/>
      <c r="U32" s="1095"/>
      <c r="V32" s="1095"/>
      <c r="W32" s="1095"/>
    </row>
    <row r="33" spans="1:37" s="837" customFormat="1" x14ac:dyDescent="0.2">
      <c r="A33" s="2413"/>
      <c r="B33" s="863"/>
      <c r="C33" s="863"/>
      <c r="D33" s="1624"/>
      <c r="E33" s="1095"/>
      <c r="F33" s="1095"/>
      <c r="G33" s="1095"/>
      <c r="H33" s="1095"/>
      <c r="I33" s="1095"/>
      <c r="J33" s="1095"/>
      <c r="K33" s="1095"/>
      <c r="L33" s="1095"/>
      <c r="M33" s="1095"/>
      <c r="N33" s="1095"/>
      <c r="O33" s="1095"/>
      <c r="P33" s="1095"/>
      <c r="Q33" s="1095"/>
      <c r="R33" s="1095"/>
      <c r="S33" s="1095"/>
      <c r="T33" s="1095"/>
      <c r="U33" s="1095"/>
      <c r="V33" s="1095"/>
      <c r="W33" s="1095"/>
    </row>
    <row r="34" spans="1:37" x14ac:dyDescent="0.2">
      <c r="D34" s="2414" t="s">
        <v>278</v>
      </c>
      <c r="E34" s="2429" t="s">
        <v>667</v>
      </c>
      <c r="F34" s="1995"/>
      <c r="G34" s="1995"/>
      <c r="H34" s="1095"/>
      <c r="I34" s="1095"/>
      <c r="J34" s="1095"/>
      <c r="K34" s="1095"/>
      <c r="L34" s="1095"/>
      <c r="M34" s="1095"/>
      <c r="N34" s="1095"/>
      <c r="O34" s="1095"/>
      <c r="P34" s="2430"/>
      <c r="Q34" s="1095"/>
    </row>
    <row r="35" spans="1:37" x14ac:dyDescent="0.2">
      <c r="D35" s="3313"/>
      <c r="E35" s="3746">
        <v>2005</v>
      </c>
      <c r="F35" s="3746"/>
      <c r="G35" s="3748"/>
      <c r="H35" s="3746">
        <v>2006</v>
      </c>
      <c r="I35" s="3746"/>
      <c r="J35" s="3748"/>
      <c r="K35" s="3746">
        <v>2007</v>
      </c>
      <c r="L35" s="3746"/>
      <c r="M35" s="3748"/>
      <c r="N35" s="3746">
        <v>2008</v>
      </c>
      <c r="O35" s="3746"/>
      <c r="P35" s="3748"/>
      <c r="Q35" s="3746">
        <v>2009</v>
      </c>
      <c r="R35" s="3746"/>
      <c r="S35" s="3748"/>
      <c r="T35" s="3746">
        <v>2010</v>
      </c>
      <c r="U35" s="3746"/>
      <c r="V35" s="3748"/>
      <c r="W35" s="3746">
        <v>2011</v>
      </c>
      <c r="X35" s="3746"/>
      <c r="Y35" s="3748"/>
      <c r="Z35" s="3746">
        <v>2012</v>
      </c>
      <c r="AA35" s="3746"/>
      <c r="AB35" s="3748"/>
      <c r="AC35" s="3745">
        <v>2013</v>
      </c>
      <c r="AD35" s="3746"/>
      <c r="AE35" s="3747"/>
      <c r="AF35" s="3745">
        <v>2014</v>
      </c>
      <c r="AG35" s="3746"/>
      <c r="AH35" s="3747"/>
      <c r="AI35" s="3745">
        <v>2015</v>
      </c>
      <c r="AJ35" s="3746"/>
      <c r="AK35" s="3747"/>
    </row>
    <row r="36" spans="1:37" x14ac:dyDescent="0.2">
      <c r="D36" s="3314"/>
      <c r="E36" s="2431" t="s">
        <v>10</v>
      </c>
      <c r="F36" s="2431" t="s">
        <v>11</v>
      </c>
      <c r="G36" s="2432" t="s">
        <v>261</v>
      </c>
      <c r="H36" s="2431" t="s">
        <v>10</v>
      </c>
      <c r="I36" s="2431" t="s">
        <v>11</v>
      </c>
      <c r="J36" s="2432" t="s">
        <v>261</v>
      </c>
      <c r="K36" s="2431" t="s">
        <v>10</v>
      </c>
      <c r="L36" s="2431" t="s">
        <v>11</v>
      </c>
      <c r="M36" s="2432" t="s">
        <v>261</v>
      </c>
      <c r="N36" s="2431" t="s">
        <v>10</v>
      </c>
      <c r="O36" s="2431" t="s">
        <v>11</v>
      </c>
      <c r="P36" s="2432" t="s">
        <v>261</v>
      </c>
      <c r="Q36" s="2431" t="s">
        <v>10</v>
      </c>
      <c r="R36" s="2431" t="s">
        <v>11</v>
      </c>
      <c r="S36" s="2432" t="s">
        <v>261</v>
      </c>
      <c r="T36" s="2431" t="s">
        <v>10</v>
      </c>
      <c r="U36" s="2431" t="s">
        <v>11</v>
      </c>
      <c r="V36" s="2432" t="s">
        <v>261</v>
      </c>
      <c r="W36" s="2431" t="s">
        <v>10</v>
      </c>
      <c r="X36" s="2431" t="s">
        <v>11</v>
      </c>
      <c r="Y36" s="2432" t="s">
        <v>261</v>
      </c>
      <c r="Z36" s="2431" t="s">
        <v>10</v>
      </c>
      <c r="AA36" s="2431" t="s">
        <v>11</v>
      </c>
      <c r="AB36" s="2432" t="s">
        <v>261</v>
      </c>
      <c r="AC36" s="2433" t="s">
        <v>10</v>
      </c>
      <c r="AD36" s="2431" t="s">
        <v>11</v>
      </c>
      <c r="AE36" s="2434" t="s">
        <v>261</v>
      </c>
      <c r="AF36" s="2433" t="s">
        <v>10</v>
      </c>
      <c r="AG36" s="2431" t="s">
        <v>11</v>
      </c>
      <c r="AH36" s="2434" t="s">
        <v>261</v>
      </c>
      <c r="AI36" s="2433" t="s">
        <v>10</v>
      </c>
      <c r="AJ36" s="2431" t="s">
        <v>11</v>
      </c>
      <c r="AK36" s="2434" t="s">
        <v>261</v>
      </c>
    </row>
    <row r="37" spans="1:37" x14ac:dyDescent="0.2">
      <c r="D37" s="3315" t="s">
        <v>666</v>
      </c>
      <c r="E37" s="848">
        <v>225</v>
      </c>
      <c r="F37" s="848">
        <v>98</v>
      </c>
      <c r="G37" s="850">
        <v>323</v>
      </c>
      <c r="H37" s="848">
        <v>143</v>
      </c>
      <c r="I37" s="848">
        <v>34</v>
      </c>
      <c r="J37" s="850">
        <v>177</v>
      </c>
      <c r="K37" s="848">
        <v>62</v>
      </c>
      <c r="L37" s="848">
        <v>12</v>
      </c>
      <c r="M37" s="850">
        <v>74</v>
      </c>
      <c r="N37" s="848">
        <v>192</v>
      </c>
      <c r="O37" s="848">
        <v>43</v>
      </c>
      <c r="P37" s="850">
        <v>235</v>
      </c>
      <c r="Q37" s="848">
        <v>210</v>
      </c>
      <c r="R37" s="848">
        <v>50</v>
      </c>
      <c r="S37" s="850">
        <f>Q37+R37</f>
        <v>260</v>
      </c>
      <c r="T37" s="848">
        <v>500</v>
      </c>
      <c r="U37" s="848">
        <v>104</v>
      </c>
      <c r="V37" s="850">
        <f>T37+U37</f>
        <v>604</v>
      </c>
      <c r="W37" s="848">
        <v>306</v>
      </c>
      <c r="X37" s="848">
        <f>25+6+5+32</f>
        <v>68</v>
      </c>
      <c r="Y37" s="850">
        <f>SUM(W37:X37)</f>
        <v>374</v>
      </c>
      <c r="Z37" s="848">
        <v>745</v>
      </c>
      <c r="AA37" s="848">
        <v>202</v>
      </c>
      <c r="AB37" s="850">
        <f>SUM(Z37:AA37)</f>
        <v>947</v>
      </c>
      <c r="AC37" s="849">
        <v>258</v>
      </c>
      <c r="AD37" s="848">
        <v>80</v>
      </c>
      <c r="AE37" s="847">
        <f>SUM(AC37:AD37)</f>
        <v>338</v>
      </c>
      <c r="AF37" s="849">
        <v>870</v>
      </c>
      <c r="AG37" s="848">
        <v>277</v>
      </c>
      <c r="AH37" s="847">
        <f>SUM(AF37:AG37)</f>
        <v>1147</v>
      </c>
      <c r="AI37" s="849">
        <v>757</v>
      </c>
      <c r="AJ37" s="848">
        <v>225</v>
      </c>
      <c r="AK37" s="847">
        <f>SUM(AI37:AJ37)</f>
        <v>982</v>
      </c>
    </row>
    <row r="38" spans="1:37" x14ac:dyDescent="0.2">
      <c r="D38" s="3316" t="s">
        <v>665</v>
      </c>
      <c r="E38" s="844">
        <v>236</v>
      </c>
      <c r="F38" s="844">
        <v>70</v>
      </c>
      <c r="G38" s="846">
        <v>306</v>
      </c>
      <c r="H38" s="844">
        <v>193</v>
      </c>
      <c r="I38" s="844">
        <v>72</v>
      </c>
      <c r="J38" s="846">
        <v>265</v>
      </c>
      <c r="K38" s="844">
        <v>161</v>
      </c>
      <c r="L38" s="844">
        <v>45</v>
      </c>
      <c r="M38" s="846">
        <v>206</v>
      </c>
      <c r="N38" s="844">
        <v>303</v>
      </c>
      <c r="O38" s="844">
        <v>109</v>
      </c>
      <c r="P38" s="846">
        <v>412</v>
      </c>
      <c r="Q38" s="844">
        <v>530</v>
      </c>
      <c r="R38" s="844">
        <v>174</v>
      </c>
      <c r="S38" s="846">
        <f>Q38+R38</f>
        <v>704</v>
      </c>
      <c r="T38" s="844">
        <v>837</v>
      </c>
      <c r="U38" s="844">
        <v>334</v>
      </c>
      <c r="V38" s="846">
        <f>T38+U38</f>
        <v>1171</v>
      </c>
      <c r="W38" s="844">
        <v>601</v>
      </c>
      <c r="X38" s="844">
        <v>336</v>
      </c>
      <c r="Y38" s="846">
        <f>SUM(W38:X38)</f>
        <v>937</v>
      </c>
      <c r="Z38" s="844">
        <v>1349</v>
      </c>
      <c r="AA38" s="844">
        <v>561</v>
      </c>
      <c r="AB38" s="846">
        <f>SUM(Z38:AA38)</f>
        <v>1910</v>
      </c>
      <c r="AC38" s="845">
        <v>754</v>
      </c>
      <c r="AD38" s="844">
        <v>301</v>
      </c>
      <c r="AE38" s="843">
        <f>SUM(AC38:AD38)</f>
        <v>1055</v>
      </c>
      <c r="AF38" s="2435">
        <v>1614</v>
      </c>
      <c r="AG38" s="844">
        <v>675</v>
      </c>
      <c r="AH38" s="843">
        <f>SUM(AF38:AG38)</f>
        <v>2289</v>
      </c>
      <c r="AI38" s="2435">
        <v>1365</v>
      </c>
      <c r="AJ38" s="844">
        <v>649</v>
      </c>
      <c r="AK38" s="843">
        <f>SUM(AI38:AJ38)</f>
        <v>2014</v>
      </c>
    </row>
    <row r="39" spans="1:37" x14ac:dyDescent="0.2">
      <c r="P39" s="842"/>
    </row>
    <row r="40" spans="1:37" s="2411" customFormat="1" ht="14.25" customHeight="1" x14ac:dyDescent="0.2">
      <c r="A40" s="2412">
        <v>5</v>
      </c>
      <c r="B40" s="2412" t="s">
        <v>78</v>
      </c>
      <c r="C40" s="2412"/>
      <c r="D40" s="3749" t="s">
        <v>664</v>
      </c>
      <c r="E40" s="3750"/>
      <c r="F40" s="3750"/>
      <c r="G40" s="3750"/>
      <c r="H40" s="3750"/>
      <c r="I40" s="3750"/>
      <c r="J40" s="3750"/>
      <c r="K40" s="3750"/>
      <c r="L40" s="3750"/>
      <c r="M40" s="3750"/>
      <c r="N40" s="3750"/>
      <c r="O40" s="3750"/>
      <c r="P40" s="3750"/>
      <c r="Q40" s="3750"/>
      <c r="R40" s="3750"/>
      <c r="S40" s="3750"/>
      <c r="T40" s="3750"/>
      <c r="U40" s="3750"/>
      <c r="V40" s="3750"/>
      <c r="W40" s="3750"/>
      <c r="X40" s="3750"/>
      <c r="Y40" s="3750"/>
      <c r="Z40" s="3750"/>
      <c r="AA40" s="3750"/>
      <c r="AB40" s="3750"/>
      <c r="AC40" s="3750"/>
      <c r="AD40" s="3750"/>
      <c r="AE40" s="3750"/>
      <c r="AF40" s="3750"/>
      <c r="AG40" s="3750"/>
      <c r="AH40" s="3750"/>
      <c r="AI40" s="3750"/>
      <c r="AJ40" s="3750"/>
      <c r="AK40" s="3751"/>
    </row>
    <row r="41" spans="1:37" s="2411" customFormat="1" ht="25.5" customHeight="1" x14ac:dyDescent="0.2">
      <c r="A41" s="2436">
        <v>6</v>
      </c>
      <c r="B41" s="2436" t="s">
        <v>80</v>
      </c>
      <c r="C41" s="2436"/>
      <c r="D41" s="3752" t="s">
        <v>663</v>
      </c>
      <c r="E41" s="3753"/>
      <c r="F41" s="3753"/>
      <c r="G41" s="3753"/>
      <c r="H41" s="3753"/>
      <c r="I41" s="3753"/>
      <c r="J41" s="3753"/>
      <c r="K41" s="3753"/>
      <c r="L41" s="3753"/>
      <c r="M41" s="3753"/>
      <c r="N41" s="3753"/>
      <c r="O41" s="3753"/>
      <c r="P41" s="3753"/>
      <c r="Q41" s="3753"/>
      <c r="R41" s="3753"/>
      <c r="S41" s="3753"/>
      <c r="T41" s="3753"/>
      <c r="U41" s="3753"/>
      <c r="V41" s="3753"/>
      <c r="W41" s="3753"/>
      <c r="X41" s="3753"/>
      <c r="Y41" s="3753"/>
      <c r="Z41" s="3753"/>
      <c r="AA41" s="3753"/>
      <c r="AB41" s="3753"/>
      <c r="AC41" s="3753"/>
      <c r="AD41" s="3753"/>
      <c r="AE41" s="3753"/>
      <c r="AF41" s="3753"/>
      <c r="AG41" s="3753"/>
      <c r="AH41" s="3753"/>
      <c r="AI41" s="3753"/>
      <c r="AJ41" s="3753"/>
      <c r="AK41" s="3754"/>
    </row>
    <row r="42" spans="1:37" s="2411" customFormat="1" ht="60" customHeight="1" x14ac:dyDescent="0.2">
      <c r="A42" s="2437">
        <v>7</v>
      </c>
      <c r="B42" s="2437" t="s">
        <v>20</v>
      </c>
      <c r="C42" s="2438"/>
      <c r="D42" s="3739" t="s">
        <v>662</v>
      </c>
      <c r="E42" s="3740"/>
      <c r="F42" s="3740"/>
      <c r="G42" s="3740"/>
      <c r="H42" s="3740"/>
      <c r="I42" s="3740"/>
      <c r="J42" s="3740"/>
      <c r="K42" s="3740"/>
      <c r="L42" s="3740"/>
      <c r="M42" s="3740"/>
      <c r="N42" s="3740"/>
      <c r="O42" s="3740"/>
      <c r="P42" s="3740"/>
      <c r="Q42" s="3740"/>
      <c r="R42" s="3740"/>
      <c r="S42" s="3740"/>
      <c r="T42" s="3740"/>
      <c r="U42" s="3740"/>
      <c r="V42" s="3740"/>
      <c r="W42" s="3740"/>
      <c r="X42" s="3740"/>
      <c r="Y42" s="3740"/>
      <c r="Z42" s="3740"/>
      <c r="AA42" s="3740"/>
      <c r="AB42" s="3740"/>
      <c r="AC42" s="3740"/>
      <c r="AD42" s="3740"/>
      <c r="AE42" s="3740"/>
      <c r="AF42" s="3740"/>
      <c r="AG42" s="3740"/>
      <c r="AH42" s="3740"/>
      <c r="AI42" s="3740"/>
      <c r="AJ42" s="3740"/>
      <c r="AK42" s="3741"/>
    </row>
    <row r="43" spans="1:37" ht="73.900000000000006" customHeight="1" x14ac:dyDescent="0.2">
      <c r="A43" s="2437">
        <v>8</v>
      </c>
      <c r="B43" s="2437" t="s">
        <v>22</v>
      </c>
      <c r="D43" s="3742" t="s">
        <v>661</v>
      </c>
      <c r="E43" s="3743"/>
      <c r="F43" s="3743"/>
      <c r="G43" s="3743"/>
      <c r="H43" s="3743"/>
      <c r="I43" s="3743"/>
      <c r="J43" s="3743"/>
      <c r="K43" s="3743"/>
      <c r="L43" s="3743"/>
      <c r="M43" s="3743"/>
      <c r="N43" s="3743"/>
      <c r="O43" s="3743"/>
      <c r="P43" s="3743"/>
      <c r="Q43" s="3743"/>
      <c r="R43" s="3743"/>
      <c r="S43" s="3743"/>
      <c r="T43" s="3743"/>
      <c r="U43" s="3743"/>
      <c r="V43" s="3743"/>
      <c r="W43" s="3743"/>
      <c r="X43" s="3743"/>
      <c r="Y43" s="3743"/>
      <c r="Z43" s="3743"/>
      <c r="AA43" s="3743"/>
      <c r="AB43" s="3743"/>
      <c r="AC43" s="3743"/>
      <c r="AD43" s="3743"/>
      <c r="AE43" s="3743"/>
      <c r="AF43" s="3743"/>
      <c r="AG43" s="3743"/>
      <c r="AH43" s="3743"/>
      <c r="AI43" s="3743"/>
      <c r="AJ43" s="3743"/>
      <c r="AK43" s="3744"/>
    </row>
    <row r="45" spans="1:37" x14ac:dyDescent="0.2">
      <c r="B45" s="837"/>
      <c r="C45" s="837"/>
      <c r="D45" s="2439"/>
      <c r="E45" s="2439"/>
      <c r="F45" s="2439"/>
      <c r="G45" s="2439"/>
      <c r="H45" s="2439"/>
      <c r="I45" s="841"/>
      <c r="J45" s="841"/>
      <c r="K45" s="2439"/>
      <c r="L45" s="2439"/>
      <c r="M45" s="2439"/>
      <c r="N45" s="2439"/>
      <c r="O45" s="2439"/>
      <c r="P45" s="2439"/>
      <c r="Q45" s="2439"/>
    </row>
    <row r="46" spans="1:37" x14ac:dyDescent="0.2">
      <c r="B46" s="837"/>
      <c r="C46" s="837"/>
      <c r="D46" s="2439"/>
      <c r="E46" s="2439"/>
      <c r="F46" s="2439"/>
      <c r="G46" s="2439"/>
      <c r="H46" s="2439"/>
      <c r="I46" s="841"/>
      <c r="J46" s="841"/>
      <c r="K46" s="2439"/>
      <c r="L46" s="2439"/>
      <c r="M46" s="2439"/>
      <c r="N46" s="2439"/>
      <c r="O46" s="2439"/>
      <c r="P46" s="2439"/>
      <c r="Q46" s="2439"/>
    </row>
    <row r="47" spans="1:37" x14ac:dyDescent="0.2">
      <c r="B47" s="837"/>
      <c r="C47" s="837"/>
      <c r="D47" s="2439"/>
      <c r="E47" s="2439"/>
      <c r="F47" s="2439"/>
      <c r="G47" s="2439"/>
      <c r="H47" s="2439"/>
      <c r="I47" s="841"/>
      <c r="J47" s="841"/>
      <c r="K47" s="2439"/>
      <c r="L47" s="2439"/>
      <c r="M47" s="2439"/>
      <c r="N47" s="2439"/>
      <c r="O47" s="2439"/>
      <c r="P47" s="2439"/>
      <c r="Q47" s="2439"/>
    </row>
    <row r="48" spans="1:37" x14ac:dyDescent="0.2">
      <c r="B48" s="837"/>
      <c r="C48" s="837"/>
      <c r="D48" s="840"/>
      <c r="E48" s="840"/>
      <c r="F48" s="840"/>
      <c r="G48" s="840"/>
      <c r="H48" s="840"/>
      <c r="I48" s="840"/>
      <c r="J48" s="840"/>
      <c r="K48" s="840"/>
      <c r="L48" s="840"/>
      <c r="M48" s="840"/>
      <c r="N48" s="840"/>
      <c r="O48" s="840"/>
      <c r="P48" s="840"/>
      <c r="Q48" s="840"/>
      <c r="W48" s="837"/>
    </row>
    <row r="49" spans="2:23" x14ac:dyDescent="0.2">
      <c r="B49" s="839"/>
      <c r="C49" s="839"/>
      <c r="D49" s="838"/>
      <c r="E49" s="838"/>
      <c r="F49" s="838"/>
      <c r="G49" s="838"/>
      <c r="H49" s="838"/>
      <c r="I49" s="838"/>
      <c r="J49" s="838"/>
      <c r="K49" s="838"/>
      <c r="L49" s="838"/>
      <c r="M49" s="838"/>
      <c r="N49" s="838"/>
      <c r="O49" s="838"/>
      <c r="P49" s="838"/>
      <c r="Q49" s="838"/>
      <c r="W49" s="837"/>
    </row>
    <row r="50" spans="2:23" x14ac:dyDescent="0.2">
      <c r="B50" s="837"/>
      <c r="C50" s="837"/>
      <c r="D50" s="836"/>
      <c r="E50" s="836"/>
      <c r="F50" s="837"/>
      <c r="G50" s="837"/>
      <c r="H50" s="836"/>
      <c r="I50" s="836"/>
      <c r="J50" s="836"/>
      <c r="K50" s="836"/>
      <c r="L50" s="836"/>
      <c r="M50" s="836"/>
      <c r="N50" s="836"/>
      <c r="O50" s="836"/>
      <c r="P50" s="836"/>
      <c r="Q50" s="836"/>
      <c r="W50" s="837"/>
    </row>
  </sheetData>
  <mergeCells count="21">
    <mergeCell ref="D2:AK2"/>
    <mergeCell ref="D3:AK3"/>
    <mergeCell ref="D4:AK4"/>
    <mergeCell ref="D40:AK40"/>
    <mergeCell ref="D41:AK41"/>
    <mergeCell ref="W35:Y35"/>
    <mergeCell ref="Z35:AB35"/>
    <mergeCell ref="AF35:AH35"/>
    <mergeCell ref="AC35:AE35"/>
    <mergeCell ref="D28:H28"/>
    <mergeCell ref="D26:H26"/>
    <mergeCell ref="D27:H27"/>
    <mergeCell ref="D42:AK42"/>
    <mergeCell ref="D43:AK43"/>
    <mergeCell ref="AI35:AK35"/>
    <mergeCell ref="E35:G35"/>
    <mergeCell ref="H35:J35"/>
    <mergeCell ref="K35:M35"/>
    <mergeCell ref="N35:P35"/>
    <mergeCell ref="Q35:S35"/>
    <mergeCell ref="T35:V35"/>
  </mergeCells>
  <pageMargins left="0.74803149606299213" right="0.74803149606299213" top="0.98425196850393704" bottom="0.98425196850393704" header="0.51181102362204722" footer="0.51181102362204722"/>
  <pageSetup paperSize="9" scale="35" orientation="landscape" r:id="rId1"/>
  <headerFooter alignWithMargins="0">
    <oddHeader>&amp;C&amp;"-,Bold"DEVELOPMENT INDICATORS 2014</oddHeader>
    <oddFooter>&amp;LDepartment of Planning, Monitoring and Evaluation (DPME). &amp;CPage &amp;P of &amp;N&amp;R&amp;D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D48"/>
  <sheetViews>
    <sheetView showGridLines="0" view="pageBreakPreview" topLeftCell="A16" zoomScaleNormal="100" zoomScaleSheetLayoutView="100" workbookViewId="0">
      <selection activeCell="D32" sqref="D32:D43"/>
    </sheetView>
  </sheetViews>
  <sheetFormatPr defaultColWidth="9.140625" defaultRowHeight="14.25" x14ac:dyDescent="0.2"/>
  <cols>
    <col min="1" max="1" width="3.7109375" style="2403" customWidth="1"/>
    <col min="2" max="2" width="12.7109375" style="1277" customWidth="1"/>
    <col min="3" max="3" width="3.7109375" style="1277" customWidth="1"/>
    <col min="4" max="4" width="24.5703125" style="964" customWidth="1"/>
    <col min="5" max="6" width="8.5703125" style="964" customWidth="1"/>
    <col min="7" max="7" width="9" style="964" customWidth="1"/>
    <col min="8" max="9" width="8.5703125" style="964" customWidth="1"/>
    <col min="10" max="10" width="9" style="964" customWidth="1"/>
    <col min="11" max="12" width="8.5703125" style="964" customWidth="1"/>
    <col min="13" max="13" width="9" style="964" customWidth="1"/>
    <col min="14" max="15" width="8.5703125" style="964" customWidth="1"/>
    <col min="16" max="16" width="9" style="964" customWidth="1"/>
    <col min="17" max="18" width="8.5703125" style="964" customWidth="1"/>
    <col min="19" max="19" width="9" style="964" customWidth="1"/>
    <col min="20" max="21" width="8.5703125" style="964" customWidth="1"/>
    <col min="22" max="25" width="9" style="964" customWidth="1"/>
    <col min="26" max="27" width="8.5703125" style="964" customWidth="1"/>
    <col min="28" max="28" width="9" style="964" customWidth="1"/>
    <col min="29" max="259" width="9.140625" style="964"/>
    <col min="260" max="260" width="3.7109375" style="964" customWidth="1"/>
    <col min="261" max="261" width="12.7109375" style="964" customWidth="1"/>
    <col min="262" max="262" width="3.7109375" style="964" customWidth="1"/>
    <col min="263" max="263" width="20.7109375" style="964" customWidth="1"/>
    <col min="264" max="265" width="8.5703125" style="964" customWidth="1"/>
    <col min="266" max="266" width="9" style="964" customWidth="1"/>
    <col min="267" max="268" width="8.5703125" style="964" customWidth="1"/>
    <col min="269" max="269" width="9" style="964" customWidth="1"/>
    <col min="270" max="271" width="8.5703125" style="964" customWidth="1"/>
    <col min="272" max="272" width="9" style="964" customWidth="1"/>
    <col min="273" max="274" width="8.5703125" style="964" customWidth="1"/>
    <col min="275" max="275" width="9" style="964" customWidth="1"/>
    <col min="276" max="277" width="8.5703125" style="964" customWidth="1"/>
    <col min="278" max="278" width="9" style="964" customWidth="1"/>
    <col min="279" max="280" width="8.5703125" style="964" customWidth="1"/>
    <col min="281" max="281" width="9" style="964" customWidth="1"/>
    <col min="282" max="283" width="8.5703125" style="964" customWidth="1"/>
    <col min="284" max="284" width="9" style="964" customWidth="1"/>
    <col min="285" max="515" width="9.140625" style="964"/>
    <col min="516" max="516" width="3.7109375" style="964" customWidth="1"/>
    <col min="517" max="517" width="12.7109375" style="964" customWidth="1"/>
    <col min="518" max="518" width="3.7109375" style="964" customWidth="1"/>
    <col min="519" max="519" width="20.7109375" style="964" customWidth="1"/>
    <col min="520" max="521" width="8.5703125" style="964" customWidth="1"/>
    <col min="522" max="522" width="9" style="964" customWidth="1"/>
    <col min="523" max="524" width="8.5703125" style="964" customWidth="1"/>
    <col min="525" max="525" width="9" style="964" customWidth="1"/>
    <col min="526" max="527" width="8.5703125" style="964" customWidth="1"/>
    <col min="528" max="528" width="9" style="964" customWidth="1"/>
    <col min="529" max="530" width="8.5703125" style="964" customWidth="1"/>
    <col min="531" max="531" width="9" style="964" customWidth="1"/>
    <col min="532" max="533" width="8.5703125" style="964" customWidth="1"/>
    <col min="534" max="534" width="9" style="964" customWidth="1"/>
    <col min="535" max="536" width="8.5703125" style="964" customWidth="1"/>
    <col min="537" max="537" width="9" style="964" customWidth="1"/>
    <col min="538" max="539" width="8.5703125" style="964" customWidth="1"/>
    <col min="540" max="540" width="9" style="964" customWidth="1"/>
    <col min="541" max="771" width="9.140625" style="964"/>
    <col min="772" max="772" width="3.7109375" style="964" customWidth="1"/>
    <col min="773" max="773" width="12.7109375" style="964" customWidth="1"/>
    <col min="774" max="774" width="3.7109375" style="964" customWidth="1"/>
    <col min="775" max="775" width="20.7109375" style="964" customWidth="1"/>
    <col min="776" max="777" width="8.5703125" style="964" customWidth="1"/>
    <col min="778" max="778" width="9" style="964" customWidth="1"/>
    <col min="779" max="780" width="8.5703125" style="964" customWidth="1"/>
    <col min="781" max="781" width="9" style="964" customWidth="1"/>
    <col min="782" max="783" width="8.5703125" style="964" customWidth="1"/>
    <col min="784" max="784" width="9" style="964" customWidth="1"/>
    <col min="785" max="786" width="8.5703125" style="964" customWidth="1"/>
    <col min="787" max="787" width="9" style="964" customWidth="1"/>
    <col min="788" max="789" width="8.5703125" style="964" customWidth="1"/>
    <col min="790" max="790" width="9" style="964" customWidth="1"/>
    <col min="791" max="792" width="8.5703125" style="964" customWidth="1"/>
    <col min="793" max="793" width="9" style="964" customWidth="1"/>
    <col min="794" max="795" width="8.5703125" style="964" customWidth="1"/>
    <col min="796" max="796" width="9" style="964" customWidth="1"/>
    <col min="797" max="1027" width="9.140625" style="964"/>
    <col min="1028" max="1028" width="3.7109375" style="964" customWidth="1"/>
    <col min="1029" max="1029" width="12.7109375" style="964" customWidth="1"/>
    <col min="1030" max="1030" width="3.7109375" style="964" customWidth="1"/>
    <col min="1031" max="1031" width="20.7109375" style="964" customWidth="1"/>
    <col min="1032" max="1033" width="8.5703125" style="964" customWidth="1"/>
    <col min="1034" max="1034" width="9" style="964" customWidth="1"/>
    <col min="1035" max="1036" width="8.5703125" style="964" customWidth="1"/>
    <col min="1037" max="1037" width="9" style="964" customWidth="1"/>
    <col min="1038" max="1039" width="8.5703125" style="964" customWidth="1"/>
    <col min="1040" max="1040" width="9" style="964" customWidth="1"/>
    <col min="1041" max="1042" width="8.5703125" style="964" customWidth="1"/>
    <col min="1043" max="1043" width="9" style="964" customWidth="1"/>
    <col min="1044" max="1045" width="8.5703125" style="964" customWidth="1"/>
    <col min="1046" max="1046" width="9" style="964" customWidth="1"/>
    <col min="1047" max="1048" width="8.5703125" style="964" customWidth="1"/>
    <col min="1049" max="1049" width="9" style="964" customWidth="1"/>
    <col min="1050" max="1051" width="8.5703125" style="964" customWidth="1"/>
    <col min="1052" max="1052" width="9" style="964" customWidth="1"/>
    <col min="1053" max="1283" width="9.140625" style="964"/>
    <col min="1284" max="1284" width="3.7109375" style="964" customWidth="1"/>
    <col min="1285" max="1285" width="12.7109375" style="964" customWidth="1"/>
    <col min="1286" max="1286" width="3.7109375" style="964" customWidth="1"/>
    <col min="1287" max="1287" width="20.7109375" style="964" customWidth="1"/>
    <col min="1288" max="1289" width="8.5703125" style="964" customWidth="1"/>
    <col min="1290" max="1290" width="9" style="964" customWidth="1"/>
    <col min="1291" max="1292" width="8.5703125" style="964" customWidth="1"/>
    <col min="1293" max="1293" width="9" style="964" customWidth="1"/>
    <col min="1294" max="1295" width="8.5703125" style="964" customWidth="1"/>
    <col min="1296" max="1296" width="9" style="964" customWidth="1"/>
    <col min="1297" max="1298" width="8.5703125" style="964" customWidth="1"/>
    <col min="1299" max="1299" width="9" style="964" customWidth="1"/>
    <col min="1300" max="1301" width="8.5703125" style="964" customWidth="1"/>
    <col min="1302" max="1302" width="9" style="964" customWidth="1"/>
    <col min="1303" max="1304" width="8.5703125" style="964" customWidth="1"/>
    <col min="1305" max="1305" width="9" style="964" customWidth="1"/>
    <col min="1306" max="1307" width="8.5703125" style="964" customWidth="1"/>
    <col min="1308" max="1308" width="9" style="964" customWidth="1"/>
    <col min="1309" max="1539" width="9.140625" style="964"/>
    <col min="1540" max="1540" width="3.7109375" style="964" customWidth="1"/>
    <col min="1541" max="1541" width="12.7109375" style="964" customWidth="1"/>
    <col min="1542" max="1542" width="3.7109375" style="964" customWidth="1"/>
    <col min="1543" max="1543" width="20.7109375" style="964" customWidth="1"/>
    <col min="1544" max="1545" width="8.5703125" style="964" customWidth="1"/>
    <col min="1546" max="1546" width="9" style="964" customWidth="1"/>
    <col min="1547" max="1548" width="8.5703125" style="964" customWidth="1"/>
    <col min="1549" max="1549" width="9" style="964" customWidth="1"/>
    <col min="1550" max="1551" width="8.5703125" style="964" customWidth="1"/>
    <col min="1552" max="1552" width="9" style="964" customWidth="1"/>
    <col min="1553" max="1554" width="8.5703125" style="964" customWidth="1"/>
    <col min="1555" max="1555" width="9" style="964" customWidth="1"/>
    <col min="1556" max="1557" width="8.5703125" style="964" customWidth="1"/>
    <col min="1558" max="1558" width="9" style="964" customWidth="1"/>
    <col min="1559" max="1560" width="8.5703125" style="964" customWidth="1"/>
    <col min="1561" max="1561" width="9" style="964" customWidth="1"/>
    <col min="1562" max="1563" width="8.5703125" style="964" customWidth="1"/>
    <col min="1564" max="1564" width="9" style="964" customWidth="1"/>
    <col min="1565" max="1795" width="9.140625" style="964"/>
    <col min="1796" max="1796" width="3.7109375" style="964" customWidth="1"/>
    <col min="1797" max="1797" width="12.7109375" style="964" customWidth="1"/>
    <col min="1798" max="1798" width="3.7109375" style="964" customWidth="1"/>
    <col min="1799" max="1799" width="20.7109375" style="964" customWidth="1"/>
    <col min="1800" max="1801" width="8.5703125" style="964" customWidth="1"/>
    <col min="1802" max="1802" width="9" style="964" customWidth="1"/>
    <col min="1803" max="1804" width="8.5703125" style="964" customWidth="1"/>
    <col min="1805" max="1805" width="9" style="964" customWidth="1"/>
    <col min="1806" max="1807" width="8.5703125" style="964" customWidth="1"/>
    <col min="1808" max="1808" width="9" style="964" customWidth="1"/>
    <col min="1809" max="1810" width="8.5703125" style="964" customWidth="1"/>
    <col min="1811" max="1811" width="9" style="964" customWidth="1"/>
    <col min="1812" max="1813" width="8.5703125" style="964" customWidth="1"/>
    <col min="1814" max="1814" width="9" style="964" customWidth="1"/>
    <col min="1815" max="1816" width="8.5703125" style="964" customWidth="1"/>
    <col min="1817" max="1817" width="9" style="964" customWidth="1"/>
    <col min="1818" max="1819" width="8.5703125" style="964" customWidth="1"/>
    <col min="1820" max="1820" width="9" style="964" customWidth="1"/>
    <col min="1821" max="2051" width="9.140625" style="964"/>
    <col min="2052" max="2052" width="3.7109375" style="964" customWidth="1"/>
    <col min="2053" max="2053" width="12.7109375" style="964" customWidth="1"/>
    <col min="2054" max="2054" width="3.7109375" style="964" customWidth="1"/>
    <col min="2055" max="2055" width="20.7109375" style="964" customWidth="1"/>
    <col min="2056" max="2057" width="8.5703125" style="964" customWidth="1"/>
    <col min="2058" max="2058" width="9" style="964" customWidth="1"/>
    <col min="2059" max="2060" width="8.5703125" style="964" customWidth="1"/>
    <col min="2061" max="2061" width="9" style="964" customWidth="1"/>
    <col min="2062" max="2063" width="8.5703125" style="964" customWidth="1"/>
    <col min="2064" max="2064" width="9" style="964" customWidth="1"/>
    <col min="2065" max="2066" width="8.5703125" style="964" customWidth="1"/>
    <col min="2067" max="2067" width="9" style="964" customWidth="1"/>
    <col min="2068" max="2069" width="8.5703125" style="964" customWidth="1"/>
    <col min="2070" max="2070" width="9" style="964" customWidth="1"/>
    <col min="2071" max="2072" width="8.5703125" style="964" customWidth="1"/>
    <col min="2073" max="2073" width="9" style="964" customWidth="1"/>
    <col min="2074" max="2075" width="8.5703125" style="964" customWidth="1"/>
    <col min="2076" max="2076" width="9" style="964" customWidth="1"/>
    <col min="2077" max="2307" width="9.140625" style="964"/>
    <col min="2308" max="2308" width="3.7109375" style="964" customWidth="1"/>
    <col min="2309" max="2309" width="12.7109375" style="964" customWidth="1"/>
    <col min="2310" max="2310" width="3.7109375" style="964" customWidth="1"/>
    <col min="2311" max="2311" width="20.7109375" style="964" customWidth="1"/>
    <col min="2312" max="2313" width="8.5703125" style="964" customWidth="1"/>
    <col min="2314" max="2314" width="9" style="964" customWidth="1"/>
    <col min="2315" max="2316" width="8.5703125" style="964" customWidth="1"/>
    <col min="2317" max="2317" width="9" style="964" customWidth="1"/>
    <col min="2318" max="2319" width="8.5703125" style="964" customWidth="1"/>
    <col min="2320" max="2320" width="9" style="964" customWidth="1"/>
    <col min="2321" max="2322" width="8.5703125" style="964" customWidth="1"/>
    <col min="2323" max="2323" width="9" style="964" customWidth="1"/>
    <col min="2324" max="2325" width="8.5703125" style="964" customWidth="1"/>
    <col min="2326" max="2326" width="9" style="964" customWidth="1"/>
    <col min="2327" max="2328" width="8.5703125" style="964" customWidth="1"/>
    <col min="2329" max="2329" width="9" style="964" customWidth="1"/>
    <col min="2330" max="2331" width="8.5703125" style="964" customWidth="1"/>
    <col min="2332" max="2332" width="9" style="964" customWidth="1"/>
    <col min="2333" max="2563" width="9.140625" style="964"/>
    <col min="2564" max="2564" width="3.7109375" style="964" customWidth="1"/>
    <col min="2565" max="2565" width="12.7109375" style="964" customWidth="1"/>
    <col min="2566" max="2566" width="3.7109375" style="964" customWidth="1"/>
    <col min="2567" max="2567" width="20.7109375" style="964" customWidth="1"/>
    <col min="2568" max="2569" width="8.5703125" style="964" customWidth="1"/>
    <col min="2570" max="2570" width="9" style="964" customWidth="1"/>
    <col min="2571" max="2572" width="8.5703125" style="964" customWidth="1"/>
    <col min="2573" max="2573" width="9" style="964" customWidth="1"/>
    <col min="2574" max="2575" width="8.5703125" style="964" customWidth="1"/>
    <col min="2576" max="2576" width="9" style="964" customWidth="1"/>
    <col min="2577" max="2578" width="8.5703125" style="964" customWidth="1"/>
    <col min="2579" max="2579" width="9" style="964" customWidth="1"/>
    <col min="2580" max="2581" width="8.5703125" style="964" customWidth="1"/>
    <col min="2582" max="2582" width="9" style="964" customWidth="1"/>
    <col min="2583" max="2584" width="8.5703125" style="964" customWidth="1"/>
    <col min="2585" max="2585" width="9" style="964" customWidth="1"/>
    <col min="2586" max="2587" width="8.5703125" style="964" customWidth="1"/>
    <col min="2588" max="2588" width="9" style="964" customWidth="1"/>
    <col min="2589" max="2819" width="9.140625" style="964"/>
    <col min="2820" max="2820" width="3.7109375" style="964" customWidth="1"/>
    <col min="2821" max="2821" width="12.7109375" style="964" customWidth="1"/>
    <col min="2822" max="2822" width="3.7109375" style="964" customWidth="1"/>
    <col min="2823" max="2823" width="20.7109375" style="964" customWidth="1"/>
    <col min="2824" max="2825" width="8.5703125" style="964" customWidth="1"/>
    <col min="2826" max="2826" width="9" style="964" customWidth="1"/>
    <col min="2827" max="2828" width="8.5703125" style="964" customWidth="1"/>
    <col min="2829" max="2829" width="9" style="964" customWidth="1"/>
    <col min="2830" max="2831" width="8.5703125" style="964" customWidth="1"/>
    <col min="2832" max="2832" width="9" style="964" customWidth="1"/>
    <col min="2833" max="2834" width="8.5703125" style="964" customWidth="1"/>
    <col min="2835" max="2835" width="9" style="964" customWidth="1"/>
    <col min="2836" max="2837" width="8.5703125" style="964" customWidth="1"/>
    <col min="2838" max="2838" width="9" style="964" customWidth="1"/>
    <col min="2839" max="2840" width="8.5703125" style="964" customWidth="1"/>
    <col min="2841" max="2841" width="9" style="964" customWidth="1"/>
    <col min="2842" max="2843" width="8.5703125" style="964" customWidth="1"/>
    <col min="2844" max="2844" width="9" style="964" customWidth="1"/>
    <col min="2845" max="3075" width="9.140625" style="964"/>
    <col min="3076" max="3076" width="3.7109375" style="964" customWidth="1"/>
    <col min="3077" max="3077" width="12.7109375" style="964" customWidth="1"/>
    <col min="3078" max="3078" width="3.7109375" style="964" customWidth="1"/>
    <col min="3079" max="3079" width="20.7109375" style="964" customWidth="1"/>
    <col min="3080" max="3081" width="8.5703125" style="964" customWidth="1"/>
    <col min="3082" max="3082" width="9" style="964" customWidth="1"/>
    <col min="3083" max="3084" width="8.5703125" style="964" customWidth="1"/>
    <col min="3085" max="3085" width="9" style="964" customWidth="1"/>
    <col min="3086" max="3087" width="8.5703125" style="964" customWidth="1"/>
    <col min="3088" max="3088" width="9" style="964" customWidth="1"/>
    <col min="3089" max="3090" width="8.5703125" style="964" customWidth="1"/>
    <col min="3091" max="3091" width="9" style="964" customWidth="1"/>
    <col min="3092" max="3093" width="8.5703125" style="964" customWidth="1"/>
    <col min="3094" max="3094" width="9" style="964" customWidth="1"/>
    <col min="3095" max="3096" width="8.5703125" style="964" customWidth="1"/>
    <col min="3097" max="3097" width="9" style="964" customWidth="1"/>
    <col min="3098" max="3099" width="8.5703125" style="964" customWidth="1"/>
    <col min="3100" max="3100" width="9" style="964" customWidth="1"/>
    <col min="3101" max="3331" width="9.140625" style="964"/>
    <col min="3332" max="3332" width="3.7109375" style="964" customWidth="1"/>
    <col min="3333" max="3333" width="12.7109375" style="964" customWidth="1"/>
    <col min="3334" max="3334" width="3.7109375" style="964" customWidth="1"/>
    <col min="3335" max="3335" width="20.7109375" style="964" customWidth="1"/>
    <col min="3336" max="3337" width="8.5703125" style="964" customWidth="1"/>
    <col min="3338" max="3338" width="9" style="964" customWidth="1"/>
    <col min="3339" max="3340" width="8.5703125" style="964" customWidth="1"/>
    <col min="3341" max="3341" width="9" style="964" customWidth="1"/>
    <col min="3342" max="3343" width="8.5703125" style="964" customWidth="1"/>
    <col min="3344" max="3344" width="9" style="964" customWidth="1"/>
    <col min="3345" max="3346" width="8.5703125" style="964" customWidth="1"/>
    <col min="3347" max="3347" width="9" style="964" customWidth="1"/>
    <col min="3348" max="3349" width="8.5703125" style="964" customWidth="1"/>
    <col min="3350" max="3350" width="9" style="964" customWidth="1"/>
    <col min="3351" max="3352" width="8.5703125" style="964" customWidth="1"/>
    <col min="3353" max="3353" width="9" style="964" customWidth="1"/>
    <col min="3354" max="3355" width="8.5703125" style="964" customWidth="1"/>
    <col min="3356" max="3356" width="9" style="964" customWidth="1"/>
    <col min="3357" max="3587" width="9.140625" style="964"/>
    <col min="3588" max="3588" width="3.7109375" style="964" customWidth="1"/>
    <col min="3589" max="3589" width="12.7109375" style="964" customWidth="1"/>
    <col min="3590" max="3590" width="3.7109375" style="964" customWidth="1"/>
    <col min="3591" max="3591" width="20.7109375" style="964" customWidth="1"/>
    <col min="3592" max="3593" width="8.5703125" style="964" customWidth="1"/>
    <col min="3594" max="3594" width="9" style="964" customWidth="1"/>
    <col min="3595" max="3596" width="8.5703125" style="964" customWidth="1"/>
    <col min="3597" max="3597" width="9" style="964" customWidth="1"/>
    <col min="3598" max="3599" width="8.5703125" style="964" customWidth="1"/>
    <col min="3600" max="3600" width="9" style="964" customWidth="1"/>
    <col min="3601" max="3602" width="8.5703125" style="964" customWidth="1"/>
    <col min="3603" max="3603" width="9" style="964" customWidth="1"/>
    <col min="3604" max="3605" width="8.5703125" style="964" customWidth="1"/>
    <col min="3606" max="3606" width="9" style="964" customWidth="1"/>
    <col min="3607" max="3608" width="8.5703125" style="964" customWidth="1"/>
    <col min="3609" max="3609" width="9" style="964" customWidth="1"/>
    <col min="3610" max="3611" width="8.5703125" style="964" customWidth="1"/>
    <col min="3612" max="3612" width="9" style="964" customWidth="1"/>
    <col min="3613" max="3843" width="9.140625" style="964"/>
    <col min="3844" max="3844" width="3.7109375" style="964" customWidth="1"/>
    <col min="3845" max="3845" width="12.7109375" style="964" customWidth="1"/>
    <col min="3846" max="3846" width="3.7109375" style="964" customWidth="1"/>
    <col min="3847" max="3847" width="20.7109375" style="964" customWidth="1"/>
    <col min="3848" max="3849" width="8.5703125" style="964" customWidth="1"/>
    <col min="3850" max="3850" width="9" style="964" customWidth="1"/>
    <col min="3851" max="3852" width="8.5703125" style="964" customWidth="1"/>
    <col min="3853" max="3853" width="9" style="964" customWidth="1"/>
    <col min="3854" max="3855" width="8.5703125" style="964" customWidth="1"/>
    <col min="3856" max="3856" width="9" style="964" customWidth="1"/>
    <col min="3857" max="3858" width="8.5703125" style="964" customWidth="1"/>
    <col min="3859" max="3859" width="9" style="964" customWidth="1"/>
    <col min="3860" max="3861" width="8.5703125" style="964" customWidth="1"/>
    <col min="3862" max="3862" width="9" style="964" customWidth="1"/>
    <col min="3863" max="3864" width="8.5703125" style="964" customWidth="1"/>
    <col min="3865" max="3865" width="9" style="964" customWidth="1"/>
    <col min="3866" max="3867" width="8.5703125" style="964" customWidth="1"/>
    <col min="3868" max="3868" width="9" style="964" customWidth="1"/>
    <col min="3869" max="4099" width="9.140625" style="964"/>
    <col min="4100" max="4100" width="3.7109375" style="964" customWidth="1"/>
    <col min="4101" max="4101" width="12.7109375" style="964" customWidth="1"/>
    <col min="4102" max="4102" width="3.7109375" style="964" customWidth="1"/>
    <col min="4103" max="4103" width="20.7109375" style="964" customWidth="1"/>
    <col min="4104" max="4105" width="8.5703125" style="964" customWidth="1"/>
    <col min="4106" max="4106" width="9" style="964" customWidth="1"/>
    <col min="4107" max="4108" width="8.5703125" style="964" customWidth="1"/>
    <col min="4109" max="4109" width="9" style="964" customWidth="1"/>
    <col min="4110" max="4111" width="8.5703125" style="964" customWidth="1"/>
    <col min="4112" max="4112" width="9" style="964" customWidth="1"/>
    <col min="4113" max="4114" width="8.5703125" style="964" customWidth="1"/>
    <col min="4115" max="4115" width="9" style="964" customWidth="1"/>
    <col min="4116" max="4117" width="8.5703125" style="964" customWidth="1"/>
    <col min="4118" max="4118" width="9" style="964" customWidth="1"/>
    <col min="4119" max="4120" width="8.5703125" style="964" customWidth="1"/>
    <col min="4121" max="4121" width="9" style="964" customWidth="1"/>
    <col min="4122" max="4123" width="8.5703125" style="964" customWidth="1"/>
    <col min="4124" max="4124" width="9" style="964" customWidth="1"/>
    <col min="4125" max="4355" width="9.140625" style="964"/>
    <col min="4356" max="4356" width="3.7109375" style="964" customWidth="1"/>
    <col min="4357" max="4357" width="12.7109375" style="964" customWidth="1"/>
    <col min="4358" max="4358" width="3.7109375" style="964" customWidth="1"/>
    <col min="4359" max="4359" width="20.7109375" style="964" customWidth="1"/>
    <col min="4360" max="4361" width="8.5703125" style="964" customWidth="1"/>
    <col min="4362" max="4362" width="9" style="964" customWidth="1"/>
    <col min="4363" max="4364" width="8.5703125" style="964" customWidth="1"/>
    <col min="4365" max="4365" width="9" style="964" customWidth="1"/>
    <col min="4366" max="4367" width="8.5703125" style="964" customWidth="1"/>
    <col min="4368" max="4368" width="9" style="964" customWidth="1"/>
    <col min="4369" max="4370" width="8.5703125" style="964" customWidth="1"/>
    <col min="4371" max="4371" width="9" style="964" customWidth="1"/>
    <col min="4372" max="4373" width="8.5703125" style="964" customWidth="1"/>
    <col min="4374" max="4374" width="9" style="964" customWidth="1"/>
    <col min="4375" max="4376" width="8.5703125" style="964" customWidth="1"/>
    <col min="4377" max="4377" width="9" style="964" customWidth="1"/>
    <col min="4378" max="4379" width="8.5703125" style="964" customWidth="1"/>
    <col min="4380" max="4380" width="9" style="964" customWidth="1"/>
    <col min="4381" max="4611" width="9.140625" style="964"/>
    <col min="4612" max="4612" width="3.7109375" style="964" customWidth="1"/>
    <col min="4613" max="4613" width="12.7109375" style="964" customWidth="1"/>
    <col min="4614" max="4614" width="3.7109375" style="964" customWidth="1"/>
    <col min="4615" max="4615" width="20.7109375" style="964" customWidth="1"/>
    <col min="4616" max="4617" width="8.5703125" style="964" customWidth="1"/>
    <col min="4618" max="4618" width="9" style="964" customWidth="1"/>
    <col min="4619" max="4620" width="8.5703125" style="964" customWidth="1"/>
    <col min="4621" max="4621" width="9" style="964" customWidth="1"/>
    <col min="4622" max="4623" width="8.5703125" style="964" customWidth="1"/>
    <col min="4624" max="4624" width="9" style="964" customWidth="1"/>
    <col min="4625" max="4626" width="8.5703125" style="964" customWidth="1"/>
    <col min="4627" max="4627" width="9" style="964" customWidth="1"/>
    <col min="4628" max="4629" width="8.5703125" style="964" customWidth="1"/>
    <col min="4630" max="4630" width="9" style="964" customWidth="1"/>
    <col min="4631" max="4632" width="8.5703125" style="964" customWidth="1"/>
    <col min="4633" max="4633" width="9" style="964" customWidth="1"/>
    <col min="4634" max="4635" width="8.5703125" style="964" customWidth="1"/>
    <col min="4636" max="4636" width="9" style="964" customWidth="1"/>
    <col min="4637" max="4867" width="9.140625" style="964"/>
    <col min="4868" max="4868" width="3.7109375" style="964" customWidth="1"/>
    <col min="4869" max="4869" width="12.7109375" style="964" customWidth="1"/>
    <col min="4870" max="4870" width="3.7109375" style="964" customWidth="1"/>
    <col min="4871" max="4871" width="20.7109375" style="964" customWidth="1"/>
    <col min="4872" max="4873" width="8.5703125" style="964" customWidth="1"/>
    <col min="4874" max="4874" width="9" style="964" customWidth="1"/>
    <col min="4875" max="4876" width="8.5703125" style="964" customWidth="1"/>
    <col min="4877" max="4877" width="9" style="964" customWidth="1"/>
    <col min="4878" max="4879" width="8.5703125" style="964" customWidth="1"/>
    <col min="4880" max="4880" width="9" style="964" customWidth="1"/>
    <col min="4881" max="4882" width="8.5703125" style="964" customWidth="1"/>
    <col min="4883" max="4883" width="9" style="964" customWidth="1"/>
    <col min="4884" max="4885" width="8.5703125" style="964" customWidth="1"/>
    <col min="4886" max="4886" width="9" style="964" customWidth="1"/>
    <col min="4887" max="4888" width="8.5703125" style="964" customWidth="1"/>
    <col min="4889" max="4889" width="9" style="964" customWidth="1"/>
    <col min="4890" max="4891" width="8.5703125" style="964" customWidth="1"/>
    <col min="4892" max="4892" width="9" style="964" customWidth="1"/>
    <col min="4893" max="5123" width="9.140625" style="964"/>
    <col min="5124" max="5124" width="3.7109375" style="964" customWidth="1"/>
    <col min="5125" max="5125" width="12.7109375" style="964" customWidth="1"/>
    <col min="5126" max="5126" width="3.7109375" style="964" customWidth="1"/>
    <col min="5127" max="5127" width="20.7109375" style="964" customWidth="1"/>
    <col min="5128" max="5129" width="8.5703125" style="964" customWidth="1"/>
    <col min="5130" max="5130" width="9" style="964" customWidth="1"/>
    <col min="5131" max="5132" width="8.5703125" style="964" customWidth="1"/>
    <col min="5133" max="5133" width="9" style="964" customWidth="1"/>
    <col min="5134" max="5135" width="8.5703125" style="964" customWidth="1"/>
    <col min="5136" max="5136" width="9" style="964" customWidth="1"/>
    <col min="5137" max="5138" width="8.5703125" style="964" customWidth="1"/>
    <col min="5139" max="5139" width="9" style="964" customWidth="1"/>
    <col min="5140" max="5141" width="8.5703125" style="964" customWidth="1"/>
    <col min="5142" max="5142" width="9" style="964" customWidth="1"/>
    <col min="5143" max="5144" width="8.5703125" style="964" customWidth="1"/>
    <col min="5145" max="5145" width="9" style="964" customWidth="1"/>
    <col min="5146" max="5147" width="8.5703125" style="964" customWidth="1"/>
    <col min="5148" max="5148" width="9" style="964" customWidth="1"/>
    <col min="5149" max="5379" width="9.140625" style="964"/>
    <col min="5380" max="5380" width="3.7109375" style="964" customWidth="1"/>
    <col min="5381" max="5381" width="12.7109375" style="964" customWidth="1"/>
    <col min="5382" max="5382" width="3.7109375" style="964" customWidth="1"/>
    <col min="5383" max="5383" width="20.7109375" style="964" customWidth="1"/>
    <col min="5384" max="5385" width="8.5703125" style="964" customWidth="1"/>
    <col min="5386" max="5386" width="9" style="964" customWidth="1"/>
    <col min="5387" max="5388" width="8.5703125" style="964" customWidth="1"/>
    <col min="5389" max="5389" width="9" style="964" customWidth="1"/>
    <col min="5390" max="5391" width="8.5703125" style="964" customWidth="1"/>
    <col min="5392" max="5392" width="9" style="964" customWidth="1"/>
    <col min="5393" max="5394" width="8.5703125" style="964" customWidth="1"/>
    <col min="5395" max="5395" width="9" style="964" customWidth="1"/>
    <col min="5396" max="5397" width="8.5703125" style="964" customWidth="1"/>
    <col min="5398" max="5398" width="9" style="964" customWidth="1"/>
    <col min="5399" max="5400" width="8.5703125" style="964" customWidth="1"/>
    <col min="5401" max="5401" width="9" style="964" customWidth="1"/>
    <col min="5402" max="5403" width="8.5703125" style="964" customWidth="1"/>
    <col min="5404" max="5404" width="9" style="964" customWidth="1"/>
    <col min="5405" max="5635" width="9.140625" style="964"/>
    <col min="5636" max="5636" width="3.7109375" style="964" customWidth="1"/>
    <col min="5637" max="5637" width="12.7109375" style="964" customWidth="1"/>
    <col min="5638" max="5638" width="3.7109375" style="964" customWidth="1"/>
    <col min="5639" max="5639" width="20.7109375" style="964" customWidth="1"/>
    <col min="5640" max="5641" width="8.5703125" style="964" customWidth="1"/>
    <col min="5642" max="5642" width="9" style="964" customWidth="1"/>
    <col min="5643" max="5644" width="8.5703125" style="964" customWidth="1"/>
    <col min="5645" max="5645" width="9" style="964" customWidth="1"/>
    <col min="5646" max="5647" width="8.5703125" style="964" customWidth="1"/>
    <col min="5648" max="5648" width="9" style="964" customWidth="1"/>
    <col min="5649" max="5650" width="8.5703125" style="964" customWidth="1"/>
    <col min="5651" max="5651" width="9" style="964" customWidth="1"/>
    <col min="5652" max="5653" width="8.5703125" style="964" customWidth="1"/>
    <col min="5654" max="5654" width="9" style="964" customWidth="1"/>
    <col min="5655" max="5656" width="8.5703125" style="964" customWidth="1"/>
    <col min="5657" max="5657" width="9" style="964" customWidth="1"/>
    <col min="5658" max="5659" width="8.5703125" style="964" customWidth="1"/>
    <col min="5660" max="5660" width="9" style="964" customWidth="1"/>
    <col min="5661" max="5891" width="9.140625" style="964"/>
    <col min="5892" max="5892" width="3.7109375" style="964" customWidth="1"/>
    <col min="5893" max="5893" width="12.7109375" style="964" customWidth="1"/>
    <col min="5894" max="5894" width="3.7109375" style="964" customWidth="1"/>
    <col min="5895" max="5895" width="20.7109375" style="964" customWidth="1"/>
    <col min="5896" max="5897" width="8.5703125" style="964" customWidth="1"/>
    <col min="5898" max="5898" width="9" style="964" customWidth="1"/>
    <col min="5899" max="5900" width="8.5703125" style="964" customWidth="1"/>
    <col min="5901" max="5901" width="9" style="964" customWidth="1"/>
    <col min="5902" max="5903" width="8.5703125" style="964" customWidth="1"/>
    <col min="5904" max="5904" width="9" style="964" customWidth="1"/>
    <col min="5905" max="5906" width="8.5703125" style="964" customWidth="1"/>
    <col min="5907" max="5907" width="9" style="964" customWidth="1"/>
    <col min="5908" max="5909" width="8.5703125" style="964" customWidth="1"/>
    <col min="5910" max="5910" width="9" style="964" customWidth="1"/>
    <col min="5911" max="5912" width="8.5703125" style="964" customWidth="1"/>
    <col min="5913" max="5913" width="9" style="964" customWidth="1"/>
    <col min="5914" max="5915" width="8.5703125" style="964" customWidth="1"/>
    <col min="5916" max="5916" width="9" style="964" customWidth="1"/>
    <col min="5917" max="6147" width="9.140625" style="964"/>
    <col min="6148" max="6148" width="3.7109375" style="964" customWidth="1"/>
    <col min="6149" max="6149" width="12.7109375" style="964" customWidth="1"/>
    <col min="6150" max="6150" width="3.7109375" style="964" customWidth="1"/>
    <col min="6151" max="6151" width="20.7109375" style="964" customWidth="1"/>
    <col min="6152" max="6153" width="8.5703125" style="964" customWidth="1"/>
    <col min="6154" max="6154" width="9" style="964" customWidth="1"/>
    <col min="6155" max="6156" width="8.5703125" style="964" customWidth="1"/>
    <col min="6157" max="6157" width="9" style="964" customWidth="1"/>
    <col min="6158" max="6159" width="8.5703125" style="964" customWidth="1"/>
    <col min="6160" max="6160" width="9" style="964" customWidth="1"/>
    <col min="6161" max="6162" width="8.5703125" style="964" customWidth="1"/>
    <col min="6163" max="6163" width="9" style="964" customWidth="1"/>
    <col min="6164" max="6165" width="8.5703125" style="964" customWidth="1"/>
    <col min="6166" max="6166" width="9" style="964" customWidth="1"/>
    <col min="6167" max="6168" width="8.5703125" style="964" customWidth="1"/>
    <col min="6169" max="6169" width="9" style="964" customWidth="1"/>
    <col min="6170" max="6171" width="8.5703125" style="964" customWidth="1"/>
    <col min="6172" max="6172" width="9" style="964" customWidth="1"/>
    <col min="6173" max="6403" width="9.140625" style="964"/>
    <col min="6404" max="6404" width="3.7109375" style="964" customWidth="1"/>
    <col min="6405" max="6405" width="12.7109375" style="964" customWidth="1"/>
    <col min="6406" max="6406" width="3.7109375" style="964" customWidth="1"/>
    <col min="6407" max="6407" width="20.7109375" style="964" customWidth="1"/>
    <col min="6408" max="6409" width="8.5703125" style="964" customWidth="1"/>
    <col min="6410" max="6410" width="9" style="964" customWidth="1"/>
    <col min="6411" max="6412" width="8.5703125" style="964" customWidth="1"/>
    <col min="6413" max="6413" width="9" style="964" customWidth="1"/>
    <col min="6414" max="6415" width="8.5703125" style="964" customWidth="1"/>
    <col min="6416" max="6416" width="9" style="964" customWidth="1"/>
    <col min="6417" max="6418" width="8.5703125" style="964" customWidth="1"/>
    <col min="6419" max="6419" width="9" style="964" customWidth="1"/>
    <col min="6420" max="6421" width="8.5703125" style="964" customWidth="1"/>
    <col min="6422" max="6422" width="9" style="964" customWidth="1"/>
    <col min="6423" max="6424" width="8.5703125" style="964" customWidth="1"/>
    <col min="6425" max="6425" width="9" style="964" customWidth="1"/>
    <col min="6426" max="6427" width="8.5703125" style="964" customWidth="1"/>
    <col min="6428" max="6428" width="9" style="964" customWidth="1"/>
    <col min="6429" max="6659" width="9.140625" style="964"/>
    <col min="6660" max="6660" width="3.7109375" style="964" customWidth="1"/>
    <col min="6661" max="6661" width="12.7109375" style="964" customWidth="1"/>
    <col min="6662" max="6662" width="3.7109375" style="964" customWidth="1"/>
    <col min="6663" max="6663" width="20.7109375" style="964" customWidth="1"/>
    <col min="6664" max="6665" width="8.5703125" style="964" customWidth="1"/>
    <col min="6666" max="6666" width="9" style="964" customWidth="1"/>
    <col min="6667" max="6668" width="8.5703125" style="964" customWidth="1"/>
    <col min="6669" max="6669" width="9" style="964" customWidth="1"/>
    <col min="6670" max="6671" width="8.5703125" style="964" customWidth="1"/>
    <col min="6672" max="6672" width="9" style="964" customWidth="1"/>
    <col min="6673" max="6674" width="8.5703125" style="964" customWidth="1"/>
    <col min="6675" max="6675" width="9" style="964" customWidth="1"/>
    <col min="6676" max="6677" width="8.5703125" style="964" customWidth="1"/>
    <col min="6678" max="6678" width="9" style="964" customWidth="1"/>
    <col min="6679" max="6680" width="8.5703125" style="964" customWidth="1"/>
    <col min="6681" max="6681" width="9" style="964" customWidth="1"/>
    <col min="6682" max="6683" width="8.5703125" style="964" customWidth="1"/>
    <col min="6684" max="6684" width="9" style="964" customWidth="1"/>
    <col min="6685" max="6915" width="9.140625" style="964"/>
    <col min="6916" max="6916" width="3.7109375" style="964" customWidth="1"/>
    <col min="6917" max="6917" width="12.7109375" style="964" customWidth="1"/>
    <col min="6918" max="6918" width="3.7109375" style="964" customWidth="1"/>
    <col min="6919" max="6919" width="20.7109375" style="964" customWidth="1"/>
    <col min="6920" max="6921" width="8.5703125" style="964" customWidth="1"/>
    <col min="6922" max="6922" width="9" style="964" customWidth="1"/>
    <col min="6923" max="6924" width="8.5703125" style="964" customWidth="1"/>
    <col min="6925" max="6925" width="9" style="964" customWidth="1"/>
    <col min="6926" max="6927" width="8.5703125" style="964" customWidth="1"/>
    <col min="6928" max="6928" width="9" style="964" customWidth="1"/>
    <col min="6929" max="6930" width="8.5703125" style="964" customWidth="1"/>
    <col min="6931" max="6931" width="9" style="964" customWidth="1"/>
    <col min="6932" max="6933" width="8.5703125" style="964" customWidth="1"/>
    <col min="6934" max="6934" width="9" style="964" customWidth="1"/>
    <col min="6935" max="6936" width="8.5703125" style="964" customWidth="1"/>
    <col min="6937" max="6937" width="9" style="964" customWidth="1"/>
    <col min="6938" max="6939" width="8.5703125" style="964" customWidth="1"/>
    <col min="6940" max="6940" width="9" style="964" customWidth="1"/>
    <col min="6941" max="7171" width="9.140625" style="964"/>
    <col min="7172" max="7172" width="3.7109375" style="964" customWidth="1"/>
    <col min="7173" max="7173" width="12.7109375" style="964" customWidth="1"/>
    <col min="7174" max="7174" width="3.7109375" style="964" customWidth="1"/>
    <col min="7175" max="7175" width="20.7109375" style="964" customWidth="1"/>
    <col min="7176" max="7177" width="8.5703125" style="964" customWidth="1"/>
    <col min="7178" max="7178" width="9" style="964" customWidth="1"/>
    <col min="7179" max="7180" width="8.5703125" style="964" customWidth="1"/>
    <col min="7181" max="7181" width="9" style="964" customWidth="1"/>
    <col min="7182" max="7183" width="8.5703125" style="964" customWidth="1"/>
    <col min="7184" max="7184" width="9" style="964" customWidth="1"/>
    <col min="7185" max="7186" width="8.5703125" style="964" customWidth="1"/>
    <col min="7187" max="7187" width="9" style="964" customWidth="1"/>
    <col min="7188" max="7189" width="8.5703125" style="964" customWidth="1"/>
    <col min="7190" max="7190" width="9" style="964" customWidth="1"/>
    <col min="7191" max="7192" width="8.5703125" style="964" customWidth="1"/>
    <col min="7193" max="7193" width="9" style="964" customWidth="1"/>
    <col min="7194" max="7195" width="8.5703125" style="964" customWidth="1"/>
    <col min="7196" max="7196" width="9" style="964" customWidth="1"/>
    <col min="7197" max="7427" width="9.140625" style="964"/>
    <col min="7428" max="7428" width="3.7109375" style="964" customWidth="1"/>
    <col min="7429" max="7429" width="12.7109375" style="964" customWidth="1"/>
    <col min="7430" max="7430" width="3.7109375" style="964" customWidth="1"/>
    <col min="7431" max="7431" width="20.7109375" style="964" customWidth="1"/>
    <col min="7432" max="7433" width="8.5703125" style="964" customWidth="1"/>
    <col min="7434" max="7434" width="9" style="964" customWidth="1"/>
    <col min="7435" max="7436" width="8.5703125" style="964" customWidth="1"/>
    <col min="7437" max="7437" width="9" style="964" customWidth="1"/>
    <col min="7438" max="7439" width="8.5703125" style="964" customWidth="1"/>
    <col min="7440" max="7440" width="9" style="964" customWidth="1"/>
    <col min="7441" max="7442" width="8.5703125" style="964" customWidth="1"/>
    <col min="7443" max="7443" width="9" style="964" customWidth="1"/>
    <col min="7444" max="7445" width="8.5703125" style="964" customWidth="1"/>
    <col min="7446" max="7446" width="9" style="964" customWidth="1"/>
    <col min="7447" max="7448" width="8.5703125" style="964" customWidth="1"/>
    <col min="7449" max="7449" width="9" style="964" customWidth="1"/>
    <col min="7450" max="7451" width="8.5703125" style="964" customWidth="1"/>
    <col min="7452" max="7452" width="9" style="964" customWidth="1"/>
    <col min="7453" max="7683" width="9.140625" style="964"/>
    <col min="7684" max="7684" width="3.7109375" style="964" customWidth="1"/>
    <col min="7685" max="7685" width="12.7109375" style="964" customWidth="1"/>
    <col min="7686" max="7686" width="3.7109375" style="964" customWidth="1"/>
    <col min="7687" max="7687" width="20.7109375" style="964" customWidth="1"/>
    <col min="7688" max="7689" width="8.5703125" style="964" customWidth="1"/>
    <col min="7690" max="7690" width="9" style="964" customWidth="1"/>
    <col min="7691" max="7692" width="8.5703125" style="964" customWidth="1"/>
    <col min="7693" max="7693" width="9" style="964" customWidth="1"/>
    <col min="7694" max="7695" width="8.5703125" style="964" customWidth="1"/>
    <col min="7696" max="7696" width="9" style="964" customWidth="1"/>
    <col min="7697" max="7698" width="8.5703125" style="964" customWidth="1"/>
    <col min="7699" max="7699" width="9" style="964" customWidth="1"/>
    <col min="7700" max="7701" width="8.5703125" style="964" customWidth="1"/>
    <col min="7702" max="7702" width="9" style="964" customWidth="1"/>
    <col min="7703" max="7704" width="8.5703125" style="964" customWidth="1"/>
    <col min="7705" max="7705" width="9" style="964" customWidth="1"/>
    <col min="7706" max="7707" width="8.5703125" style="964" customWidth="1"/>
    <col min="7708" max="7708" width="9" style="964" customWidth="1"/>
    <col min="7709" max="7939" width="9.140625" style="964"/>
    <col min="7940" max="7940" width="3.7109375" style="964" customWidth="1"/>
    <col min="7941" max="7941" width="12.7109375" style="964" customWidth="1"/>
    <col min="7942" max="7942" width="3.7109375" style="964" customWidth="1"/>
    <col min="7943" max="7943" width="20.7109375" style="964" customWidth="1"/>
    <col min="7944" max="7945" width="8.5703125" style="964" customWidth="1"/>
    <col min="7946" max="7946" width="9" style="964" customWidth="1"/>
    <col min="7947" max="7948" width="8.5703125" style="964" customWidth="1"/>
    <col min="7949" max="7949" width="9" style="964" customWidth="1"/>
    <col min="7950" max="7951" width="8.5703125" style="964" customWidth="1"/>
    <col min="7952" max="7952" width="9" style="964" customWidth="1"/>
    <col min="7953" max="7954" width="8.5703125" style="964" customWidth="1"/>
    <col min="7955" max="7955" width="9" style="964" customWidth="1"/>
    <col min="7956" max="7957" width="8.5703125" style="964" customWidth="1"/>
    <col min="7958" max="7958" width="9" style="964" customWidth="1"/>
    <col min="7959" max="7960" width="8.5703125" style="964" customWidth="1"/>
    <col min="7961" max="7961" width="9" style="964" customWidth="1"/>
    <col min="7962" max="7963" width="8.5703125" style="964" customWidth="1"/>
    <col min="7964" max="7964" width="9" style="964" customWidth="1"/>
    <col min="7965" max="8195" width="9.140625" style="964"/>
    <col min="8196" max="8196" width="3.7109375" style="964" customWidth="1"/>
    <col min="8197" max="8197" width="12.7109375" style="964" customWidth="1"/>
    <col min="8198" max="8198" width="3.7109375" style="964" customWidth="1"/>
    <col min="8199" max="8199" width="20.7109375" style="964" customWidth="1"/>
    <col min="8200" max="8201" width="8.5703125" style="964" customWidth="1"/>
    <col min="8202" max="8202" width="9" style="964" customWidth="1"/>
    <col min="8203" max="8204" width="8.5703125" style="964" customWidth="1"/>
    <col min="8205" max="8205" width="9" style="964" customWidth="1"/>
    <col min="8206" max="8207" width="8.5703125" style="964" customWidth="1"/>
    <col min="8208" max="8208" width="9" style="964" customWidth="1"/>
    <col min="8209" max="8210" width="8.5703125" style="964" customWidth="1"/>
    <col min="8211" max="8211" width="9" style="964" customWidth="1"/>
    <col min="8212" max="8213" width="8.5703125" style="964" customWidth="1"/>
    <col min="8214" max="8214" width="9" style="964" customWidth="1"/>
    <col min="8215" max="8216" width="8.5703125" style="964" customWidth="1"/>
    <col min="8217" max="8217" width="9" style="964" customWidth="1"/>
    <col min="8218" max="8219" width="8.5703125" style="964" customWidth="1"/>
    <col min="8220" max="8220" width="9" style="964" customWidth="1"/>
    <col min="8221" max="8451" width="9.140625" style="964"/>
    <col min="8452" max="8452" width="3.7109375" style="964" customWidth="1"/>
    <col min="8453" max="8453" width="12.7109375" style="964" customWidth="1"/>
    <col min="8454" max="8454" width="3.7109375" style="964" customWidth="1"/>
    <col min="8455" max="8455" width="20.7109375" style="964" customWidth="1"/>
    <col min="8456" max="8457" width="8.5703125" style="964" customWidth="1"/>
    <col min="8458" max="8458" width="9" style="964" customWidth="1"/>
    <col min="8459" max="8460" width="8.5703125" style="964" customWidth="1"/>
    <col min="8461" max="8461" width="9" style="964" customWidth="1"/>
    <col min="8462" max="8463" width="8.5703125" style="964" customWidth="1"/>
    <col min="8464" max="8464" width="9" style="964" customWidth="1"/>
    <col min="8465" max="8466" width="8.5703125" style="964" customWidth="1"/>
    <col min="8467" max="8467" width="9" style="964" customWidth="1"/>
    <col min="8468" max="8469" width="8.5703125" style="964" customWidth="1"/>
    <col min="8470" max="8470" width="9" style="964" customWidth="1"/>
    <col min="8471" max="8472" width="8.5703125" style="964" customWidth="1"/>
    <col min="8473" max="8473" width="9" style="964" customWidth="1"/>
    <col min="8474" max="8475" width="8.5703125" style="964" customWidth="1"/>
    <col min="8476" max="8476" width="9" style="964" customWidth="1"/>
    <col min="8477" max="8707" width="9.140625" style="964"/>
    <col min="8708" max="8708" width="3.7109375" style="964" customWidth="1"/>
    <col min="8709" max="8709" width="12.7109375" style="964" customWidth="1"/>
    <col min="8710" max="8710" width="3.7109375" style="964" customWidth="1"/>
    <col min="8711" max="8711" width="20.7109375" style="964" customWidth="1"/>
    <col min="8712" max="8713" width="8.5703125" style="964" customWidth="1"/>
    <col min="8714" max="8714" width="9" style="964" customWidth="1"/>
    <col min="8715" max="8716" width="8.5703125" style="964" customWidth="1"/>
    <col min="8717" max="8717" width="9" style="964" customWidth="1"/>
    <col min="8718" max="8719" width="8.5703125" style="964" customWidth="1"/>
    <col min="8720" max="8720" width="9" style="964" customWidth="1"/>
    <col min="8721" max="8722" width="8.5703125" style="964" customWidth="1"/>
    <col min="8723" max="8723" width="9" style="964" customWidth="1"/>
    <col min="8724" max="8725" width="8.5703125" style="964" customWidth="1"/>
    <col min="8726" max="8726" width="9" style="964" customWidth="1"/>
    <col min="8727" max="8728" width="8.5703125" style="964" customWidth="1"/>
    <col min="8729" max="8729" width="9" style="964" customWidth="1"/>
    <col min="8730" max="8731" width="8.5703125" style="964" customWidth="1"/>
    <col min="8732" max="8732" width="9" style="964" customWidth="1"/>
    <col min="8733" max="8963" width="9.140625" style="964"/>
    <col min="8964" max="8964" width="3.7109375" style="964" customWidth="1"/>
    <col min="8965" max="8965" width="12.7109375" style="964" customWidth="1"/>
    <col min="8966" max="8966" width="3.7109375" style="964" customWidth="1"/>
    <col min="8967" max="8967" width="20.7109375" style="964" customWidth="1"/>
    <col min="8968" max="8969" width="8.5703125" style="964" customWidth="1"/>
    <col min="8970" max="8970" width="9" style="964" customWidth="1"/>
    <col min="8971" max="8972" width="8.5703125" style="964" customWidth="1"/>
    <col min="8973" max="8973" width="9" style="964" customWidth="1"/>
    <col min="8974" max="8975" width="8.5703125" style="964" customWidth="1"/>
    <col min="8976" max="8976" width="9" style="964" customWidth="1"/>
    <col min="8977" max="8978" width="8.5703125" style="964" customWidth="1"/>
    <col min="8979" max="8979" width="9" style="964" customWidth="1"/>
    <col min="8980" max="8981" width="8.5703125" style="964" customWidth="1"/>
    <col min="8982" max="8982" width="9" style="964" customWidth="1"/>
    <col min="8983" max="8984" width="8.5703125" style="964" customWidth="1"/>
    <col min="8985" max="8985" width="9" style="964" customWidth="1"/>
    <col min="8986" max="8987" width="8.5703125" style="964" customWidth="1"/>
    <col min="8988" max="8988" width="9" style="964" customWidth="1"/>
    <col min="8989" max="9219" width="9.140625" style="964"/>
    <col min="9220" max="9220" width="3.7109375" style="964" customWidth="1"/>
    <col min="9221" max="9221" width="12.7109375" style="964" customWidth="1"/>
    <col min="9222" max="9222" width="3.7109375" style="964" customWidth="1"/>
    <col min="9223" max="9223" width="20.7109375" style="964" customWidth="1"/>
    <col min="9224" max="9225" width="8.5703125" style="964" customWidth="1"/>
    <col min="9226" max="9226" width="9" style="964" customWidth="1"/>
    <col min="9227" max="9228" width="8.5703125" style="964" customWidth="1"/>
    <col min="9229" max="9229" width="9" style="964" customWidth="1"/>
    <col min="9230" max="9231" width="8.5703125" style="964" customWidth="1"/>
    <col min="9232" max="9232" width="9" style="964" customWidth="1"/>
    <col min="9233" max="9234" width="8.5703125" style="964" customWidth="1"/>
    <col min="9235" max="9235" width="9" style="964" customWidth="1"/>
    <col min="9236" max="9237" width="8.5703125" style="964" customWidth="1"/>
    <col min="9238" max="9238" width="9" style="964" customWidth="1"/>
    <col min="9239" max="9240" width="8.5703125" style="964" customWidth="1"/>
    <col min="9241" max="9241" width="9" style="964" customWidth="1"/>
    <col min="9242" max="9243" width="8.5703125" style="964" customWidth="1"/>
    <col min="9244" max="9244" width="9" style="964" customWidth="1"/>
    <col min="9245" max="9475" width="9.140625" style="964"/>
    <col min="9476" max="9476" width="3.7109375" style="964" customWidth="1"/>
    <col min="9477" max="9477" width="12.7109375" style="964" customWidth="1"/>
    <col min="9478" max="9478" width="3.7109375" style="964" customWidth="1"/>
    <col min="9479" max="9479" width="20.7109375" style="964" customWidth="1"/>
    <col min="9480" max="9481" width="8.5703125" style="964" customWidth="1"/>
    <col min="9482" max="9482" width="9" style="964" customWidth="1"/>
    <col min="9483" max="9484" width="8.5703125" style="964" customWidth="1"/>
    <col min="9485" max="9485" width="9" style="964" customWidth="1"/>
    <col min="9486" max="9487" width="8.5703125" style="964" customWidth="1"/>
    <col min="9488" max="9488" width="9" style="964" customWidth="1"/>
    <col min="9489" max="9490" width="8.5703125" style="964" customWidth="1"/>
    <col min="9491" max="9491" width="9" style="964" customWidth="1"/>
    <col min="9492" max="9493" width="8.5703125" style="964" customWidth="1"/>
    <col min="9494" max="9494" width="9" style="964" customWidth="1"/>
    <col min="9495" max="9496" width="8.5703125" style="964" customWidth="1"/>
    <col min="9497" max="9497" width="9" style="964" customWidth="1"/>
    <col min="9498" max="9499" width="8.5703125" style="964" customWidth="1"/>
    <col min="9500" max="9500" width="9" style="964" customWidth="1"/>
    <col min="9501" max="9731" width="9.140625" style="964"/>
    <col min="9732" max="9732" width="3.7109375" style="964" customWidth="1"/>
    <col min="9733" max="9733" width="12.7109375" style="964" customWidth="1"/>
    <col min="9734" max="9734" width="3.7109375" style="964" customWidth="1"/>
    <col min="9735" max="9735" width="20.7109375" style="964" customWidth="1"/>
    <col min="9736" max="9737" width="8.5703125" style="964" customWidth="1"/>
    <col min="9738" max="9738" width="9" style="964" customWidth="1"/>
    <col min="9739" max="9740" width="8.5703125" style="964" customWidth="1"/>
    <col min="9741" max="9741" width="9" style="964" customWidth="1"/>
    <col min="9742" max="9743" width="8.5703125" style="964" customWidth="1"/>
    <col min="9744" max="9744" width="9" style="964" customWidth="1"/>
    <col min="9745" max="9746" width="8.5703125" style="964" customWidth="1"/>
    <col min="9747" max="9747" width="9" style="964" customWidth="1"/>
    <col min="9748" max="9749" width="8.5703125" style="964" customWidth="1"/>
    <col min="9750" max="9750" width="9" style="964" customWidth="1"/>
    <col min="9751" max="9752" width="8.5703125" style="964" customWidth="1"/>
    <col min="9753" max="9753" width="9" style="964" customWidth="1"/>
    <col min="9754" max="9755" width="8.5703125" style="964" customWidth="1"/>
    <col min="9756" max="9756" width="9" style="964" customWidth="1"/>
    <col min="9757" max="9987" width="9.140625" style="964"/>
    <col min="9988" max="9988" width="3.7109375" style="964" customWidth="1"/>
    <col min="9989" max="9989" width="12.7109375" style="964" customWidth="1"/>
    <col min="9990" max="9990" width="3.7109375" style="964" customWidth="1"/>
    <col min="9991" max="9991" width="20.7109375" style="964" customWidth="1"/>
    <col min="9992" max="9993" width="8.5703125" style="964" customWidth="1"/>
    <col min="9994" max="9994" width="9" style="964" customWidth="1"/>
    <col min="9995" max="9996" width="8.5703125" style="964" customWidth="1"/>
    <col min="9997" max="9997" width="9" style="964" customWidth="1"/>
    <col min="9998" max="9999" width="8.5703125" style="964" customWidth="1"/>
    <col min="10000" max="10000" width="9" style="964" customWidth="1"/>
    <col min="10001" max="10002" width="8.5703125" style="964" customWidth="1"/>
    <col min="10003" max="10003" width="9" style="964" customWidth="1"/>
    <col min="10004" max="10005" width="8.5703125" style="964" customWidth="1"/>
    <col min="10006" max="10006" width="9" style="964" customWidth="1"/>
    <col min="10007" max="10008" width="8.5703125" style="964" customWidth="1"/>
    <col min="10009" max="10009" width="9" style="964" customWidth="1"/>
    <col min="10010" max="10011" width="8.5703125" style="964" customWidth="1"/>
    <col min="10012" max="10012" width="9" style="964" customWidth="1"/>
    <col min="10013" max="10243" width="9.140625" style="964"/>
    <col min="10244" max="10244" width="3.7109375" style="964" customWidth="1"/>
    <col min="10245" max="10245" width="12.7109375" style="964" customWidth="1"/>
    <col min="10246" max="10246" width="3.7109375" style="964" customWidth="1"/>
    <col min="10247" max="10247" width="20.7109375" style="964" customWidth="1"/>
    <col min="10248" max="10249" width="8.5703125" style="964" customWidth="1"/>
    <col min="10250" max="10250" width="9" style="964" customWidth="1"/>
    <col min="10251" max="10252" width="8.5703125" style="964" customWidth="1"/>
    <col min="10253" max="10253" width="9" style="964" customWidth="1"/>
    <col min="10254" max="10255" width="8.5703125" style="964" customWidth="1"/>
    <col min="10256" max="10256" width="9" style="964" customWidth="1"/>
    <col min="10257" max="10258" width="8.5703125" style="964" customWidth="1"/>
    <col min="10259" max="10259" width="9" style="964" customWidth="1"/>
    <col min="10260" max="10261" width="8.5703125" style="964" customWidth="1"/>
    <col min="10262" max="10262" width="9" style="964" customWidth="1"/>
    <col min="10263" max="10264" width="8.5703125" style="964" customWidth="1"/>
    <col min="10265" max="10265" width="9" style="964" customWidth="1"/>
    <col min="10266" max="10267" width="8.5703125" style="964" customWidth="1"/>
    <col min="10268" max="10268" width="9" style="964" customWidth="1"/>
    <col min="10269" max="10499" width="9.140625" style="964"/>
    <col min="10500" max="10500" width="3.7109375" style="964" customWidth="1"/>
    <col min="10501" max="10501" width="12.7109375" style="964" customWidth="1"/>
    <col min="10502" max="10502" width="3.7109375" style="964" customWidth="1"/>
    <col min="10503" max="10503" width="20.7109375" style="964" customWidth="1"/>
    <col min="10504" max="10505" width="8.5703125" style="964" customWidth="1"/>
    <col min="10506" max="10506" width="9" style="964" customWidth="1"/>
    <col min="10507" max="10508" width="8.5703125" style="964" customWidth="1"/>
    <col min="10509" max="10509" width="9" style="964" customWidth="1"/>
    <col min="10510" max="10511" width="8.5703125" style="964" customWidth="1"/>
    <col min="10512" max="10512" width="9" style="964" customWidth="1"/>
    <col min="10513" max="10514" width="8.5703125" style="964" customWidth="1"/>
    <col min="10515" max="10515" width="9" style="964" customWidth="1"/>
    <col min="10516" max="10517" width="8.5703125" style="964" customWidth="1"/>
    <col min="10518" max="10518" width="9" style="964" customWidth="1"/>
    <col min="10519" max="10520" width="8.5703125" style="964" customWidth="1"/>
    <col min="10521" max="10521" width="9" style="964" customWidth="1"/>
    <col min="10522" max="10523" width="8.5703125" style="964" customWidth="1"/>
    <col min="10524" max="10524" width="9" style="964" customWidth="1"/>
    <col min="10525" max="10755" width="9.140625" style="964"/>
    <col min="10756" max="10756" width="3.7109375" style="964" customWidth="1"/>
    <col min="10757" max="10757" width="12.7109375" style="964" customWidth="1"/>
    <col min="10758" max="10758" width="3.7109375" style="964" customWidth="1"/>
    <col min="10759" max="10759" width="20.7109375" style="964" customWidth="1"/>
    <col min="10760" max="10761" width="8.5703125" style="964" customWidth="1"/>
    <col min="10762" max="10762" width="9" style="964" customWidth="1"/>
    <col min="10763" max="10764" width="8.5703125" style="964" customWidth="1"/>
    <col min="10765" max="10765" width="9" style="964" customWidth="1"/>
    <col min="10766" max="10767" width="8.5703125" style="964" customWidth="1"/>
    <col min="10768" max="10768" width="9" style="964" customWidth="1"/>
    <col min="10769" max="10770" width="8.5703125" style="964" customWidth="1"/>
    <col min="10771" max="10771" width="9" style="964" customWidth="1"/>
    <col min="10772" max="10773" width="8.5703125" style="964" customWidth="1"/>
    <col min="10774" max="10774" width="9" style="964" customWidth="1"/>
    <col min="10775" max="10776" width="8.5703125" style="964" customWidth="1"/>
    <col min="10777" max="10777" width="9" style="964" customWidth="1"/>
    <col min="10778" max="10779" width="8.5703125" style="964" customWidth="1"/>
    <col min="10780" max="10780" width="9" style="964" customWidth="1"/>
    <col min="10781" max="11011" width="9.140625" style="964"/>
    <col min="11012" max="11012" width="3.7109375" style="964" customWidth="1"/>
    <col min="11013" max="11013" width="12.7109375" style="964" customWidth="1"/>
    <col min="11014" max="11014" width="3.7109375" style="964" customWidth="1"/>
    <col min="11015" max="11015" width="20.7109375" style="964" customWidth="1"/>
    <col min="11016" max="11017" width="8.5703125" style="964" customWidth="1"/>
    <col min="11018" max="11018" width="9" style="964" customWidth="1"/>
    <col min="11019" max="11020" width="8.5703125" style="964" customWidth="1"/>
    <col min="11021" max="11021" width="9" style="964" customWidth="1"/>
    <col min="11022" max="11023" width="8.5703125" style="964" customWidth="1"/>
    <col min="11024" max="11024" width="9" style="964" customWidth="1"/>
    <col min="11025" max="11026" width="8.5703125" style="964" customWidth="1"/>
    <col min="11027" max="11027" width="9" style="964" customWidth="1"/>
    <col min="11028" max="11029" width="8.5703125" style="964" customWidth="1"/>
    <col min="11030" max="11030" width="9" style="964" customWidth="1"/>
    <col min="11031" max="11032" width="8.5703125" style="964" customWidth="1"/>
    <col min="11033" max="11033" width="9" style="964" customWidth="1"/>
    <col min="11034" max="11035" width="8.5703125" style="964" customWidth="1"/>
    <col min="11036" max="11036" width="9" style="964" customWidth="1"/>
    <col min="11037" max="11267" width="9.140625" style="964"/>
    <col min="11268" max="11268" width="3.7109375" style="964" customWidth="1"/>
    <col min="11269" max="11269" width="12.7109375" style="964" customWidth="1"/>
    <col min="11270" max="11270" width="3.7109375" style="964" customWidth="1"/>
    <col min="11271" max="11271" width="20.7109375" style="964" customWidth="1"/>
    <col min="11272" max="11273" width="8.5703125" style="964" customWidth="1"/>
    <col min="11274" max="11274" width="9" style="964" customWidth="1"/>
    <col min="11275" max="11276" width="8.5703125" style="964" customWidth="1"/>
    <col min="11277" max="11277" width="9" style="964" customWidth="1"/>
    <col min="11278" max="11279" width="8.5703125" style="964" customWidth="1"/>
    <col min="11280" max="11280" width="9" style="964" customWidth="1"/>
    <col min="11281" max="11282" width="8.5703125" style="964" customWidth="1"/>
    <col min="11283" max="11283" width="9" style="964" customWidth="1"/>
    <col min="11284" max="11285" width="8.5703125" style="964" customWidth="1"/>
    <col min="11286" max="11286" width="9" style="964" customWidth="1"/>
    <col min="11287" max="11288" width="8.5703125" style="964" customWidth="1"/>
    <col min="11289" max="11289" width="9" style="964" customWidth="1"/>
    <col min="11290" max="11291" width="8.5703125" style="964" customWidth="1"/>
    <col min="11292" max="11292" width="9" style="964" customWidth="1"/>
    <col min="11293" max="11523" width="9.140625" style="964"/>
    <col min="11524" max="11524" width="3.7109375" style="964" customWidth="1"/>
    <col min="11525" max="11525" width="12.7109375" style="964" customWidth="1"/>
    <col min="11526" max="11526" width="3.7109375" style="964" customWidth="1"/>
    <col min="11527" max="11527" width="20.7109375" style="964" customWidth="1"/>
    <col min="11528" max="11529" width="8.5703125" style="964" customWidth="1"/>
    <col min="11530" max="11530" width="9" style="964" customWidth="1"/>
    <col min="11531" max="11532" width="8.5703125" style="964" customWidth="1"/>
    <col min="11533" max="11533" width="9" style="964" customWidth="1"/>
    <col min="11534" max="11535" width="8.5703125" style="964" customWidth="1"/>
    <col min="11536" max="11536" width="9" style="964" customWidth="1"/>
    <col min="11537" max="11538" width="8.5703125" style="964" customWidth="1"/>
    <col min="11539" max="11539" width="9" style="964" customWidth="1"/>
    <col min="11540" max="11541" width="8.5703125" style="964" customWidth="1"/>
    <col min="11542" max="11542" width="9" style="964" customWidth="1"/>
    <col min="11543" max="11544" width="8.5703125" style="964" customWidth="1"/>
    <col min="11545" max="11545" width="9" style="964" customWidth="1"/>
    <col min="11546" max="11547" width="8.5703125" style="964" customWidth="1"/>
    <col min="11548" max="11548" width="9" style="964" customWidth="1"/>
    <col min="11549" max="11779" width="9.140625" style="964"/>
    <col min="11780" max="11780" width="3.7109375" style="964" customWidth="1"/>
    <col min="11781" max="11781" width="12.7109375" style="964" customWidth="1"/>
    <col min="11782" max="11782" width="3.7109375" style="964" customWidth="1"/>
    <col min="11783" max="11783" width="20.7109375" style="964" customWidth="1"/>
    <col min="11784" max="11785" width="8.5703125" style="964" customWidth="1"/>
    <col min="11786" max="11786" width="9" style="964" customWidth="1"/>
    <col min="11787" max="11788" width="8.5703125" style="964" customWidth="1"/>
    <col min="11789" max="11789" width="9" style="964" customWidth="1"/>
    <col min="11790" max="11791" width="8.5703125" style="964" customWidth="1"/>
    <col min="11792" max="11792" width="9" style="964" customWidth="1"/>
    <col min="11793" max="11794" width="8.5703125" style="964" customWidth="1"/>
    <col min="11795" max="11795" width="9" style="964" customWidth="1"/>
    <col min="11796" max="11797" width="8.5703125" style="964" customWidth="1"/>
    <col min="11798" max="11798" width="9" style="964" customWidth="1"/>
    <col min="11799" max="11800" width="8.5703125" style="964" customWidth="1"/>
    <col min="11801" max="11801" width="9" style="964" customWidth="1"/>
    <col min="11802" max="11803" width="8.5703125" style="964" customWidth="1"/>
    <col min="11804" max="11804" width="9" style="964" customWidth="1"/>
    <col min="11805" max="12035" width="9.140625" style="964"/>
    <col min="12036" max="12036" width="3.7109375" style="964" customWidth="1"/>
    <col min="12037" max="12037" width="12.7109375" style="964" customWidth="1"/>
    <col min="12038" max="12038" width="3.7109375" style="964" customWidth="1"/>
    <col min="12039" max="12039" width="20.7109375" style="964" customWidth="1"/>
    <col min="12040" max="12041" width="8.5703125" style="964" customWidth="1"/>
    <col min="12042" max="12042" width="9" style="964" customWidth="1"/>
    <col min="12043" max="12044" width="8.5703125" style="964" customWidth="1"/>
    <col min="12045" max="12045" width="9" style="964" customWidth="1"/>
    <col min="12046" max="12047" width="8.5703125" style="964" customWidth="1"/>
    <col min="12048" max="12048" width="9" style="964" customWidth="1"/>
    <col min="12049" max="12050" width="8.5703125" style="964" customWidth="1"/>
    <col min="12051" max="12051" width="9" style="964" customWidth="1"/>
    <col min="12052" max="12053" width="8.5703125" style="964" customWidth="1"/>
    <col min="12054" max="12054" width="9" style="964" customWidth="1"/>
    <col min="12055" max="12056" width="8.5703125" style="964" customWidth="1"/>
    <col min="12057" max="12057" width="9" style="964" customWidth="1"/>
    <col min="12058" max="12059" width="8.5703125" style="964" customWidth="1"/>
    <col min="12060" max="12060" width="9" style="964" customWidth="1"/>
    <col min="12061" max="12291" width="9.140625" style="964"/>
    <col min="12292" max="12292" width="3.7109375" style="964" customWidth="1"/>
    <col min="12293" max="12293" width="12.7109375" style="964" customWidth="1"/>
    <col min="12294" max="12294" width="3.7109375" style="964" customWidth="1"/>
    <col min="12295" max="12295" width="20.7109375" style="964" customWidth="1"/>
    <col min="12296" max="12297" width="8.5703125" style="964" customWidth="1"/>
    <col min="12298" max="12298" width="9" style="964" customWidth="1"/>
    <col min="12299" max="12300" width="8.5703125" style="964" customWidth="1"/>
    <col min="12301" max="12301" width="9" style="964" customWidth="1"/>
    <col min="12302" max="12303" width="8.5703125" style="964" customWidth="1"/>
    <col min="12304" max="12304" width="9" style="964" customWidth="1"/>
    <col min="12305" max="12306" width="8.5703125" style="964" customWidth="1"/>
    <col min="12307" max="12307" width="9" style="964" customWidth="1"/>
    <col min="12308" max="12309" width="8.5703125" style="964" customWidth="1"/>
    <col min="12310" max="12310" width="9" style="964" customWidth="1"/>
    <col min="12311" max="12312" width="8.5703125" style="964" customWidth="1"/>
    <col min="12313" max="12313" width="9" style="964" customWidth="1"/>
    <col min="12314" max="12315" width="8.5703125" style="964" customWidth="1"/>
    <col min="12316" max="12316" width="9" style="964" customWidth="1"/>
    <col min="12317" max="12547" width="9.140625" style="964"/>
    <col min="12548" max="12548" width="3.7109375" style="964" customWidth="1"/>
    <col min="12549" max="12549" width="12.7109375" style="964" customWidth="1"/>
    <col min="12550" max="12550" width="3.7109375" style="964" customWidth="1"/>
    <col min="12551" max="12551" width="20.7109375" style="964" customWidth="1"/>
    <col min="12552" max="12553" width="8.5703125" style="964" customWidth="1"/>
    <col min="12554" max="12554" width="9" style="964" customWidth="1"/>
    <col min="12555" max="12556" width="8.5703125" style="964" customWidth="1"/>
    <col min="12557" max="12557" width="9" style="964" customWidth="1"/>
    <col min="12558" max="12559" width="8.5703125" style="964" customWidth="1"/>
    <col min="12560" max="12560" width="9" style="964" customWidth="1"/>
    <col min="12561" max="12562" width="8.5703125" style="964" customWidth="1"/>
    <col min="12563" max="12563" width="9" style="964" customWidth="1"/>
    <col min="12564" max="12565" width="8.5703125" style="964" customWidth="1"/>
    <col min="12566" max="12566" width="9" style="964" customWidth="1"/>
    <col min="12567" max="12568" width="8.5703125" style="964" customWidth="1"/>
    <col min="12569" max="12569" width="9" style="964" customWidth="1"/>
    <col min="12570" max="12571" width="8.5703125" style="964" customWidth="1"/>
    <col min="12572" max="12572" width="9" style="964" customWidth="1"/>
    <col min="12573" max="12803" width="9.140625" style="964"/>
    <col min="12804" max="12804" width="3.7109375" style="964" customWidth="1"/>
    <col min="12805" max="12805" width="12.7109375" style="964" customWidth="1"/>
    <col min="12806" max="12806" width="3.7109375" style="964" customWidth="1"/>
    <col min="12807" max="12807" width="20.7109375" style="964" customWidth="1"/>
    <col min="12808" max="12809" width="8.5703125" style="964" customWidth="1"/>
    <col min="12810" max="12810" width="9" style="964" customWidth="1"/>
    <col min="12811" max="12812" width="8.5703125" style="964" customWidth="1"/>
    <col min="12813" max="12813" width="9" style="964" customWidth="1"/>
    <col min="12814" max="12815" width="8.5703125" style="964" customWidth="1"/>
    <col min="12816" max="12816" width="9" style="964" customWidth="1"/>
    <col min="12817" max="12818" width="8.5703125" style="964" customWidth="1"/>
    <col min="12819" max="12819" width="9" style="964" customWidth="1"/>
    <col min="12820" max="12821" width="8.5703125" style="964" customWidth="1"/>
    <col min="12822" max="12822" width="9" style="964" customWidth="1"/>
    <col min="12823" max="12824" width="8.5703125" style="964" customWidth="1"/>
    <col min="12825" max="12825" width="9" style="964" customWidth="1"/>
    <col min="12826" max="12827" width="8.5703125" style="964" customWidth="1"/>
    <col min="12828" max="12828" width="9" style="964" customWidth="1"/>
    <col min="12829" max="13059" width="9.140625" style="964"/>
    <col min="13060" max="13060" width="3.7109375" style="964" customWidth="1"/>
    <col min="13061" max="13061" width="12.7109375" style="964" customWidth="1"/>
    <col min="13062" max="13062" width="3.7109375" style="964" customWidth="1"/>
    <col min="13063" max="13063" width="20.7109375" style="964" customWidth="1"/>
    <col min="13064" max="13065" width="8.5703125" style="964" customWidth="1"/>
    <col min="13066" max="13066" width="9" style="964" customWidth="1"/>
    <col min="13067" max="13068" width="8.5703125" style="964" customWidth="1"/>
    <col min="13069" max="13069" width="9" style="964" customWidth="1"/>
    <col min="13070" max="13071" width="8.5703125" style="964" customWidth="1"/>
    <col min="13072" max="13072" width="9" style="964" customWidth="1"/>
    <col min="13073" max="13074" width="8.5703125" style="964" customWidth="1"/>
    <col min="13075" max="13075" width="9" style="964" customWidth="1"/>
    <col min="13076" max="13077" width="8.5703125" style="964" customWidth="1"/>
    <col min="13078" max="13078" width="9" style="964" customWidth="1"/>
    <col min="13079" max="13080" width="8.5703125" style="964" customWidth="1"/>
    <col min="13081" max="13081" width="9" style="964" customWidth="1"/>
    <col min="13082" max="13083" width="8.5703125" style="964" customWidth="1"/>
    <col min="13084" max="13084" width="9" style="964" customWidth="1"/>
    <col min="13085" max="13315" width="9.140625" style="964"/>
    <col min="13316" max="13316" width="3.7109375" style="964" customWidth="1"/>
    <col min="13317" max="13317" width="12.7109375" style="964" customWidth="1"/>
    <col min="13318" max="13318" width="3.7109375" style="964" customWidth="1"/>
    <col min="13319" max="13319" width="20.7109375" style="964" customWidth="1"/>
    <col min="13320" max="13321" width="8.5703125" style="964" customWidth="1"/>
    <col min="13322" max="13322" width="9" style="964" customWidth="1"/>
    <col min="13323" max="13324" width="8.5703125" style="964" customWidth="1"/>
    <col min="13325" max="13325" width="9" style="964" customWidth="1"/>
    <col min="13326" max="13327" width="8.5703125" style="964" customWidth="1"/>
    <col min="13328" max="13328" width="9" style="964" customWidth="1"/>
    <col min="13329" max="13330" width="8.5703125" style="964" customWidth="1"/>
    <col min="13331" max="13331" width="9" style="964" customWidth="1"/>
    <col min="13332" max="13333" width="8.5703125" style="964" customWidth="1"/>
    <col min="13334" max="13334" width="9" style="964" customWidth="1"/>
    <col min="13335" max="13336" width="8.5703125" style="964" customWidth="1"/>
    <col min="13337" max="13337" width="9" style="964" customWidth="1"/>
    <col min="13338" max="13339" width="8.5703125" style="964" customWidth="1"/>
    <col min="13340" max="13340" width="9" style="964" customWidth="1"/>
    <col min="13341" max="13571" width="9.140625" style="964"/>
    <col min="13572" max="13572" width="3.7109375" style="964" customWidth="1"/>
    <col min="13573" max="13573" width="12.7109375" style="964" customWidth="1"/>
    <col min="13574" max="13574" width="3.7109375" style="964" customWidth="1"/>
    <col min="13575" max="13575" width="20.7109375" style="964" customWidth="1"/>
    <col min="13576" max="13577" width="8.5703125" style="964" customWidth="1"/>
    <col min="13578" max="13578" width="9" style="964" customWidth="1"/>
    <col min="13579" max="13580" width="8.5703125" style="964" customWidth="1"/>
    <col min="13581" max="13581" width="9" style="964" customWidth="1"/>
    <col min="13582" max="13583" width="8.5703125" style="964" customWidth="1"/>
    <col min="13584" max="13584" width="9" style="964" customWidth="1"/>
    <col min="13585" max="13586" width="8.5703125" style="964" customWidth="1"/>
    <col min="13587" max="13587" width="9" style="964" customWidth="1"/>
    <col min="13588" max="13589" width="8.5703125" style="964" customWidth="1"/>
    <col min="13590" max="13590" width="9" style="964" customWidth="1"/>
    <col min="13591" max="13592" width="8.5703125" style="964" customWidth="1"/>
    <col min="13593" max="13593" width="9" style="964" customWidth="1"/>
    <col min="13594" max="13595" width="8.5703125" style="964" customWidth="1"/>
    <col min="13596" max="13596" width="9" style="964" customWidth="1"/>
    <col min="13597" max="13827" width="9.140625" style="964"/>
    <col min="13828" max="13828" width="3.7109375" style="964" customWidth="1"/>
    <col min="13829" max="13829" width="12.7109375" style="964" customWidth="1"/>
    <col min="13830" max="13830" width="3.7109375" style="964" customWidth="1"/>
    <col min="13831" max="13831" width="20.7109375" style="964" customWidth="1"/>
    <col min="13832" max="13833" width="8.5703125" style="964" customWidth="1"/>
    <col min="13834" max="13834" width="9" style="964" customWidth="1"/>
    <col min="13835" max="13836" width="8.5703125" style="964" customWidth="1"/>
    <col min="13837" max="13837" width="9" style="964" customWidth="1"/>
    <col min="13838" max="13839" width="8.5703125" style="964" customWidth="1"/>
    <col min="13840" max="13840" width="9" style="964" customWidth="1"/>
    <col min="13841" max="13842" width="8.5703125" style="964" customWidth="1"/>
    <col min="13843" max="13843" width="9" style="964" customWidth="1"/>
    <col min="13844" max="13845" width="8.5703125" style="964" customWidth="1"/>
    <col min="13846" max="13846" width="9" style="964" customWidth="1"/>
    <col min="13847" max="13848" width="8.5703125" style="964" customWidth="1"/>
    <col min="13849" max="13849" width="9" style="964" customWidth="1"/>
    <col min="13850" max="13851" width="8.5703125" style="964" customWidth="1"/>
    <col min="13852" max="13852" width="9" style="964" customWidth="1"/>
    <col min="13853" max="14083" width="9.140625" style="964"/>
    <col min="14084" max="14084" width="3.7109375" style="964" customWidth="1"/>
    <col min="14085" max="14085" width="12.7109375" style="964" customWidth="1"/>
    <col min="14086" max="14086" width="3.7109375" style="964" customWidth="1"/>
    <col min="14087" max="14087" width="20.7109375" style="964" customWidth="1"/>
    <col min="14088" max="14089" width="8.5703125" style="964" customWidth="1"/>
    <col min="14090" max="14090" width="9" style="964" customWidth="1"/>
    <col min="14091" max="14092" width="8.5703125" style="964" customWidth="1"/>
    <col min="14093" max="14093" width="9" style="964" customWidth="1"/>
    <col min="14094" max="14095" width="8.5703125" style="964" customWidth="1"/>
    <col min="14096" max="14096" width="9" style="964" customWidth="1"/>
    <col min="14097" max="14098" width="8.5703125" style="964" customWidth="1"/>
    <col min="14099" max="14099" width="9" style="964" customWidth="1"/>
    <col min="14100" max="14101" width="8.5703125" style="964" customWidth="1"/>
    <col min="14102" max="14102" width="9" style="964" customWidth="1"/>
    <col min="14103" max="14104" width="8.5703125" style="964" customWidth="1"/>
    <col min="14105" max="14105" width="9" style="964" customWidth="1"/>
    <col min="14106" max="14107" width="8.5703125" style="964" customWidth="1"/>
    <col min="14108" max="14108" width="9" style="964" customWidth="1"/>
    <col min="14109" max="14339" width="9.140625" style="964"/>
    <col min="14340" max="14340" width="3.7109375" style="964" customWidth="1"/>
    <col min="14341" max="14341" width="12.7109375" style="964" customWidth="1"/>
    <col min="14342" max="14342" width="3.7109375" style="964" customWidth="1"/>
    <col min="14343" max="14343" width="20.7109375" style="964" customWidth="1"/>
    <col min="14344" max="14345" width="8.5703125" style="964" customWidth="1"/>
    <col min="14346" max="14346" width="9" style="964" customWidth="1"/>
    <col min="14347" max="14348" width="8.5703125" style="964" customWidth="1"/>
    <col min="14349" max="14349" width="9" style="964" customWidth="1"/>
    <col min="14350" max="14351" width="8.5703125" style="964" customWidth="1"/>
    <col min="14352" max="14352" width="9" style="964" customWidth="1"/>
    <col min="14353" max="14354" width="8.5703125" style="964" customWidth="1"/>
    <col min="14355" max="14355" width="9" style="964" customWidth="1"/>
    <col min="14356" max="14357" width="8.5703125" style="964" customWidth="1"/>
    <col min="14358" max="14358" width="9" style="964" customWidth="1"/>
    <col min="14359" max="14360" width="8.5703125" style="964" customWidth="1"/>
    <col min="14361" max="14361" width="9" style="964" customWidth="1"/>
    <col min="14362" max="14363" width="8.5703125" style="964" customWidth="1"/>
    <col min="14364" max="14364" width="9" style="964" customWidth="1"/>
    <col min="14365" max="14595" width="9.140625" style="964"/>
    <col min="14596" max="14596" width="3.7109375" style="964" customWidth="1"/>
    <col min="14597" max="14597" width="12.7109375" style="964" customWidth="1"/>
    <col min="14598" max="14598" width="3.7109375" style="964" customWidth="1"/>
    <col min="14599" max="14599" width="20.7109375" style="964" customWidth="1"/>
    <col min="14600" max="14601" width="8.5703125" style="964" customWidth="1"/>
    <col min="14602" max="14602" width="9" style="964" customWidth="1"/>
    <col min="14603" max="14604" width="8.5703125" style="964" customWidth="1"/>
    <col min="14605" max="14605" width="9" style="964" customWidth="1"/>
    <col min="14606" max="14607" width="8.5703125" style="964" customWidth="1"/>
    <col min="14608" max="14608" width="9" style="964" customWidth="1"/>
    <col min="14609" max="14610" width="8.5703125" style="964" customWidth="1"/>
    <col min="14611" max="14611" width="9" style="964" customWidth="1"/>
    <col min="14612" max="14613" width="8.5703125" style="964" customWidth="1"/>
    <col min="14614" max="14614" width="9" style="964" customWidth="1"/>
    <col min="14615" max="14616" width="8.5703125" style="964" customWidth="1"/>
    <col min="14617" max="14617" width="9" style="964" customWidth="1"/>
    <col min="14618" max="14619" width="8.5703125" style="964" customWidth="1"/>
    <col min="14620" max="14620" width="9" style="964" customWidth="1"/>
    <col min="14621" max="14851" width="9.140625" style="964"/>
    <col min="14852" max="14852" width="3.7109375" style="964" customWidth="1"/>
    <col min="14853" max="14853" width="12.7109375" style="964" customWidth="1"/>
    <col min="14854" max="14854" width="3.7109375" style="964" customWidth="1"/>
    <col min="14855" max="14855" width="20.7109375" style="964" customWidth="1"/>
    <col min="14856" max="14857" width="8.5703125" style="964" customWidth="1"/>
    <col min="14858" max="14858" width="9" style="964" customWidth="1"/>
    <col min="14859" max="14860" width="8.5703125" style="964" customWidth="1"/>
    <col min="14861" max="14861" width="9" style="964" customWidth="1"/>
    <col min="14862" max="14863" width="8.5703125" style="964" customWidth="1"/>
    <col min="14864" max="14864" width="9" style="964" customWidth="1"/>
    <col min="14865" max="14866" width="8.5703125" style="964" customWidth="1"/>
    <col min="14867" max="14867" width="9" style="964" customWidth="1"/>
    <col min="14868" max="14869" width="8.5703125" style="964" customWidth="1"/>
    <col min="14870" max="14870" width="9" style="964" customWidth="1"/>
    <col min="14871" max="14872" width="8.5703125" style="964" customWidth="1"/>
    <col min="14873" max="14873" width="9" style="964" customWidth="1"/>
    <col min="14874" max="14875" width="8.5703125" style="964" customWidth="1"/>
    <col min="14876" max="14876" width="9" style="964" customWidth="1"/>
    <col min="14877" max="15107" width="9.140625" style="964"/>
    <col min="15108" max="15108" width="3.7109375" style="964" customWidth="1"/>
    <col min="15109" max="15109" width="12.7109375" style="964" customWidth="1"/>
    <col min="15110" max="15110" width="3.7109375" style="964" customWidth="1"/>
    <col min="15111" max="15111" width="20.7109375" style="964" customWidth="1"/>
    <col min="15112" max="15113" width="8.5703125" style="964" customWidth="1"/>
    <col min="15114" max="15114" width="9" style="964" customWidth="1"/>
    <col min="15115" max="15116" width="8.5703125" style="964" customWidth="1"/>
    <col min="15117" max="15117" width="9" style="964" customWidth="1"/>
    <col min="15118" max="15119" width="8.5703125" style="964" customWidth="1"/>
    <col min="15120" max="15120" width="9" style="964" customWidth="1"/>
    <col min="15121" max="15122" width="8.5703125" style="964" customWidth="1"/>
    <col min="15123" max="15123" width="9" style="964" customWidth="1"/>
    <col min="15124" max="15125" width="8.5703125" style="964" customWidth="1"/>
    <col min="15126" max="15126" width="9" style="964" customWidth="1"/>
    <col min="15127" max="15128" width="8.5703125" style="964" customWidth="1"/>
    <col min="15129" max="15129" width="9" style="964" customWidth="1"/>
    <col min="15130" max="15131" width="8.5703125" style="964" customWidth="1"/>
    <col min="15132" max="15132" width="9" style="964" customWidth="1"/>
    <col min="15133" max="15363" width="9.140625" style="964"/>
    <col min="15364" max="15364" width="3.7109375" style="964" customWidth="1"/>
    <col min="15365" max="15365" width="12.7109375" style="964" customWidth="1"/>
    <col min="15366" max="15366" width="3.7109375" style="964" customWidth="1"/>
    <col min="15367" max="15367" width="20.7109375" style="964" customWidth="1"/>
    <col min="15368" max="15369" width="8.5703125" style="964" customWidth="1"/>
    <col min="15370" max="15370" width="9" style="964" customWidth="1"/>
    <col min="15371" max="15372" width="8.5703125" style="964" customWidth="1"/>
    <col min="15373" max="15373" width="9" style="964" customWidth="1"/>
    <col min="15374" max="15375" width="8.5703125" style="964" customWidth="1"/>
    <col min="15376" max="15376" width="9" style="964" customWidth="1"/>
    <col min="15377" max="15378" width="8.5703125" style="964" customWidth="1"/>
    <col min="15379" max="15379" width="9" style="964" customWidth="1"/>
    <col min="15380" max="15381" width="8.5703125" style="964" customWidth="1"/>
    <col min="15382" max="15382" width="9" style="964" customWidth="1"/>
    <col min="15383" max="15384" width="8.5703125" style="964" customWidth="1"/>
    <col min="15385" max="15385" width="9" style="964" customWidth="1"/>
    <col min="15386" max="15387" width="8.5703125" style="964" customWidth="1"/>
    <col min="15388" max="15388" width="9" style="964" customWidth="1"/>
    <col min="15389" max="15619" width="9.140625" style="964"/>
    <col min="15620" max="15620" width="3.7109375" style="964" customWidth="1"/>
    <col min="15621" max="15621" width="12.7109375" style="964" customWidth="1"/>
    <col min="15622" max="15622" width="3.7109375" style="964" customWidth="1"/>
    <col min="15623" max="15623" width="20.7109375" style="964" customWidth="1"/>
    <col min="15624" max="15625" width="8.5703125" style="964" customWidth="1"/>
    <col min="15626" max="15626" width="9" style="964" customWidth="1"/>
    <col min="15627" max="15628" width="8.5703125" style="964" customWidth="1"/>
    <col min="15629" max="15629" width="9" style="964" customWidth="1"/>
    <col min="15630" max="15631" width="8.5703125" style="964" customWidth="1"/>
    <col min="15632" max="15632" width="9" style="964" customWidth="1"/>
    <col min="15633" max="15634" width="8.5703125" style="964" customWidth="1"/>
    <col min="15635" max="15635" width="9" style="964" customWidth="1"/>
    <col min="15636" max="15637" width="8.5703125" style="964" customWidth="1"/>
    <col min="15638" max="15638" width="9" style="964" customWidth="1"/>
    <col min="15639" max="15640" width="8.5703125" style="964" customWidth="1"/>
    <col min="15641" max="15641" width="9" style="964" customWidth="1"/>
    <col min="15642" max="15643" width="8.5703125" style="964" customWidth="1"/>
    <col min="15644" max="15644" width="9" style="964" customWidth="1"/>
    <col min="15645" max="15875" width="9.140625" style="964"/>
    <col min="15876" max="15876" width="3.7109375" style="964" customWidth="1"/>
    <col min="15877" max="15877" width="12.7109375" style="964" customWidth="1"/>
    <col min="15878" max="15878" width="3.7109375" style="964" customWidth="1"/>
    <col min="15879" max="15879" width="20.7109375" style="964" customWidth="1"/>
    <col min="15880" max="15881" width="8.5703125" style="964" customWidth="1"/>
    <col min="15882" max="15882" width="9" style="964" customWidth="1"/>
    <col min="15883" max="15884" width="8.5703125" style="964" customWidth="1"/>
    <col min="15885" max="15885" width="9" style="964" customWidth="1"/>
    <col min="15886" max="15887" width="8.5703125" style="964" customWidth="1"/>
    <col min="15888" max="15888" width="9" style="964" customWidth="1"/>
    <col min="15889" max="15890" width="8.5703125" style="964" customWidth="1"/>
    <col min="15891" max="15891" width="9" style="964" customWidth="1"/>
    <col min="15892" max="15893" width="8.5703125" style="964" customWidth="1"/>
    <col min="15894" max="15894" width="9" style="964" customWidth="1"/>
    <col min="15895" max="15896" width="8.5703125" style="964" customWidth="1"/>
    <col min="15897" max="15897" width="9" style="964" customWidth="1"/>
    <col min="15898" max="15899" width="8.5703125" style="964" customWidth="1"/>
    <col min="15900" max="15900" width="9" style="964" customWidth="1"/>
    <col min="15901" max="16131" width="9.140625" style="964"/>
    <col min="16132" max="16132" width="3.7109375" style="964" customWidth="1"/>
    <col min="16133" max="16133" width="12.7109375" style="964" customWidth="1"/>
    <col min="16134" max="16134" width="3.7109375" style="964" customWidth="1"/>
    <col min="16135" max="16135" width="20.7109375" style="964" customWidth="1"/>
    <col min="16136" max="16137" width="8.5703125" style="964" customWidth="1"/>
    <col min="16138" max="16138" width="9" style="964" customWidth="1"/>
    <col min="16139" max="16140" width="8.5703125" style="964" customWidth="1"/>
    <col min="16141" max="16141" width="9" style="964" customWidth="1"/>
    <col min="16142" max="16143" width="8.5703125" style="964" customWidth="1"/>
    <col min="16144" max="16144" width="9" style="964" customWidth="1"/>
    <col min="16145" max="16146" width="8.5703125" style="964" customWidth="1"/>
    <col min="16147" max="16147" width="9" style="964" customWidth="1"/>
    <col min="16148" max="16149" width="8.5703125" style="964" customWidth="1"/>
    <col min="16150" max="16150" width="9" style="964" customWidth="1"/>
    <col min="16151" max="16152" width="8.5703125" style="964" customWidth="1"/>
    <col min="16153" max="16153" width="9" style="964" customWidth="1"/>
    <col min="16154" max="16155" width="8.5703125" style="964" customWidth="1"/>
    <col min="16156" max="16156" width="9" style="964" customWidth="1"/>
    <col min="16157" max="16384" width="9.140625" style="964"/>
  </cols>
  <sheetData>
    <row r="2" spans="1:29" ht="15" customHeight="1" x14ac:dyDescent="0.2">
      <c r="A2" s="2379">
        <v>1</v>
      </c>
      <c r="B2" s="418" t="s">
        <v>1428</v>
      </c>
      <c r="C2" s="418">
        <f>1+'[17]People with disability '!C2</f>
        <v>28</v>
      </c>
      <c r="D2" s="3761" t="s">
        <v>1429</v>
      </c>
      <c r="E2" s="3762"/>
      <c r="F2" s="3762"/>
      <c r="G2" s="3762"/>
      <c r="H2" s="3762"/>
      <c r="I2" s="3762"/>
      <c r="J2" s="3762"/>
      <c r="K2" s="3762"/>
      <c r="L2" s="3762"/>
      <c r="M2" s="3762"/>
      <c r="N2" s="3762"/>
      <c r="O2" s="3762"/>
      <c r="P2" s="3762"/>
      <c r="Q2" s="3762"/>
      <c r="R2" s="3762"/>
      <c r="S2" s="3762"/>
      <c r="T2" s="3762"/>
      <c r="U2" s="3762"/>
      <c r="V2" s="3762"/>
      <c r="W2" s="3762"/>
      <c r="X2" s="3762"/>
      <c r="Y2" s="3762"/>
      <c r="Z2" s="3762"/>
      <c r="AA2" s="3763"/>
    </row>
    <row r="3" spans="1:29" ht="15" customHeight="1" x14ac:dyDescent="0.2">
      <c r="A3" s="2379">
        <v>2</v>
      </c>
      <c r="B3" s="418" t="s">
        <v>1430</v>
      </c>
      <c r="C3" s="418"/>
      <c r="D3" s="3761" t="s">
        <v>1431</v>
      </c>
      <c r="E3" s="3762"/>
      <c r="F3" s="3762"/>
      <c r="G3" s="3762"/>
      <c r="H3" s="3762"/>
      <c r="I3" s="3762"/>
      <c r="J3" s="3762"/>
      <c r="K3" s="3762"/>
      <c r="L3" s="3762"/>
      <c r="M3" s="3762"/>
      <c r="N3" s="3762"/>
      <c r="O3" s="3762"/>
      <c r="P3" s="3762"/>
      <c r="Q3" s="3762"/>
      <c r="R3" s="3762"/>
      <c r="S3" s="3762"/>
      <c r="T3" s="3762"/>
      <c r="U3" s="3762"/>
      <c r="V3" s="3762"/>
      <c r="W3" s="3762"/>
      <c r="X3" s="3762"/>
      <c r="Y3" s="3762"/>
      <c r="Z3" s="3762"/>
      <c r="AA3" s="3763"/>
      <c r="AB3" s="984"/>
    </row>
    <row r="4" spans="1:29" ht="15" customHeight="1" x14ac:dyDescent="0.2">
      <c r="A4" s="2379">
        <v>3</v>
      </c>
      <c r="B4" s="418" t="s">
        <v>28</v>
      </c>
      <c r="C4" s="418"/>
      <c r="D4" s="3761" t="s">
        <v>1432</v>
      </c>
      <c r="E4" s="3762"/>
      <c r="F4" s="3762"/>
      <c r="G4" s="3762"/>
      <c r="H4" s="3762"/>
      <c r="I4" s="3762"/>
      <c r="J4" s="3762"/>
      <c r="K4" s="3762"/>
      <c r="L4" s="3762"/>
      <c r="M4" s="3762"/>
      <c r="N4" s="3762"/>
      <c r="O4" s="3762"/>
      <c r="P4" s="3762"/>
      <c r="Q4" s="3762"/>
      <c r="R4" s="3762"/>
      <c r="S4" s="3762"/>
      <c r="T4" s="3762"/>
      <c r="U4" s="3762"/>
      <c r="V4" s="3762"/>
      <c r="W4" s="3762"/>
      <c r="X4" s="3762"/>
      <c r="Y4" s="3762"/>
      <c r="Z4" s="3762"/>
      <c r="AA4" s="3763"/>
      <c r="AB4" s="984"/>
    </row>
    <row r="5" spans="1:29" ht="15" customHeight="1" x14ac:dyDescent="0.2">
      <c r="A5" s="2379"/>
      <c r="B5" s="418"/>
      <c r="C5" s="418"/>
      <c r="D5" s="3764"/>
      <c r="E5" s="3764"/>
      <c r="F5" s="3764"/>
      <c r="G5" s="3764"/>
      <c r="H5" s="3764"/>
      <c r="I5" s="3764"/>
      <c r="J5" s="3764"/>
      <c r="K5" s="3764"/>
      <c r="L5" s="3764"/>
      <c r="M5" s="3764"/>
      <c r="N5" s="3764"/>
      <c r="O5" s="3764"/>
      <c r="P5" s="3764"/>
      <c r="Q5" s="3764"/>
      <c r="R5" s="3764"/>
      <c r="S5" s="3764"/>
      <c r="T5" s="3764"/>
      <c r="U5" s="3764"/>
      <c r="V5" s="3764"/>
      <c r="W5" s="3764"/>
      <c r="X5" s="3764"/>
      <c r="Y5" s="3764"/>
      <c r="Z5" s="3764"/>
      <c r="AA5" s="3764"/>
      <c r="AB5" s="984"/>
    </row>
    <row r="6" spans="1:29" s="984" customFormat="1" ht="18.75" customHeight="1" x14ac:dyDescent="0.25">
      <c r="A6" s="2380">
        <v>4</v>
      </c>
      <c r="B6" s="418" t="s">
        <v>1</v>
      </c>
      <c r="C6" s="418"/>
      <c r="D6" s="3765"/>
      <c r="E6" s="3765"/>
      <c r="F6" s="3765"/>
      <c r="G6" s="3765"/>
      <c r="H6" s="3765"/>
      <c r="I6" s="3765"/>
      <c r="J6" s="3765"/>
      <c r="K6" s="3765"/>
      <c r="L6" s="3765"/>
      <c r="M6" s="3765"/>
      <c r="N6" s="3765"/>
      <c r="O6" s="3765"/>
      <c r="P6" s="3765"/>
      <c r="Q6" s="3765"/>
      <c r="R6" s="3765"/>
      <c r="S6" s="3765"/>
      <c r="T6" s="3765"/>
      <c r="U6" s="3765"/>
      <c r="V6" s="3765"/>
      <c r="W6" s="3765"/>
      <c r="X6" s="3765"/>
      <c r="Y6" s="3765"/>
      <c r="Z6" s="3765"/>
      <c r="AA6" s="3765"/>
    </row>
    <row r="7" spans="1:29" ht="16.5" customHeight="1" x14ac:dyDescent="0.2">
      <c r="A7" s="1277"/>
      <c r="B7" s="916"/>
      <c r="C7" s="916"/>
      <c r="D7" s="1098" t="s">
        <v>31</v>
      </c>
      <c r="E7" s="1098" t="s">
        <v>1433</v>
      </c>
      <c r="F7" s="977"/>
      <c r="G7" s="977"/>
      <c r="H7" s="977"/>
      <c r="I7" s="977"/>
      <c r="J7" s="977"/>
      <c r="K7" s="977"/>
      <c r="L7" s="977"/>
      <c r="M7" s="977"/>
      <c r="N7" s="977"/>
      <c r="O7" s="977"/>
      <c r="P7" s="977"/>
      <c r="Q7" s="977"/>
      <c r="R7" s="977"/>
      <c r="S7" s="977"/>
      <c r="T7" s="977"/>
      <c r="U7" s="967"/>
      <c r="V7" s="1076"/>
      <c r="W7" s="1076"/>
      <c r="X7" s="1076"/>
      <c r="Y7" s="784"/>
      <c r="Z7" s="784"/>
      <c r="AA7" s="784"/>
      <c r="AB7" s="432"/>
    </row>
    <row r="8" spans="1:29" ht="12.75" customHeight="1" x14ac:dyDescent="0.2">
      <c r="A8" s="1277"/>
      <c r="B8" s="916"/>
      <c r="C8" s="916"/>
      <c r="D8" s="2953"/>
      <c r="E8" s="1431">
        <v>1994</v>
      </c>
      <c r="F8" s="1431">
        <v>1995</v>
      </c>
      <c r="G8" s="1431">
        <v>1996</v>
      </c>
      <c r="H8" s="1431">
        <v>1997</v>
      </c>
      <c r="I8" s="1431">
        <v>1998</v>
      </c>
      <c r="J8" s="1431">
        <v>1999</v>
      </c>
      <c r="K8" s="1431">
        <v>2000</v>
      </c>
      <c r="L8" s="1431">
        <v>2001</v>
      </c>
      <c r="M8" s="1431">
        <v>2002</v>
      </c>
      <c r="N8" s="1431">
        <v>2003</v>
      </c>
      <c r="O8" s="1431">
        <v>2004</v>
      </c>
      <c r="P8" s="1431">
        <v>2005</v>
      </c>
      <c r="Q8" s="1431">
        <v>2006</v>
      </c>
      <c r="R8" s="1431">
        <v>2007</v>
      </c>
      <c r="S8" s="1431">
        <v>2008</v>
      </c>
      <c r="T8" s="1431">
        <v>2009</v>
      </c>
      <c r="U8" s="2381">
        <v>2010</v>
      </c>
      <c r="V8" s="2382">
        <v>2011</v>
      </c>
      <c r="W8" s="2383">
        <v>2012</v>
      </c>
      <c r="X8" s="2383">
        <v>2013</v>
      </c>
      <c r="Y8" s="2384">
        <v>2014</v>
      </c>
      <c r="Z8" s="2384">
        <v>2015</v>
      </c>
      <c r="AA8" s="784"/>
      <c r="AB8" s="784"/>
      <c r="AC8" s="432"/>
    </row>
    <row r="9" spans="1:29" ht="12" customHeight="1" x14ac:dyDescent="0.25">
      <c r="A9" s="1277"/>
      <c r="B9" s="2385"/>
      <c r="C9" s="2386"/>
      <c r="D9" s="2940" t="s">
        <v>1434</v>
      </c>
      <c r="E9" s="895"/>
      <c r="F9" s="776"/>
      <c r="G9" s="895"/>
      <c r="H9" s="895"/>
      <c r="I9" s="895"/>
      <c r="J9" s="895"/>
      <c r="K9" s="776"/>
      <c r="L9" s="1351"/>
      <c r="M9" s="1597">
        <v>10814220</v>
      </c>
      <c r="N9" s="1597">
        <v>11113078</v>
      </c>
      <c r="O9" s="1597">
        <v>11425278</v>
      </c>
      <c r="P9" s="1597">
        <v>11753564</v>
      </c>
      <c r="Q9" s="1597">
        <v>12106893</v>
      </c>
      <c r="R9" s="1597">
        <v>12485207</v>
      </c>
      <c r="S9" s="1597">
        <v>12885627</v>
      </c>
      <c r="T9" s="1597">
        <v>13302549</v>
      </c>
      <c r="U9" s="1597">
        <v>13730738</v>
      </c>
      <c r="V9" s="1597">
        <v>14173335</v>
      </c>
      <c r="W9" s="1597">
        <v>14631095</v>
      </c>
      <c r="X9" s="1597">
        <v>15106553</v>
      </c>
      <c r="Y9" s="1597">
        <v>15602251</v>
      </c>
      <c r="Z9" s="1597">
        <v>16121989</v>
      </c>
      <c r="AA9" s="1269"/>
      <c r="AB9" s="1269"/>
      <c r="AC9" s="432"/>
    </row>
    <row r="10" spans="1:29" ht="13.5" customHeight="1" x14ac:dyDescent="0.25">
      <c r="A10" s="1277"/>
      <c r="B10" s="2387"/>
      <c r="C10" s="2386"/>
      <c r="D10" s="2940" t="s">
        <v>1435</v>
      </c>
      <c r="E10" s="776"/>
      <c r="F10" s="776"/>
      <c r="G10" s="776"/>
      <c r="H10" s="895"/>
      <c r="I10" s="895"/>
      <c r="J10" s="895"/>
      <c r="K10" s="776"/>
      <c r="L10" s="2388"/>
      <c r="M10" s="1597">
        <v>7962840</v>
      </c>
      <c r="N10" s="1597">
        <v>8260510</v>
      </c>
      <c r="O10" s="1597">
        <v>8501661</v>
      </c>
      <c r="P10" s="1597">
        <v>8334121</v>
      </c>
      <c r="Q10" s="1597">
        <v>8880291</v>
      </c>
      <c r="R10" s="1597">
        <v>9079070</v>
      </c>
      <c r="S10" s="1597">
        <v>9584952</v>
      </c>
      <c r="T10" s="1597">
        <v>10050000</v>
      </c>
      <c r="U10" s="1597">
        <v>10630000</v>
      </c>
      <c r="V10" s="1597">
        <v>11010000</v>
      </c>
      <c r="W10" s="1597">
        <v>11140000</v>
      </c>
      <c r="X10" s="1597">
        <v>11740000</v>
      </c>
      <c r="Y10" s="1597">
        <v>12386953</v>
      </c>
      <c r="Z10" s="1597">
        <v>12597035</v>
      </c>
      <c r="AA10" s="1269"/>
      <c r="AB10" s="1269"/>
      <c r="AC10" s="432"/>
    </row>
    <row r="11" spans="1:29" ht="27.6" customHeight="1" x14ac:dyDescent="0.25">
      <c r="A11" s="1277"/>
      <c r="B11" s="2389"/>
      <c r="C11" s="2386"/>
      <c r="D11" s="2942" t="s">
        <v>1436</v>
      </c>
      <c r="E11" s="2390"/>
      <c r="F11" s="2390"/>
      <c r="G11" s="2391"/>
      <c r="H11" s="2391"/>
      <c r="I11" s="2391"/>
      <c r="J11" s="2391"/>
      <c r="K11" s="2390"/>
      <c r="L11" s="2392"/>
      <c r="M11" s="1598">
        <v>73.7</v>
      </c>
      <c r="N11" s="1598">
        <v>74.37</v>
      </c>
      <c r="O11" s="1598">
        <v>74.45</v>
      </c>
      <c r="P11" s="1598">
        <v>70.989999999999995</v>
      </c>
      <c r="Q11" s="1598">
        <v>73.5</v>
      </c>
      <c r="R11" s="1598">
        <v>73.260000000000005</v>
      </c>
      <c r="S11" s="1598">
        <v>74.61</v>
      </c>
      <c r="T11" s="1598">
        <v>75.540000000000006</v>
      </c>
      <c r="U11" s="1598">
        <v>77.400000000000006</v>
      </c>
      <c r="V11" s="1598">
        <v>78.459999999999994</v>
      </c>
      <c r="W11" s="1598">
        <v>76.930000000000007</v>
      </c>
      <c r="X11" s="1598">
        <v>77.72</v>
      </c>
      <c r="Y11" s="1598">
        <v>79.400000000000006</v>
      </c>
      <c r="Z11" s="1598">
        <v>78.14</v>
      </c>
      <c r="AA11" s="1269"/>
      <c r="AB11" s="1269"/>
      <c r="AC11" s="432"/>
    </row>
    <row r="12" spans="1:29" ht="24.6" customHeight="1" x14ac:dyDescent="0.2">
      <c r="A12" s="1277"/>
      <c r="B12" s="2389"/>
      <c r="C12" s="2386"/>
      <c r="D12" s="2955" t="s">
        <v>1437</v>
      </c>
      <c r="E12" s="798"/>
      <c r="F12" s="798"/>
      <c r="G12" s="2393"/>
      <c r="H12" s="2393"/>
      <c r="I12" s="2393"/>
      <c r="J12" s="2393"/>
      <c r="K12" s="776"/>
      <c r="L12" s="2393"/>
      <c r="M12" s="1599"/>
      <c r="N12" s="1599"/>
      <c r="O12" s="1599"/>
      <c r="P12" s="1599"/>
      <c r="Q12" s="1599"/>
      <c r="R12" s="1599"/>
      <c r="S12" s="1599"/>
      <c r="T12" s="1599"/>
      <c r="U12" s="1599"/>
      <c r="V12" s="1599"/>
      <c r="W12" s="1599"/>
      <c r="X12" s="1599"/>
      <c r="Y12" s="1599"/>
      <c r="Z12" s="1599"/>
      <c r="AA12" s="1269"/>
      <c r="AB12" s="1269"/>
      <c r="AC12" s="432"/>
    </row>
    <row r="13" spans="1:29" ht="13.5" customHeight="1" x14ac:dyDescent="0.2">
      <c r="A13" s="1277"/>
      <c r="B13" s="2389"/>
      <c r="C13" s="2386"/>
      <c r="D13" s="3292" t="s">
        <v>1438</v>
      </c>
      <c r="E13" s="895"/>
      <c r="F13" s="782"/>
      <c r="G13" s="782"/>
      <c r="H13" s="782"/>
      <c r="I13" s="782"/>
      <c r="J13" s="782"/>
      <c r="K13" s="782"/>
      <c r="L13" s="782"/>
      <c r="M13" s="1600">
        <v>52.91</v>
      </c>
      <c r="N13" s="1600">
        <v>56.41</v>
      </c>
      <c r="O13" s="1600">
        <v>54.69</v>
      </c>
      <c r="P13" s="1600">
        <v>56.81</v>
      </c>
      <c r="Q13" s="1600">
        <v>59.24</v>
      </c>
      <c r="R13" s="1600">
        <v>57.47</v>
      </c>
      <c r="S13" s="1600">
        <v>61.35</v>
      </c>
      <c r="T13" s="1600">
        <v>55.27</v>
      </c>
      <c r="U13" s="1600">
        <v>57.52</v>
      </c>
      <c r="V13" s="1600">
        <v>53.46</v>
      </c>
      <c r="W13" s="1600">
        <v>54.51</v>
      </c>
      <c r="X13" s="1600">
        <v>54.89</v>
      </c>
      <c r="Y13" s="1600">
        <v>55.3</v>
      </c>
      <c r="Z13" s="1600">
        <v>53.8</v>
      </c>
      <c r="AA13" s="1269"/>
      <c r="AB13" s="1269"/>
      <c r="AC13" s="432"/>
    </row>
    <row r="14" spans="1:29" ht="13.5" customHeight="1" x14ac:dyDescent="0.25">
      <c r="A14" s="1277"/>
      <c r="B14" s="2389"/>
      <c r="C14" s="2386"/>
      <c r="D14" s="3292" t="s">
        <v>1439</v>
      </c>
      <c r="E14" s="1697"/>
      <c r="F14" s="895"/>
      <c r="G14" s="895"/>
      <c r="H14" s="2394"/>
      <c r="I14" s="2394"/>
      <c r="J14" s="2394"/>
      <c r="K14" s="895"/>
      <c r="L14" s="895"/>
      <c r="M14" s="1600">
        <v>15.51</v>
      </c>
      <c r="N14" s="1600">
        <v>13.43</v>
      </c>
      <c r="O14" s="1600">
        <v>11.71</v>
      </c>
      <c r="P14" s="1600">
        <v>12.1</v>
      </c>
      <c r="Q14" s="1600">
        <v>10.49</v>
      </c>
      <c r="R14" s="1600">
        <v>9.82</v>
      </c>
      <c r="S14" s="1600">
        <v>12.35</v>
      </c>
      <c r="T14" s="1600">
        <v>11.08</v>
      </c>
      <c r="U14" s="1600">
        <v>11.48</v>
      </c>
      <c r="V14" s="1600">
        <v>10.46</v>
      </c>
      <c r="W14" s="1600">
        <v>11.1</v>
      </c>
      <c r="X14" s="1600">
        <v>11.49</v>
      </c>
      <c r="Y14" s="1600">
        <v>10.6</v>
      </c>
      <c r="Z14" s="1600">
        <v>9.7200000000000006</v>
      </c>
      <c r="AA14" s="1269"/>
      <c r="AB14" s="1269"/>
      <c r="AC14" s="432"/>
    </row>
    <row r="15" spans="1:29" ht="13.5" customHeight="1" x14ac:dyDescent="0.2">
      <c r="A15" s="1277"/>
      <c r="B15" s="2389"/>
      <c r="C15" s="2386"/>
      <c r="D15" s="3292" t="s">
        <v>1440</v>
      </c>
      <c r="E15" s="920"/>
      <c r="F15" s="776"/>
      <c r="G15" s="776"/>
      <c r="H15" s="895"/>
      <c r="I15" s="895"/>
      <c r="J15" s="895"/>
      <c r="K15" s="776"/>
      <c r="L15" s="782"/>
      <c r="M15" s="1600">
        <v>19.84</v>
      </c>
      <c r="N15" s="1600">
        <v>19.760000000000002</v>
      </c>
      <c r="O15" s="1600">
        <v>21.21</v>
      </c>
      <c r="P15" s="1600">
        <v>20.81</v>
      </c>
      <c r="Q15" s="1600">
        <v>20.16</v>
      </c>
      <c r="R15" s="1600">
        <v>22.7</v>
      </c>
      <c r="S15" s="1600">
        <v>18.559999999999999</v>
      </c>
      <c r="T15" s="1600">
        <v>21.23</v>
      </c>
      <c r="U15" s="1600">
        <v>20.66</v>
      </c>
      <c r="V15" s="1600">
        <v>20.96</v>
      </c>
      <c r="W15" s="1600">
        <v>21.3</v>
      </c>
      <c r="X15" s="1600">
        <v>21.64</v>
      </c>
      <c r="Y15" s="1600">
        <v>21.7</v>
      </c>
      <c r="Z15" s="1600">
        <v>22.88</v>
      </c>
      <c r="AA15" s="1269"/>
      <c r="AB15" s="1269"/>
      <c r="AC15" s="432"/>
    </row>
    <row r="16" spans="1:29" ht="13.5" customHeight="1" x14ac:dyDescent="0.2">
      <c r="A16" s="1277"/>
      <c r="B16" s="2389"/>
      <c r="C16" s="2386"/>
      <c r="D16" s="3293" t="s">
        <v>1441</v>
      </c>
      <c r="E16" s="1220"/>
      <c r="F16" s="2390"/>
      <c r="G16" s="1220"/>
      <c r="H16" s="1220"/>
      <c r="I16" s="1220"/>
      <c r="J16" s="1220"/>
      <c r="K16" s="2390"/>
      <c r="L16" s="1220"/>
      <c r="M16" s="1598">
        <v>11.74</v>
      </c>
      <c r="N16" s="1598">
        <v>10.41</v>
      </c>
      <c r="O16" s="1598">
        <v>12.39</v>
      </c>
      <c r="P16" s="1598">
        <v>10.28</v>
      </c>
      <c r="Q16" s="1598">
        <v>10.119999999999999</v>
      </c>
      <c r="R16" s="1598">
        <v>10.01</v>
      </c>
      <c r="S16" s="1598">
        <v>7.74</v>
      </c>
      <c r="T16" s="1598">
        <v>12.41</v>
      </c>
      <c r="U16" s="1598">
        <v>10.34</v>
      </c>
      <c r="V16" s="1598">
        <v>15.12</v>
      </c>
      <c r="W16" s="1598">
        <v>13.09</v>
      </c>
      <c r="X16" s="1598">
        <v>11.98</v>
      </c>
      <c r="Y16" s="1598">
        <v>12.4</v>
      </c>
      <c r="Z16" s="1598">
        <v>13.59</v>
      </c>
      <c r="AA16" s="1269"/>
      <c r="AB16" s="1269"/>
      <c r="AC16" s="432"/>
    </row>
    <row r="17" spans="1:29" ht="13.5" customHeight="1" x14ac:dyDescent="0.25">
      <c r="A17" s="1277"/>
      <c r="B17" s="2385"/>
      <c r="C17" s="2386"/>
      <c r="D17" s="3294" t="s">
        <v>1442</v>
      </c>
      <c r="E17" s="2395"/>
      <c r="F17" s="895"/>
      <c r="G17" s="895"/>
      <c r="H17" s="2396"/>
      <c r="I17" s="2396"/>
      <c r="J17" s="2396"/>
      <c r="K17" s="895"/>
      <c r="L17" s="1351"/>
      <c r="M17" s="1601">
        <v>1428929</v>
      </c>
      <c r="N17" s="1601">
        <v>1449982</v>
      </c>
      <c r="O17" s="1601">
        <v>1384963</v>
      </c>
      <c r="P17" s="1601">
        <v>1876663</v>
      </c>
      <c r="Q17" s="1601">
        <v>1815649</v>
      </c>
      <c r="R17" s="1601">
        <v>1918174</v>
      </c>
      <c r="S17" s="1601">
        <v>1878101</v>
      </c>
      <c r="T17" s="1601">
        <v>1847405</v>
      </c>
      <c r="U17" s="1601">
        <v>1805861</v>
      </c>
      <c r="V17" s="1601">
        <v>1689596</v>
      </c>
      <c r="W17" s="1601">
        <v>2036439</v>
      </c>
      <c r="X17" s="1601">
        <v>2058146</v>
      </c>
      <c r="Y17" s="1601">
        <v>2018717</v>
      </c>
      <c r="Z17" s="1601">
        <v>2276788</v>
      </c>
      <c r="AA17" s="1269"/>
      <c r="AB17" s="1269"/>
      <c r="AC17" s="432"/>
    </row>
    <row r="18" spans="1:29" ht="13.5" customHeight="1" x14ac:dyDescent="0.25">
      <c r="A18" s="1277"/>
      <c r="B18" s="2385"/>
      <c r="C18" s="2386"/>
      <c r="D18" s="3295"/>
      <c r="E18" s="895"/>
      <c r="F18" s="895"/>
      <c r="G18" s="1114"/>
      <c r="H18" s="1114"/>
      <c r="I18" s="1114"/>
      <c r="J18" s="1114"/>
      <c r="K18" s="1118"/>
      <c r="L18" s="2397"/>
      <c r="M18" s="1600">
        <v>13.23</v>
      </c>
      <c r="N18" s="1600">
        <v>13.05</v>
      </c>
      <c r="O18" s="1600">
        <v>12.13</v>
      </c>
      <c r="P18" s="1600">
        <v>15.98</v>
      </c>
      <c r="Q18" s="1600">
        <v>15.03</v>
      </c>
      <c r="R18" s="1600">
        <v>15.48</v>
      </c>
      <c r="S18" s="1600">
        <v>14.62</v>
      </c>
      <c r="T18" s="1600">
        <v>13.89</v>
      </c>
      <c r="U18" s="1600">
        <v>13.15</v>
      </c>
      <c r="V18" s="1600">
        <v>12.04</v>
      </c>
      <c r="W18" s="1600">
        <v>14.06</v>
      </c>
      <c r="X18" s="1600">
        <v>13.62</v>
      </c>
      <c r="Y18" s="1600">
        <v>12.9</v>
      </c>
      <c r="Z18" s="1600">
        <v>14.12</v>
      </c>
      <c r="AA18" s="1269"/>
      <c r="AB18" s="1269"/>
      <c r="AC18" s="432"/>
    </row>
    <row r="19" spans="1:29" ht="11.25" customHeight="1" x14ac:dyDescent="0.25">
      <c r="A19" s="1277"/>
      <c r="B19" s="2385"/>
      <c r="C19" s="2386"/>
      <c r="D19" s="3002" t="s">
        <v>1443</v>
      </c>
      <c r="E19" s="1698"/>
      <c r="F19" s="895"/>
      <c r="G19" s="895"/>
      <c r="H19" s="2396"/>
      <c r="I19" s="2396"/>
      <c r="J19" s="2396"/>
      <c r="K19" s="984"/>
      <c r="L19" s="1351"/>
      <c r="M19" s="1602">
        <v>1117473</v>
      </c>
      <c r="N19" s="1602">
        <v>1145998</v>
      </c>
      <c r="O19" s="1602">
        <v>1282004</v>
      </c>
      <c r="P19" s="1602">
        <v>1241457</v>
      </c>
      <c r="Q19" s="1602">
        <v>1133817</v>
      </c>
      <c r="R19" s="1602">
        <v>1145162</v>
      </c>
      <c r="S19" s="1602">
        <v>1265695</v>
      </c>
      <c r="T19" s="1602">
        <v>1288223</v>
      </c>
      <c r="U19" s="1602">
        <v>1218447</v>
      </c>
      <c r="V19" s="1602">
        <v>1294430</v>
      </c>
      <c r="W19" s="1602">
        <v>1170575</v>
      </c>
      <c r="X19" s="1602">
        <v>1173549</v>
      </c>
      <c r="Y19" s="1602">
        <v>1053187</v>
      </c>
      <c r="Z19" s="1602">
        <v>1105645</v>
      </c>
      <c r="AA19" s="1269"/>
      <c r="AB19" s="1269"/>
      <c r="AC19" s="432"/>
    </row>
    <row r="20" spans="1:29" ht="11.25" customHeight="1" x14ac:dyDescent="0.25">
      <c r="A20" s="1277"/>
      <c r="B20" s="2385"/>
      <c r="C20" s="2386"/>
      <c r="D20" s="3296"/>
      <c r="E20" s="2398"/>
      <c r="F20" s="1294"/>
      <c r="G20" s="2399"/>
      <c r="H20" s="2399"/>
      <c r="I20" s="2399"/>
      <c r="J20" s="2399"/>
      <c r="K20" s="2399"/>
      <c r="L20" s="2400"/>
      <c r="M20" s="1603">
        <v>10.34</v>
      </c>
      <c r="N20" s="1603">
        <v>10.32</v>
      </c>
      <c r="O20" s="1603">
        <v>11.23</v>
      </c>
      <c r="P20" s="1603">
        <v>10.57</v>
      </c>
      <c r="Q20" s="1603">
        <v>9.3800000000000008</v>
      </c>
      <c r="R20" s="1603">
        <v>9.24</v>
      </c>
      <c r="S20" s="1603">
        <v>9.85</v>
      </c>
      <c r="T20" s="1603">
        <v>9.68</v>
      </c>
      <c r="U20" s="1603">
        <v>8.8699999999999992</v>
      </c>
      <c r="V20" s="1603">
        <v>9.2200000000000006</v>
      </c>
      <c r="W20" s="1603">
        <v>8.08</v>
      </c>
      <c r="X20" s="1603">
        <v>7.77</v>
      </c>
      <c r="Y20" s="1603">
        <v>6.8</v>
      </c>
      <c r="Z20" s="1603">
        <v>6.86</v>
      </c>
      <c r="AA20" s="1269"/>
      <c r="AB20" s="1269"/>
      <c r="AC20" s="432"/>
    </row>
    <row r="21" spans="1:29" ht="11.25" customHeight="1" x14ac:dyDescent="0.25">
      <c r="A21" s="1277"/>
      <c r="B21" s="2385"/>
      <c r="C21" s="2386"/>
      <c r="D21" s="1698"/>
      <c r="E21" s="1698"/>
      <c r="F21" s="895"/>
      <c r="G21" s="1114"/>
      <c r="H21" s="1114"/>
      <c r="I21" s="1114"/>
      <c r="J21" s="1114"/>
      <c r="K21" s="1114"/>
      <c r="L21" s="1114"/>
      <c r="M21" s="1114"/>
      <c r="N21" s="1114"/>
      <c r="O21" s="1114"/>
      <c r="P21" s="1114"/>
      <c r="Q21" s="1114"/>
      <c r="R21" s="1114"/>
      <c r="S21" s="1269"/>
      <c r="T21" s="1114"/>
      <c r="U21" s="1114"/>
      <c r="V21" s="1114"/>
      <c r="W21" s="1114"/>
      <c r="X21" s="1114"/>
      <c r="Y21" s="1114"/>
      <c r="Z21" s="1269"/>
      <c r="AA21" s="1269"/>
      <c r="AB21" s="432"/>
    </row>
    <row r="22" spans="1:29" ht="11.25" customHeight="1" x14ac:dyDescent="0.25">
      <c r="A22" s="1277"/>
      <c r="B22" s="2385"/>
      <c r="C22" s="2386"/>
      <c r="D22" s="1698"/>
      <c r="E22" s="1698"/>
      <c r="F22" s="895"/>
      <c r="G22" s="1114"/>
      <c r="H22" s="1114"/>
      <c r="I22" s="1114"/>
      <c r="J22" s="1114"/>
      <c r="K22" s="1114"/>
      <c r="L22" s="1114"/>
      <c r="M22" s="1114"/>
      <c r="N22" s="1114"/>
      <c r="O22" s="1114"/>
      <c r="P22" s="1114"/>
      <c r="Q22" s="1114"/>
      <c r="R22" s="1114"/>
      <c r="S22" s="1269"/>
      <c r="T22" s="1114"/>
      <c r="U22" s="1114"/>
      <c r="V22" s="1114"/>
      <c r="W22" s="1114"/>
      <c r="X22" s="1114"/>
      <c r="Y22" s="1114"/>
      <c r="Z22" s="1269"/>
      <c r="AA22" s="1269"/>
      <c r="AB22" s="432"/>
    </row>
    <row r="23" spans="1:29" ht="11.25" customHeight="1" x14ac:dyDescent="0.2">
      <c r="A23" s="1277"/>
      <c r="B23" s="2385"/>
      <c r="C23" s="2386"/>
      <c r="D23" s="424" t="s">
        <v>55</v>
      </c>
      <c r="E23" s="424" t="s">
        <v>1444</v>
      </c>
      <c r="F23" s="895"/>
      <c r="G23" s="1114"/>
      <c r="H23" s="1114"/>
      <c r="I23" s="1114"/>
      <c r="J23" s="1114"/>
      <c r="K23" s="1114"/>
      <c r="L23" s="1114"/>
      <c r="M23" s="1114"/>
      <c r="N23" s="1114"/>
      <c r="O23" s="1114"/>
      <c r="P23" s="1114"/>
      <c r="Q23" s="1114"/>
      <c r="R23" s="1114"/>
      <c r="S23" s="1269"/>
      <c r="T23" s="1114"/>
      <c r="U23" s="1114"/>
      <c r="V23" s="1114"/>
      <c r="W23" s="1114"/>
      <c r="X23" s="1114"/>
      <c r="Y23" s="1114"/>
      <c r="Z23" s="1269"/>
      <c r="AA23" s="1269"/>
      <c r="AB23" s="432"/>
    </row>
    <row r="24" spans="1:29" ht="12.75" customHeight="1" x14ac:dyDescent="0.2">
      <c r="A24" s="1277"/>
      <c r="B24" s="916"/>
      <c r="C24" s="957"/>
      <c r="D24" s="2953"/>
      <c r="E24" s="1431" t="s">
        <v>125</v>
      </c>
      <c r="F24" s="1431" t="s">
        <v>126</v>
      </c>
      <c r="G24" s="1431" t="s">
        <v>127</v>
      </c>
      <c r="H24" s="1431" t="s">
        <v>128</v>
      </c>
      <c r="I24" s="1431" t="s">
        <v>129</v>
      </c>
      <c r="J24" s="1431" t="s">
        <v>130</v>
      </c>
      <c r="K24" s="1431" t="s">
        <v>131</v>
      </c>
      <c r="L24" s="1431" t="s">
        <v>132</v>
      </c>
      <c r="M24" s="1431" t="s">
        <v>133</v>
      </c>
      <c r="N24" s="1431" t="s">
        <v>1445</v>
      </c>
      <c r="O24" s="1431" t="s">
        <v>135</v>
      </c>
      <c r="P24" s="1431" t="s">
        <v>136</v>
      </c>
      <c r="Q24" s="1431" t="s">
        <v>137</v>
      </c>
      <c r="R24" s="1431" t="s">
        <v>138</v>
      </c>
      <c r="S24" s="1431" t="s">
        <v>139</v>
      </c>
      <c r="T24" s="1431" t="s">
        <v>140</v>
      </c>
      <c r="U24" s="981" t="s">
        <v>141</v>
      </c>
      <c r="V24" s="981" t="s">
        <v>142</v>
      </c>
      <c r="W24" s="981" t="s">
        <v>143</v>
      </c>
      <c r="X24" s="981" t="s">
        <v>144</v>
      </c>
      <c r="Y24" s="981" t="s">
        <v>145</v>
      </c>
      <c r="Z24" s="2401"/>
      <c r="AA24" s="784"/>
      <c r="AB24" s="784"/>
      <c r="AC24" s="432"/>
    </row>
    <row r="25" spans="1:29" ht="12.75" customHeight="1" x14ac:dyDescent="0.2">
      <c r="A25" s="1277"/>
      <c r="B25" s="916"/>
      <c r="C25" s="957"/>
      <c r="D25" s="2940" t="s">
        <v>824</v>
      </c>
      <c r="E25" s="630"/>
      <c r="F25" s="630"/>
      <c r="G25" s="630"/>
      <c r="H25" s="630"/>
      <c r="I25" s="630"/>
      <c r="J25" s="630"/>
      <c r="K25" s="630"/>
      <c r="L25" s="630"/>
      <c r="M25" s="630"/>
      <c r="N25" s="782">
        <v>1272983</v>
      </c>
      <c r="O25" s="782">
        <v>151032</v>
      </c>
      <c r="P25" s="782">
        <v>183564</v>
      </c>
      <c r="Q25" s="782">
        <v>183007</v>
      </c>
      <c r="R25" s="782">
        <v>105160</v>
      </c>
      <c r="S25" s="782">
        <v>150217</v>
      </c>
      <c r="T25" s="782">
        <v>124483</v>
      </c>
      <c r="U25" s="782">
        <v>123530</v>
      </c>
      <c r="V25" s="782">
        <v>126652</v>
      </c>
      <c r="W25" s="782">
        <v>132444</v>
      </c>
      <c r="X25" s="782">
        <v>113851</v>
      </c>
      <c r="Y25" s="782">
        <v>146077</v>
      </c>
      <c r="Z25" s="2401"/>
      <c r="AA25" s="784"/>
      <c r="AB25" s="784"/>
      <c r="AC25" s="432"/>
    </row>
    <row r="26" spans="1:29" ht="22.5" customHeight="1" x14ac:dyDescent="0.2">
      <c r="A26" s="1277"/>
      <c r="B26" s="2385"/>
      <c r="C26" s="2402"/>
      <c r="D26" s="2940" t="s">
        <v>1446</v>
      </c>
      <c r="E26" s="782"/>
      <c r="F26" s="782">
        <v>135229</v>
      </c>
      <c r="G26" s="782">
        <v>264422</v>
      </c>
      <c r="H26" s="782">
        <v>473422</v>
      </c>
      <c r="I26" s="782">
        <v>721813</v>
      </c>
      <c r="J26" s="782">
        <v>883385</v>
      </c>
      <c r="K26" s="782">
        <v>1074028</v>
      </c>
      <c r="L26" s="782">
        <v>1217309</v>
      </c>
      <c r="M26" s="782">
        <v>1420897</v>
      </c>
      <c r="N26" s="782">
        <v>1614512</v>
      </c>
      <c r="O26" s="782">
        <v>1831860</v>
      </c>
      <c r="P26" s="782">
        <v>2047993</v>
      </c>
      <c r="Q26" s="782">
        <v>2319212</v>
      </c>
      <c r="R26" s="782">
        <v>2568062</v>
      </c>
      <c r="S26" s="782">
        <v>2806647</v>
      </c>
      <c r="T26" s="782">
        <v>3036372</v>
      </c>
      <c r="U26" s="782">
        <v>3244715</v>
      </c>
      <c r="V26" s="782">
        <v>3383998</v>
      </c>
      <c r="W26" s="782">
        <f>V26+W27+W28</f>
        <v>3544775</v>
      </c>
      <c r="X26" s="782">
        <f>V26+X27+X28</f>
        <v>3538127</v>
      </c>
      <c r="Y26" s="782">
        <v>3882729</v>
      </c>
      <c r="Z26" s="782"/>
      <c r="AA26" s="1269"/>
      <c r="AB26" s="1269"/>
      <c r="AC26" s="432"/>
    </row>
    <row r="27" spans="1:29" x14ac:dyDescent="0.2">
      <c r="A27" s="1277"/>
      <c r="B27" s="2385"/>
      <c r="C27" s="2402"/>
      <c r="D27" s="3292" t="s">
        <v>1447</v>
      </c>
      <c r="E27" s="782"/>
      <c r="F27" s="1272" t="s">
        <v>528</v>
      </c>
      <c r="G27" s="1272" t="s">
        <v>528</v>
      </c>
      <c r="H27" s="1272" t="s">
        <v>528</v>
      </c>
      <c r="I27" s="782">
        <v>12756</v>
      </c>
      <c r="J27" s="1272" t="s">
        <v>528</v>
      </c>
      <c r="K27" s="782">
        <v>19711</v>
      </c>
      <c r="L27" s="1272" t="s">
        <v>528</v>
      </c>
      <c r="M27" s="782">
        <v>82286</v>
      </c>
      <c r="N27" s="782">
        <v>42842</v>
      </c>
      <c r="O27" s="782">
        <v>87284</v>
      </c>
      <c r="P27" s="782">
        <v>109666</v>
      </c>
      <c r="Q27" s="782">
        <v>117845</v>
      </c>
      <c r="R27" s="782">
        <v>82298</v>
      </c>
      <c r="S27" s="782">
        <v>68469</v>
      </c>
      <c r="T27" s="782">
        <v>64362</v>
      </c>
      <c r="U27" s="782">
        <v>63546</v>
      </c>
      <c r="V27" s="782">
        <v>58587</v>
      </c>
      <c r="W27" s="782">
        <v>45698</v>
      </c>
      <c r="X27" s="782">
        <v>48193</v>
      </c>
      <c r="Y27" s="782">
        <v>49345</v>
      </c>
      <c r="Z27" s="782"/>
      <c r="AA27" s="1269"/>
      <c r="AB27" s="1269"/>
      <c r="AC27" s="432"/>
    </row>
    <row r="28" spans="1:29" ht="14.25" customHeight="1" x14ac:dyDescent="0.2">
      <c r="A28" s="1277"/>
      <c r="B28" s="2385"/>
      <c r="C28" s="2402"/>
      <c r="D28" s="3297" t="s">
        <v>1448</v>
      </c>
      <c r="E28" s="1274">
        <v>60820</v>
      </c>
      <c r="F28" s="1275">
        <v>74409</v>
      </c>
      <c r="G28" s="1275">
        <v>129193</v>
      </c>
      <c r="H28" s="1275">
        <v>209000</v>
      </c>
      <c r="I28" s="1274">
        <v>235635</v>
      </c>
      <c r="J28" s="1275">
        <v>161572</v>
      </c>
      <c r="K28" s="1274">
        <v>170932</v>
      </c>
      <c r="L28" s="1275">
        <v>143281</v>
      </c>
      <c r="M28" s="1274">
        <v>131784</v>
      </c>
      <c r="N28" s="1274">
        <v>150773</v>
      </c>
      <c r="O28" s="1274">
        <v>148253</v>
      </c>
      <c r="P28" s="1274">
        <v>134023</v>
      </c>
      <c r="Q28" s="1274">
        <v>153374</v>
      </c>
      <c r="R28" s="1274">
        <v>146465</v>
      </c>
      <c r="S28" s="1274">
        <v>160403</v>
      </c>
      <c r="T28" s="1274">
        <v>161854</v>
      </c>
      <c r="U28" s="1274">
        <v>121879</v>
      </c>
      <c r="V28" s="1274">
        <v>120610</v>
      </c>
      <c r="W28" s="1274">
        <v>115079</v>
      </c>
      <c r="X28" s="1274">
        <v>105936</v>
      </c>
      <c r="Y28" s="1274">
        <v>94566</v>
      </c>
      <c r="Z28" s="782"/>
      <c r="AA28" s="1269"/>
      <c r="AB28" s="1269"/>
      <c r="AC28" s="432"/>
    </row>
    <row r="29" spans="1:29" s="984" customFormat="1" ht="14.25" customHeight="1" x14ac:dyDescent="0.2">
      <c r="A29" s="1365"/>
      <c r="B29" s="2385"/>
      <c r="C29" s="2386"/>
      <c r="D29" s="1271"/>
      <c r="E29" s="1271"/>
      <c r="F29" s="782"/>
      <c r="G29" s="782"/>
      <c r="H29" s="782"/>
      <c r="I29" s="782"/>
      <c r="J29" s="782"/>
      <c r="K29" s="782"/>
      <c r="L29" s="782"/>
      <c r="M29" s="782"/>
      <c r="N29" s="782"/>
      <c r="O29" s="782"/>
      <c r="P29" s="782"/>
      <c r="Q29" s="782"/>
      <c r="R29" s="782"/>
      <c r="S29" s="782"/>
      <c r="T29" s="782"/>
      <c r="U29" s="782"/>
      <c r="V29" s="782"/>
      <c r="W29" s="782"/>
      <c r="X29" s="782"/>
      <c r="Y29" s="782"/>
      <c r="Z29" s="1276"/>
      <c r="AA29" s="1276"/>
    </row>
    <row r="30" spans="1:29" s="984" customFormat="1" ht="14.25" customHeight="1" x14ac:dyDescent="0.2">
      <c r="A30" s="1365"/>
      <c r="B30" s="2385"/>
      <c r="C30" s="2386"/>
      <c r="D30" s="1271"/>
      <c r="E30" s="1271"/>
      <c r="F30" s="782"/>
      <c r="G30" s="782"/>
      <c r="H30" s="782"/>
      <c r="I30" s="782"/>
      <c r="J30" s="782"/>
      <c r="K30" s="782"/>
      <c r="L30" s="782"/>
      <c r="M30" s="782"/>
      <c r="N30" s="782"/>
      <c r="O30" s="782"/>
      <c r="P30" s="782"/>
      <c r="Q30" s="782"/>
      <c r="R30" s="782"/>
      <c r="S30" s="782"/>
      <c r="T30" s="782"/>
      <c r="U30" s="782"/>
      <c r="V30" s="782"/>
      <c r="W30" s="782"/>
      <c r="X30" s="782"/>
      <c r="Y30" s="782"/>
      <c r="Z30" s="1276"/>
      <c r="AA30" s="1276"/>
    </row>
    <row r="31" spans="1:29" x14ac:dyDescent="0.2">
      <c r="A31" s="1277"/>
      <c r="D31" s="277" t="s">
        <v>262</v>
      </c>
      <c r="E31" s="424" t="s">
        <v>1449</v>
      </c>
      <c r="F31" s="895"/>
      <c r="V31" s="1362"/>
    </row>
    <row r="32" spans="1:29" x14ac:dyDescent="0.2">
      <c r="A32" s="2379"/>
      <c r="B32" s="835"/>
      <c r="C32" s="835"/>
      <c r="D32" s="3298"/>
      <c r="E32" s="3766" t="s">
        <v>135</v>
      </c>
      <c r="F32" s="3767"/>
      <c r="G32" s="3766" t="s">
        <v>136</v>
      </c>
      <c r="H32" s="3767"/>
      <c r="I32" s="3766" t="s">
        <v>137</v>
      </c>
      <c r="J32" s="3767"/>
      <c r="K32" s="3766" t="s">
        <v>138</v>
      </c>
      <c r="L32" s="3767"/>
      <c r="M32" s="3766" t="s">
        <v>139</v>
      </c>
      <c r="N32" s="3767"/>
      <c r="O32" s="3766" t="s">
        <v>140</v>
      </c>
      <c r="P32" s="3767"/>
      <c r="Q32" s="3766" t="s">
        <v>141</v>
      </c>
      <c r="R32" s="3767"/>
      <c r="S32" s="3766" t="s">
        <v>142</v>
      </c>
      <c r="T32" s="3767"/>
      <c r="U32" s="3766" t="s">
        <v>143</v>
      </c>
      <c r="V32" s="3767"/>
      <c r="W32" s="3766" t="s">
        <v>144</v>
      </c>
      <c r="X32" s="3767"/>
      <c r="Y32" s="3766" t="s">
        <v>145</v>
      </c>
      <c r="Z32" s="3767"/>
    </row>
    <row r="33" spans="1:30" ht="24" customHeight="1" x14ac:dyDescent="0.2">
      <c r="D33" s="3299"/>
      <c r="E33" s="2404" t="s">
        <v>824</v>
      </c>
      <c r="F33" s="1278" t="s">
        <v>1450</v>
      </c>
      <c r="G33" s="2404"/>
      <c r="H33" s="1278" t="s">
        <v>1450</v>
      </c>
      <c r="I33" s="2404"/>
      <c r="J33" s="1278" t="s">
        <v>1450</v>
      </c>
      <c r="K33" s="2404"/>
      <c r="L33" s="1278" t="s">
        <v>1450</v>
      </c>
      <c r="M33" s="2404"/>
      <c r="N33" s="1278" t="s">
        <v>1450</v>
      </c>
      <c r="O33" s="2404"/>
      <c r="P33" s="1278" t="s">
        <v>1450</v>
      </c>
      <c r="Q33" s="2404"/>
      <c r="R33" s="1278" t="s">
        <v>1450</v>
      </c>
      <c r="S33" s="2404"/>
      <c r="T33" s="1278" t="s">
        <v>1450</v>
      </c>
      <c r="U33" s="2404"/>
      <c r="V33" s="1278" t="s">
        <v>1450</v>
      </c>
      <c r="W33" s="2404"/>
      <c r="X33" s="1278" t="s">
        <v>1450</v>
      </c>
      <c r="Y33" s="2404"/>
      <c r="Z33" s="1278" t="s">
        <v>1450</v>
      </c>
    </row>
    <row r="34" spans="1:30" x14ac:dyDescent="0.2">
      <c r="A34" s="2405"/>
      <c r="D34" s="3300" t="s">
        <v>415</v>
      </c>
      <c r="E34" s="1604">
        <v>23905</v>
      </c>
      <c r="F34" s="1279">
        <v>37524</v>
      </c>
      <c r="G34" s="1604">
        <v>9546</v>
      </c>
      <c r="H34" s="1279">
        <v>19825</v>
      </c>
      <c r="I34" s="1604">
        <v>8437</v>
      </c>
      <c r="J34" s="1279">
        <v>16526</v>
      </c>
      <c r="K34" s="1604">
        <v>4059</v>
      </c>
      <c r="L34" s="1279">
        <v>12684</v>
      </c>
      <c r="M34" s="1604">
        <v>12681</v>
      </c>
      <c r="N34" s="1279">
        <v>22180</v>
      </c>
      <c r="O34" s="1604">
        <v>12034</v>
      </c>
      <c r="P34" s="1279">
        <v>30292</v>
      </c>
      <c r="Q34" s="1604">
        <v>20519</v>
      </c>
      <c r="R34" s="1279">
        <v>23763</v>
      </c>
      <c r="S34" s="1604">
        <v>15592</v>
      </c>
      <c r="T34" s="1279">
        <v>20488</v>
      </c>
      <c r="U34" s="1604">
        <v>15662</v>
      </c>
      <c r="V34" s="1279">
        <v>22542</v>
      </c>
      <c r="W34" s="1604">
        <v>17662</v>
      </c>
      <c r="X34" s="1279">
        <v>24366</v>
      </c>
      <c r="Y34" s="1604">
        <v>29438</v>
      </c>
      <c r="Z34" s="1279">
        <v>26050</v>
      </c>
    </row>
    <row r="35" spans="1:30" x14ac:dyDescent="0.2">
      <c r="A35" s="2405"/>
      <c r="D35" s="3301" t="s">
        <v>417</v>
      </c>
      <c r="E35" s="1604">
        <v>17489</v>
      </c>
      <c r="F35" s="1279">
        <v>16447</v>
      </c>
      <c r="G35" s="1604">
        <v>9474</v>
      </c>
      <c r="H35" s="1279">
        <v>20536</v>
      </c>
      <c r="I35" s="1604">
        <v>13173</v>
      </c>
      <c r="J35" s="1279">
        <v>19662</v>
      </c>
      <c r="K35" s="1604">
        <v>5521</v>
      </c>
      <c r="L35" s="1279">
        <v>12482</v>
      </c>
      <c r="M35" s="1604">
        <v>27824</v>
      </c>
      <c r="N35" s="1279">
        <v>14667</v>
      </c>
      <c r="O35" s="1604">
        <v>7698</v>
      </c>
      <c r="P35" s="1279">
        <v>20232</v>
      </c>
      <c r="Q35" s="1604">
        <v>20024</v>
      </c>
      <c r="R35" s="1279">
        <v>5136</v>
      </c>
      <c r="S35" s="1604">
        <v>7191</v>
      </c>
      <c r="T35" s="1279">
        <v>16470</v>
      </c>
      <c r="U35" s="1604">
        <v>1314</v>
      </c>
      <c r="V35" s="1279">
        <v>10547</v>
      </c>
      <c r="W35" s="1604">
        <v>2435</v>
      </c>
      <c r="X35" s="1279">
        <v>14123</v>
      </c>
      <c r="Y35" s="1604">
        <v>3807</v>
      </c>
      <c r="Z35" s="1279">
        <v>11000</v>
      </c>
    </row>
    <row r="36" spans="1:30" x14ac:dyDescent="0.2">
      <c r="A36" s="2405"/>
      <c r="D36" s="3301" t="s">
        <v>420</v>
      </c>
      <c r="E36" s="1604">
        <v>39469</v>
      </c>
      <c r="F36" s="1279">
        <v>66738</v>
      </c>
      <c r="G36" s="1604">
        <v>68075</v>
      </c>
      <c r="H36" s="1279">
        <v>63711</v>
      </c>
      <c r="I36" s="1604">
        <v>63207</v>
      </c>
      <c r="J36" s="1279">
        <v>77044</v>
      </c>
      <c r="K36" s="1604">
        <v>39613</v>
      </c>
      <c r="L36" s="1279">
        <v>70799</v>
      </c>
      <c r="M36" s="1604">
        <v>26423</v>
      </c>
      <c r="N36" s="1279">
        <v>67933</v>
      </c>
      <c r="O36" s="1604">
        <v>31630</v>
      </c>
      <c r="P36" s="1279">
        <v>46473</v>
      </c>
      <c r="Q36" s="1604">
        <v>8216</v>
      </c>
      <c r="R36" s="1279">
        <v>46983</v>
      </c>
      <c r="S36" s="1604">
        <v>17149</v>
      </c>
      <c r="T36" s="1279">
        <v>38324</v>
      </c>
      <c r="U36" s="1604">
        <v>17432</v>
      </c>
      <c r="V36" s="1279">
        <v>28897</v>
      </c>
      <c r="W36" s="1604">
        <v>13262</v>
      </c>
      <c r="X36" s="1279">
        <v>31311</v>
      </c>
      <c r="Y36" s="1604">
        <v>8942</v>
      </c>
      <c r="Z36" s="1279">
        <v>20381</v>
      </c>
      <c r="AC36" s="3768"/>
      <c r="AD36" s="3768"/>
    </row>
    <row r="37" spans="1:30" x14ac:dyDescent="0.2">
      <c r="A37" s="2406"/>
      <c r="D37" s="3301" t="s">
        <v>418</v>
      </c>
      <c r="E37" s="1604">
        <v>23763</v>
      </c>
      <c r="F37" s="1279">
        <v>36734</v>
      </c>
      <c r="G37" s="1604">
        <v>37039</v>
      </c>
      <c r="H37" s="1279">
        <v>35872</v>
      </c>
      <c r="I37" s="1604">
        <v>34090</v>
      </c>
      <c r="J37" s="1279">
        <v>38290</v>
      </c>
      <c r="K37" s="1604">
        <v>13914</v>
      </c>
      <c r="L37" s="1279">
        <v>34471</v>
      </c>
      <c r="M37" s="1604">
        <v>17143</v>
      </c>
      <c r="N37" s="1279">
        <v>36068</v>
      </c>
      <c r="O37" s="1604">
        <v>20614</v>
      </c>
      <c r="P37" s="1279">
        <v>27445</v>
      </c>
      <c r="Q37" s="1604">
        <v>21383</v>
      </c>
      <c r="R37" s="1279">
        <v>25019</v>
      </c>
      <c r="S37" s="1604">
        <v>33436</v>
      </c>
      <c r="T37" s="1279">
        <v>27545</v>
      </c>
      <c r="U37" s="1604">
        <v>56896</v>
      </c>
      <c r="V37" s="1279">
        <v>32003</v>
      </c>
      <c r="W37" s="1604">
        <v>44150</v>
      </c>
      <c r="X37" s="1279">
        <v>31941</v>
      </c>
      <c r="Y37" s="1604">
        <v>55021</v>
      </c>
      <c r="Z37" s="1279">
        <v>33325</v>
      </c>
      <c r="AC37" s="2407"/>
      <c r="AD37" s="1270"/>
    </row>
    <row r="38" spans="1:30" x14ac:dyDescent="0.2">
      <c r="D38" s="3301" t="s">
        <v>422</v>
      </c>
      <c r="E38" s="1604">
        <v>14262</v>
      </c>
      <c r="F38" s="1279">
        <v>16514</v>
      </c>
      <c r="G38" s="1604">
        <v>14943</v>
      </c>
      <c r="H38" s="1279">
        <v>10112</v>
      </c>
      <c r="I38" s="1604">
        <v>14540</v>
      </c>
      <c r="J38" s="1279">
        <v>23609</v>
      </c>
      <c r="K38" s="1604">
        <v>9942</v>
      </c>
      <c r="L38" s="1279">
        <v>18970</v>
      </c>
      <c r="M38" s="1604">
        <v>12651</v>
      </c>
      <c r="N38" s="1279">
        <v>16686</v>
      </c>
      <c r="O38" s="1604">
        <v>3507</v>
      </c>
      <c r="P38" s="1279">
        <v>23101</v>
      </c>
      <c r="Q38" s="1604">
        <v>13589</v>
      </c>
      <c r="R38" s="1279">
        <v>17981</v>
      </c>
      <c r="S38" s="1604">
        <v>15966</v>
      </c>
      <c r="T38" s="1279">
        <v>15371</v>
      </c>
      <c r="U38" s="1604">
        <v>13698</v>
      </c>
      <c r="V38" s="1279">
        <v>13960</v>
      </c>
      <c r="W38" s="1604">
        <v>338</v>
      </c>
      <c r="X38" s="1279">
        <v>3148</v>
      </c>
      <c r="Y38" s="1604">
        <v>9342</v>
      </c>
      <c r="Z38" s="1279">
        <v>2149</v>
      </c>
      <c r="AC38" s="1604"/>
      <c r="AD38" s="782"/>
    </row>
    <row r="39" spans="1:30" x14ac:dyDescent="0.2">
      <c r="D39" s="3301" t="s">
        <v>421</v>
      </c>
      <c r="E39" s="1604">
        <v>8358</v>
      </c>
      <c r="F39" s="1279">
        <v>18000</v>
      </c>
      <c r="G39" s="1604">
        <v>1913</v>
      </c>
      <c r="H39" s="1279">
        <v>14986</v>
      </c>
      <c r="I39" s="1604">
        <v>10159</v>
      </c>
      <c r="J39" s="1279">
        <v>10651</v>
      </c>
      <c r="K39" s="1604">
        <v>7313</v>
      </c>
      <c r="L39" s="1279">
        <v>16569</v>
      </c>
      <c r="M39" s="1604">
        <v>7574</v>
      </c>
      <c r="N39" s="1279">
        <v>17626</v>
      </c>
      <c r="O39" s="1604">
        <v>6983</v>
      </c>
      <c r="P39" s="1279">
        <v>7800</v>
      </c>
      <c r="Q39" s="1604">
        <v>7619</v>
      </c>
      <c r="R39" s="1279">
        <v>12019</v>
      </c>
      <c r="S39" s="1604">
        <v>9892</v>
      </c>
      <c r="T39" s="1279">
        <v>9217</v>
      </c>
      <c r="U39" s="1604">
        <v>6851</v>
      </c>
      <c r="V39" s="1279">
        <v>9569</v>
      </c>
      <c r="W39" s="1604">
        <v>9692</v>
      </c>
      <c r="X39" s="1279">
        <v>15704</v>
      </c>
      <c r="Y39" s="1604">
        <v>12645</v>
      </c>
      <c r="Z39" s="1279">
        <v>15293</v>
      </c>
      <c r="AC39" s="1604"/>
      <c r="AD39" s="782"/>
    </row>
    <row r="40" spans="1:30" x14ac:dyDescent="0.2">
      <c r="D40" s="3301" t="s">
        <v>416</v>
      </c>
      <c r="E40" s="1604">
        <v>4409</v>
      </c>
      <c r="F40" s="1279">
        <v>3598</v>
      </c>
      <c r="G40" s="1604">
        <v>2031</v>
      </c>
      <c r="H40" s="1279">
        <v>8667</v>
      </c>
      <c r="I40" s="1604">
        <v>3054</v>
      </c>
      <c r="J40" s="1279">
        <v>3880</v>
      </c>
      <c r="K40" s="1604">
        <v>3713</v>
      </c>
      <c r="L40" s="1279">
        <v>8686</v>
      </c>
      <c r="M40" s="1604">
        <v>3524</v>
      </c>
      <c r="N40" s="1279">
        <v>4914</v>
      </c>
      <c r="O40" s="1604">
        <v>4052</v>
      </c>
      <c r="P40" s="1279">
        <v>6257</v>
      </c>
      <c r="Q40" s="1604">
        <v>3258</v>
      </c>
      <c r="R40" s="1279">
        <v>6796</v>
      </c>
      <c r="S40" s="1604">
        <v>4107</v>
      </c>
      <c r="T40" s="1279">
        <v>5139</v>
      </c>
      <c r="U40" s="1604">
        <v>2247</v>
      </c>
      <c r="V40" s="1279">
        <v>4839</v>
      </c>
      <c r="W40" s="1604">
        <v>3207</v>
      </c>
      <c r="X40" s="1279">
        <v>5339</v>
      </c>
      <c r="Y40" s="1604">
        <v>2244</v>
      </c>
      <c r="Z40" s="1279">
        <v>5158</v>
      </c>
      <c r="AC40" s="1604"/>
      <c r="AD40" s="782"/>
    </row>
    <row r="41" spans="1:30" x14ac:dyDescent="0.2">
      <c r="D41" s="3301" t="s">
        <v>419</v>
      </c>
      <c r="E41" s="1604">
        <v>7362</v>
      </c>
      <c r="F41" s="1279">
        <v>10037</v>
      </c>
      <c r="G41" s="1604">
        <v>28711</v>
      </c>
      <c r="H41" s="1279">
        <v>35515</v>
      </c>
      <c r="I41" s="1604">
        <v>25571</v>
      </c>
      <c r="J41" s="1279">
        <v>46972</v>
      </c>
      <c r="K41" s="1604">
        <v>9815</v>
      </c>
      <c r="L41" s="1279">
        <v>19945</v>
      </c>
      <c r="M41" s="1604">
        <v>29679</v>
      </c>
      <c r="N41" s="1279">
        <v>17784</v>
      </c>
      <c r="O41" s="1604">
        <v>19334</v>
      </c>
      <c r="P41" s="1279">
        <v>32971</v>
      </c>
      <c r="Q41" s="1604">
        <v>12004</v>
      </c>
      <c r="R41" s="1279">
        <v>23192</v>
      </c>
      <c r="S41" s="1604">
        <v>10799</v>
      </c>
      <c r="T41" s="1279">
        <v>26892</v>
      </c>
      <c r="U41" s="1604">
        <v>8775</v>
      </c>
      <c r="V41" s="1279">
        <v>16633</v>
      </c>
      <c r="W41" s="1604">
        <v>9903</v>
      </c>
      <c r="X41" s="1279">
        <v>9667</v>
      </c>
      <c r="Y41" s="1604">
        <v>15803</v>
      </c>
      <c r="Z41" s="1279">
        <v>13770</v>
      </c>
      <c r="AC41" s="1604"/>
      <c r="AD41" s="782"/>
    </row>
    <row r="42" spans="1:30" x14ac:dyDescent="0.2">
      <c r="D42" s="3302" t="s">
        <v>414</v>
      </c>
      <c r="E42" s="1605">
        <v>12015</v>
      </c>
      <c r="F42" s="1279">
        <v>29945</v>
      </c>
      <c r="G42" s="1605">
        <v>11832</v>
      </c>
      <c r="H42" s="1279">
        <v>34465</v>
      </c>
      <c r="I42" s="1605">
        <v>10776</v>
      </c>
      <c r="J42" s="1279">
        <v>34585</v>
      </c>
      <c r="K42" s="1605">
        <v>11270</v>
      </c>
      <c r="L42" s="1279">
        <v>34157</v>
      </c>
      <c r="M42" s="1605">
        <v>12718</v>
      </c>
      <c r="N42" s="1279">
        <v>31014</v>
      </c>
      <c r="O42" s="1605">
        <v>18631</v>
      </c>
      <c r="P42" s="1279">
        <v>31645</v>
      </c>
      <c r="Q42" s="1605">
        <v>16918</v>
      </c>
      <c r="R42" s="1279">
        <v>24536</v>
      </c>
      <c r="S42" s="1605">
        <v>12520</v>
      </c>
      <c r="T42" s="1279">
        <v>19751</v>
      </c>
      <c r="U42" s="1605">
        <v>9569</v>
      </c>
      <c r="V42" s="1279">
        <v>21787</v>
      </c>
      <c r="W42" s="1605">
        <v>13202</v>
      </c>
      <c r="X42" s="1279">
        <v>18530</v>
      </c>
      <c r="Y42" s="1605">
        <v>8835</v>
      </c>
      <c r="Z42" s="1279">
        <v>16785</v>
      </c>
      <c r="AC42" s="1604"/>
      <c r="AD42" s="782"/>
    </row>
    <row r="43" spans="1:30" x14ac:dyDescent="0.2">
      <c r="D43" s="3303" t="s">
        <v>261</v>
      </c>
      <c r="E43" s="1606">
        <v>151032</v>
      </c>
      <c r="F43" s="1280">
        <f t="shared" ref="F43:T43" si="0">SUM(F34:F42)</f>
        <v>235537</v>
      </c>
      <c r="G43" s="1606">
        <v>183564</v>
      </c>
      <c r="H43" s="1280">
        <f t="shared" si="0"/>
        <v>243689</v>
      </c>
      <c r="I43" s="1606">
        <v>183007</v>
      </c>
      <c r="J43" s="1280">
        <f t="shared" si="0"/>
        <v>271219</v>
      </c>
      <c r="K43" s="1606">
        <v>105160</v>
      </c>
      <c r="L43" s="1280">
        <f t="shared" si="0"/>
        <v>228763</v>
      </c>
      <c r="M43" s="1606">
        <v>150217</v>
      </c>
      <c r="N43" s="1280">
        <f t="shared" si="0"/>
        <v>228872</v>
      </c>
      <c r="O43" s="1606">
        <v>124483</v>
      </c>
      <c r="P43" s="1280">
        <f t="shared" si="0"/>
        <v>226216</v>
      </c>
      <c r="Q43" s="1606">
        <v>123530</v>
      </c>
      <c r="R43" s="1280">
        <f t="shared" si="0"/>
        <v>185425</v>
      </c>
      <c r="S43" s="1606">
        <v>126652</v>
      </c>
      <c r="T43" s="1280">
        <f t="shared" si="0"/>
        <v>179197</v>
      </c>
      <c r="U43" s="1606">
        <v>132444</v>
      </c>
      <c r="V43" s="1280">
        <f>SUM(V34:V42)</f>
        <v>160777</v>
      </c>
      <c r="W43" s="1606">
        <v>113851</v>
      </c>
      <c r="X43" s="1280">
        <f>SUM(X34:X42)</f>
        <v>154129</v>
      </c>
      <c r="Y43" s="1606">
        <v>146077</v>
      </c>
      <c r="Z43" s="1280">
        <v>143911</v>
      </c>
      <c r="AC43" s="1604"/>
      <c r="AD43" s="782"/>
    </row>
    <row r="44" spans="1:30" x14ac:dyDescent="0.2">
      <c r="E44" s="984"/>
      <c r="F44" s="2408"/>
      <c r="G44" s="2408"/>
      <c r="H44" s="2408"/>
      <c r="I44" s="2409"/>
      <c r="J44" s="2408"/>
      <c r="K44" s="2409"/>
      <c r="L44" s="2408"/>
      <c r="M44" s="2408"/>
      <c r="N44" s="2408"/>
      <c r="O44" s="2408"/>
      <c r="P44" s="2408"/>
      <c r="Q44" s="2408"/>
      <c r="R44" s="2408"/>
      <c r="S44" s="2408"/>
      <c r="T44" s="2408"/>
      <c r="U44" s="2408"/>
      <c r="AA44" s="1604"/>
      <c r="AB44" s="782"/>
    </row>
    <row r="45" spans="1:30" ht="15" customHeight="1" x14ac:dyDescent="0.2">
      <c r="A45" s="835">
        <v>5</v>
      </c>
      <c r="B45" s="835" t="s">
        <v>78</v>
      </c>
      <c r="C45" s="835"/>
      <c r="D45" s="3615" t="s">
        <v>718</v>
      </c>
      <c r="E45" s="3616"/>
      <c r="F45" s="3616"/>
      <c r="G45" s="3616"/>
      <c r="H45" s="3616"/>
      <c r="I45" s="3616"/>
      <c r="J45" s="3616"/>
      <c r="K45" s="3616"/>
      <c r="L45" s="3616"/>
      <c r="M45" s="3616"/>
      <c r="N45" s="3616"/>
      <c r="O45" s="3616"/>
      <c r="P45" s="3616"/>
      <c r="Q45" s="3616"/>
      <c r="R45" s="3616"/>
      <c r="S45" s="3616"/>
      <c r="T45" s="3616"/>
      <c r="U45" s="3616"/>
      <c r="V45" s="3616"/>
      <c r="W45" s="3616"/>
      <c r="X45" s="3616"/>
      <c r="Y45" s="3616"/>
      <c r="Z45" s="3616"/>
      <c r="AA45" s="3617"/>
      <c r="AB45" s="782"/>
    </row>
    <row r="46" spans="1:30" ht="146.25" customHeight="1" x14ac:dyDescent="0.2">
      <c r="A46" s="963">
        <v>6</v>
      </c>
      <c r="B46" s="963" t="s">
        <v>80</v>
      </c>
      <c r="C46" s="835"/>
      <c r="D46" s="3615" t="s">
        <v>1451</v>
      </c>
      <c r="E46" s="3616"/>
      <c r="F46" s="3616"/>
      <c r="G46" s="3616"/>
      <c r="H46" s="3616"/>
      <c r="I46" s="3616"/>
      <c r="J46" s="3616"/>
      <c r="K46" s="3616"/>
      <c r="L46" s="3616"/>
      <c r="M46" s="3616"/>
      <c r="N46" s="3616"/>
      <c r="O46" s="3616"/>
      <c r="P46" s="3616"/>
      <c r="Q46" s="3616"/>
      <c r="R46" s="3616"/>
      <c r="S46" s="3616"/>
      <c r="T46" s="3616"/>
      <c r="U46" s="3616"/>
      <c r="V46" s="3616"/>
      <c r="W46" s="3616"/>
      <c r="X46" s="3616"/>
      <c r="Y46" s="3616"/>
      <c r="Z46" s="3616"/>
      <c r="AA46" s="3617"/>
      <c r="AB46" s="782"/>
    </row>
    <row r="47" spans="1:30" ht="30.75" customHeight="1" x14ac:dyDescent="0.2">
      <c r="A47" s="835">
        <v>7</v>
      </c>
      <c r="B47" s="835" t="s">
        <v>20</v>
      </c>
      <c r="C47" s="835"/>
      <c r="D47" s="3629" t="s">
        <v>1452</v>
      </c>
      <c r="E47" s="3630"/>
      <c r="F47" s="3630"/>
      <c r="G47" s="3630"/>
      <c r="H47" s="3630"/>
      <c r="I47" s="3630"/>
      <c r="J47" s="3630"/>
      <c r="K47" s="3630"/>
      <c r="L47" s="3630"/>
      <c r="M47" s="3630"/>
      <c r="N47" s="3630"/>
      <c r="O47" s="3630"/>
      <c r="P47" s="3630"/>
      <c r="Q47" s="3630"/>
      <c r="R47" s="3630"/>
      <c r="S47" s="3630"/>
      <c r="T47" s="3630"/>
      <c r="U47" s="3630"/>
      <c r="V47" s="3630"/>
      <c r="W47" s="3630"/>
      <c r="X47" s="3630"/>
      <c r="Y47" s="3630"/>
      <c r="Z47" s="3630"/>
      <c r="AA47" s="3631"/>
    </row>
    <row r="48" spans="1:30" ht="57.6" customHeight="1" x14ac:dyDescent="0.2">
      <c r="A48" s="835">
        <v>8</v>
      </c>
      <c r="B48" s="835" t="s">
        <v>157</v>
      </c>
      <c r="C48" s="1791"/>
      <c r="D48" s="3629" t="s">
        <v>1453</v>
      </c>
      <c r="E48" s="3630"/>
      <c r="F48" s="3630"/>
      <c r="G48" s="3630"/>
      <c r="H48" s="3630"/>
      <c r="I48" s="3630"/>
      <c r="J48" s="3630"/>
      <c r="K48" s="3630"/>
      <c r="L48" s="3630"/>
      <c r="M48" s="3630"/>
      <c r="N48" s="3630"/>
      <c r="O48" s="3630"/>
      <c r="P48" s="3630"/>
      <c r="Q48" s="3630"/>
      <c r="R48" s="3630"/>
      <c r="S48" s="3630"/>
      <c r="T48" s="3630"/>
      <c r="U48" s="3630"/>
      <c r="V48" s="3630"/>
      <c r="W48" s="3630"/>
      <c r="X48" s="3630"/>
      <c r="Y48" s="3630"/>
      <c r="Z48" s="3630"/>
      <c r="AA48" s="3631"/>
    </row>
  </sheetData>
  <mergeCells count="21">
    <mergeCell ref="AC36:AD36"/>
    <mergeCell ref="E32:F32"/>
    <mergeCell ref="G32:H32"/>
    <mergeCell ref="I32:J32"/>
    <mergeCell ref="K32:L32"/>
    <mergeCell ref="M32:N32"/>
    <mergeCell ref="O32:P32"/>
    <mergeCell ref="Q32:R32"/>
    <mergeCell ref="S32:T32"/>
    <mergeCell ref="U32:V32"/>
    <mergeCell ref="W32:X32"/>
    <mergeCell ref="D45:AA45"/>
    <mergeCell ref="D46:AA46"/>
    <mergeCell ref="D47:AA47"/>
    <mergeCell ref="D48:AA48"/>
    <mergeCell ref="D2:AA2"/>
    <mergeCell ref="D3:AA3"/>
    <mergeCell ref="D4:AA4"/>
    <mergeCell ref="D5:AA5"/>
    <mergeCell ref="D6:AA6"/>
    <mergeCell ref="Y32:Z32"/>
  </mergeCells>
  <pageMargins left="0.7" right="0.7" top="0.75" bottom="0.75" header="0.3" footer="0.3"/>
  <pageSetup paperSize="9" scale="5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86"/>
  <sheetViews>
    <sheetView showGridLines="0" view="pageBreakPreview" zoomScale="90" zoomScaleNormal="100" zoomScaleSheetLayoutView="90" workbookViewId="0">
      <selection activeCell="D7" sqref="D7:D8"/>
    </sheetView>
  </sheetViews>
  <sheetFormatPr defaultColWidth="9.140625" defaultRowHeight="15" x14ac:dyDescent="0.25"/>
  <cols>
    <col min="1" max="1" width="3.7109375" style="113" customWidth="1"/>
    <col min="2" max="2" width="12.7109375" style="110" customWidth="1"/>
    <col min="3" max="3" width="3.7109375" style="111" customWidth="1"/>
    <col min="4" max="4" width="8.28515625" style="51" customWidth="1"/>
    <col min="5" max="5" width="4.28515625" style="51" customWidth="1"/>
    <col min="6" max="23" width="8.28515625" style="51" customWidth="1"/>
    <col min="24" max="26" width="9.140625" style="51"/>
    <col min="27" max="27" width="8.140625" style="51" customWidth="1"/>
    <col min="28" max="16384" width="9.140625" style="51"/>
  </cols>
  <sheetData>
    <row r="1" spans="1:27" x14ac:dyDescent="0.25">
      <c r="A1" s="109"/>
      <c r="D1" s="112"/>
      <c r="E1" s="112"/>
      <c r="F1" s="112"/>
      <c r="G1" s="112"/>
      <c r="H1" s="112"/>
      <c r="I1" s="112"/>
      <c r="J1" s="112"/>
      <c r="K1" s="112"/>
      <c r="L1" s="112"/>
      <c r="M1" s="112"/>
      <c r="N1" s="112"/>
      <c r="O1" s="112"/>
      <c r="P1" s="112"/>
      <c r="Q1" s="112"/>
      <c r="R1" s="112"/>
      <c r="S1" s="112"/>
      <c r="T1" s="112"/>
      <c r="U1" s="112"/>
      <c r="V1" s="112"/>
      <c r="W1" s="112"/>
    </row>
    <row r="2" spans="1:27" ht="12.75" customHeight="1" x14ac:dyDescent="0.25">
      <c r="A2" s="113">
        <v>1</v>
      </c>
      <c r="B2" s="114" t="s">
        <v>89</v>
      </c>
      <c r="C2" s="113">
        <f>[3]GDP!C2+1</f>
        <v>2</v>
      </c>
      <c r="D2" s="3544" t="s">
        <v>90</v>
      </c>
      <c r="E2" s="3545"/>
      <c r="F2" s="3545"/>
      <c r="G2" s="3545"/>
      <c r="H2" s="3545"/>
      <c r="I2" s="3545"/>
      <c r="J2" s="3545"/>
      <c r="K2" s="3545"/>
      <c r="L2" s="3545"/>
      <c r="M2" s="3545"/>
      <c r="N2" s="3545"/>
      <c r="O2" s="3545"/>
      <c r="P2" s="3545"/>
      <c r="Q2" s="3545"/>
      <c r="R2" s="3545"/>
      <c r="S2" s="3545"/>
      <c r="T2" s="3545"/>
      <c r="U2" s="3545"/>
      <c r="V2" s="3545"/>
      <c r="W2" s="3545"/>
      <c r="X2" s="3545"/>
      <c r="Y2" s="3545"/>
      <c r="Z2" s="3545"/>
      <c r="AA2" s="3546"/>
    </row>
    <row r="3" spans="1:27" ht="12.75" customHeight="1" x14ac:dyDescent="0.25">
      <c r="A3" s="113">
        <v>2</v>
      </c>
      <c r="B3" s="114" t="s">
        <v>91</v>
      </c>
      <c r="C3" s="113"/>
      <c r="D3" s="3547" t="s">
        <v>27</v>
      </c>
      <c r="E3" s="3548"/>
      <c r="F3" s="3548"/>
      <c r="G3" s="3548"/>
      <c r="H3" s="3548"/>
      <c r="I3" s="3548"/>
      <c r="J3" s="3548"/>
      <c r="K3" s="3548"/>
      <c r="L3" s="3548"/>
      <c r="M3" s="3548"/>
      <c r="N3" s="3548"/>
      <c r="O3" s="3548"/>
      <c r="P3" s="3548"/>
      <c r="Q3" s="3548"/>
      <c r="R3" s="3548"/>
      <c r="S3" s="3548"/>
      <c r="T3" s="3548"/>
      <c r="U3" s="3548"/>
      <c r="V3" s="3548"/>
      <c r="W3" s="3548"/>
      <c r="X3" s="3548"/>
      <c r="Y3" s="3548"/>
      <c r="Z3" s="3548"/>
      <c r="AA3" s="3549"/>
    </row>
    <row r="4" spans="1:27" ht="12.75" customHeight="1" x14ac:dyDescent="0.25">
      <c r="A4" s="113">
        <v>3</v>
      </c>
      <c r="B4" s="114" t="s">
        <v>28</v>
      </c>
      <c r="C4" s="113"/>
      <c r="D4" s="3547" t="s">
        <v>92</v>
      </c>
      <c r="E4" s="3548"/>
      <c r="F4" s="3548"/>
      <c r="G4" s="3548"/>
      <c r="H4" s="3548"/>
      <c r="I4" s="3548"/>
      <c r="J4" s="3548"/>
      <c r="K4" s="3548"/>
      <c r="L4" s="3548"/>
      <c r="M4" s="3548"/>
      <c r="N4" s="3548"/>
      <c r="O4" s="3548"/>
      <c r="P4" s="3548"/>
      <c r="Q4" s="3548"/>
      <c r="R4" s="3548"/>
      <c r="S4" s="3548"/>
      <c r="T4" s="3548"/>
      <c r="U4" s="3548"/>
      <c r="V4" s="3548"/>
      <c r="W4" s="3548"/>
      <c r="X4" s="3548"/>
      <c r="Y4" s="3548"/>
      <c r="Z4" s="3548"/>
      <c r="AA4" s="3549"/>
    </row>
    <row r="5" spans="1:27" x14ac:dyDescent="0.25">
      <c r="C5" s="115"/>
      <c r="D5" s="116"/>
      <c r="E5" s="116"/>
      <c r="F5" s="112"/>
      <c r="G5" s="112"/>
      <c r="H5" s="112"/>
      <c r="I5" s="112"/>
      <c r="J5" s="112"/>
      <c r="K5" s="112"/>
      <c r="L5" s="112"/>
      <c r="M5" s="112"/>
      <c r="N5" s="112"/>
      <c r="O5" s="112"/>
      <c r="P5" s="112"/>
      <c r="Q5" s="112"/>
      <c r="R5" s="117"/>
      <c r="S5" s="117"/>
      <c r="T5" s="112"/>
      <c r="U5" s="112"/>
      <c r="V5" s="112"/>
      <c r="W5" s="112"/>
    </row>
    <row r="6" spans="1:27" x14ac:dyDescent="0.25">
      <c r="A6" s="113">
        <v>4</v>
      </c>
      <c r="B6" s="118" t="s">
        <v>1</v>
      </c>
      <c r="D6" s="119" t="s">
        <v>93</v>
      </c>
      <c r="E6" s="119"/>
      <c r="F6" s="120" t="s">
        <v>94</v>
      </c>
      <c r="G6" s="120"/>
      <c r="H6" s="120"/>
      <c r="I6" s="120"/>
      <c r="J6" s="120"/>
      <c r="K6" s="120"/>
      <c r="L6" s="120"/>
      <c r="M6" s="120"/>
      <c r="N6" s="121"/>
      <c r="O6" s="121"/>
      <c r="P6" s="121"/>
      <c r="Q6" s="121"/>
      <c r="R6" s="121"/>
      <c r="S6" s="122"/>
      <c r="T6" s="112"/>
      <c r="U6" s="112"/>
      <c r="V6" s="112"/>
      <c r="W6" s="112"/>
    </row>
    <row r="7" spans="1:27" x14ac:dyDescent="0.25">
      <c r="D7" s="3159"/>
      <c r="E7" s="123"/>
      <c r="F7" s="124" t="s">
        <v>33</v>
      </c>
      <c r="G7" s="124" t="s">
        <v>34</v>
      </c>
      <c r="H7" s="124" t="s">
        <v>35</v>
      </c>
      <c r="I7" s="124" t="s">
        <v>36</v>
      </c>
      <c r="J7" s="124" t="s">
        <v>37</v>
      </c>
      <c r="K7" s="124" t="s">
        <v>38</v>
      </c>
      <c r="L7" s="124" t="s">
        <v>39</v>
      </c>
      <c r="M7" s="124" t="s">
        <v>40</v>
      </c>
      <c r="N7" s="124" t="s">
        <v>41</v>
      </c>
      <c r="O7" s="124" t="s">
        <v>42</v>
      </c>
      <c r="P7" s="124" t="s">
        <v>43</v>
      </c>
      <c r="Q7" s="124" t="s">
        <v>44</v>
      </c>
      <c r="R7" s="124" t="s">
        <v>45</v>
      </c>
      <c r="S7" s="124" t="s">
        <v>46</v>
      </c>
      <c r="T7" s="124" t="s">
        <v>47</v>
      </c>
      <c r="U7" s="124" t="s">
        <v>48</v>
      </c>
      <c r="V7" s="124" t="s">
        <v>49</v>
      </c>
      <c r="W7" s="124" t="s">
        <v>50</v>
      </c>
      <c r="X7" s="124" t="s">
        <v>51</v>
      </c>
      <c r="Y7" s="124" t="s">
        <v>52</v>
      </c>
      <c r="Z7" s="125">
        <v>2014</v>
      </c>
      <c r="AA7" s="125">
        <v>2015</v>
      </c>
    </row>
    <row r="8" spans="1:27" s="77" customFormat="1" ht="23.25" customHeight="1" x14ac:dyDescent="0.25">
      <c r="A8" s="126"/>
      <c r="B8" s="127"/>
      <c r="C8" s="128"/>
      <c r="D8" s="2983" t="s">
        <v>95</v>
      </c>
      <c r="E8" s="130" t="s">
        <v>54</v>
      </c>
      <c r="F8" s="91">
        <v>1.092341810975328</v>
      </c>
      <c r="G8" s="91">
        <v>0.97551868188288093</v>
      </c>
      <c r="H8" s="91">
        <v>2.1401992280490889</v>
      </c>
      <c r="I8" s="91">
        <v>0.51365600887018914</v>
      </c>
      <c r="J8" s="91">
        <v>-1.5758667266996818</v>
      </c>
      <c r="K8" s="91">
        <v>0.24245196706313976</v>
      </c>
      <c r="L8" s="131">
        <v>2.0741112581572629</v>
      </c>
      <c r="M8" s="131">
        <v>0.76003129540627157</v>
      </c>
      <c r="N8" s="131">
        <v>1.603993344425958</v>
      </c>
      <c r="O8" s="131">
        <v>1.0677322153805902</v>
      </c>
      <c r="P8" s="131">
        <v>2.847451768315068</v>
      </c>
      <c r="Q8" s="131">
        <v>3.6340720512551217</v>
      </c>
      <c r="R8" s="131">
        <v>4.0458092632005727</v>
      </c>
      <c r="S8" s="131">
        <v>3.9021254212853851</v>
      </c>
      <c r="T8" s="131">
        <v>1.8524768440394412</v>
      </c>
      <c r="U8" s="131">
        <v>-2.7318581790066632</v>
      </c>
      <c r="V8" s="131">
        <v>1.8641886521064466</v>
      </c>
      <c r="W8" s="131">
        <v>2.0567415417200863</v>
      </c>
      <c r="X8" s="1500">
        <v>1</v>
      </c>
      <c r="Y8" s="1500">
        <v>1.1000000000000001</v>
      </c>
      <c r="Z8" s="1500">
        <v>0.3</v>
      </c>
      <c r="AA8" s="1500">
        <v>-0.1</v>
      </c>
    </row>
    <row r="9" spans="1:27" s="77" customFormat="1" ht="13.5" customHeight="1" x14ac:dyDescent="0.2">
      <c r="A9" s="126"/>
      <c r="B9" s="127"/>
      <c r="C9" s="128"/>
      <c r="D9" s="132"/>
      <c r="E9" s="132"/>
      <c r="F9" s="133"/>
      <c r="G9" s="133"/>
      <c r="H9" s="133"/>
      <c r="I9" s="133"/>
      <c r="J9" s="133"/>
      <c r="K9" s="133"/>
      <c r="L9" s="133"/>
      <c r="M9" s="133"/>
      <c r="N9" s="133"/>
      <c r="O9" s="133"/>
      <c r="P9" s="133"/>
      <c r="Q9" s="133"/>
      <c r="R9" s="133"/>
      <c r="S9" s="133"/>
      <c r="T9" s="117"/>
      <c r="U9" s="117"/>
      <c r="V9" s="117"/>
      <c r="W9" s="117"/>
      <c r="Z9" s="134"/>
    </row>
    <row r="10" spans="1:27" x14ac:dyDescent="0.25">
      <c r="A10" s="113">
        <v>5</v>
      </c>
      <c r="B10" s="114" t="s">
        <v>77</v>
      </c>
      <c r="D10" s="112"/>
      <c r="E10" s="112"/>
      <c r="F10" s="117"/>
      <c r="G10" s="117"/>
      <c r="H10" s="117"/>
      <c r="I10" s="117"/>
      <c r="J10" s="117"/>
      <c r="K10" s="117"/>
      <c r="L10" s="117"/>
      <c r="M10" s="117"/>
      <c r="N10" s="117"/>
      <c r="O10" s="117"/>
      <c r="P10" s="117"/>
      <c r="Q10" s="133"/>
      <c r="R10" s="133"/>
      <c r="S10" s="133"/>
      <c r="T10" s="112"/>
      <c r="U10" s="112"/>
      <c r="V10" s="112"/>
      <c r="W10" s="112"/>
      <c r="AA10" s="96"/>
    </row>
    <row r="11" spans="1:27" x14ac:dyDescent="0.25">
      <c r="C11" s="113"/>
      <c r="D11" s="112"/>
      <c r="E11" s="112"/>
      <c r="F11" s="117"/>
      <c r="G11" s="117"/>
      <c r="H11" s="117"/>
      <c r="I11" s="117"/>
      <c r="J11" s="117"/>
      <c r="K11" s="117"/>
      <c r="L11" s="117"/>
      <c r="M11" s="117"/>
      <c r="N11" s="117"/>
      <c r="O11" s="117"/>
      <c r="P11" s="117"/>
      <c r="Q11" s="133"/>
      <c r="R11" s="133"/>
      <c r="S11" s="133"/>
      <c r="T11" s="112"/>
      <c r="U11" s="112"/>
      <c r="V11" s="112"/>
      <c r="W11" s="112"/>
      <c r="AA11" s="96"/>
    </row>
    <row r="12" spans="1:27" x14ac:dyDescent="0.25">
      <c r="D12" s="112"/>
      <c r="E12" s="112"/>
      <c r="F12" s="117"/>
      <c r="G12" s="117"/>
      <c r="H12" s="117"/>
      <c r="I12" s="117"/>
      <c r="J12" s="117"/>
      <c r="K12" s="117"/>
      <c r="L12" s="117"/>
      <c r="M12" s="117"/>
      <c r="N12" s="117"/>
      <c r="O12" s="117"/>
      <c r="P12" s="117"/>
      <c r="Q12" s="117"/>
      <c r="R12" s="117"/>
      <c r="S12" s="117"/>
      <c r="T12" s="112"/>
      <c r="U12" s="112"/>
      <c r="V12" s="112"/>
      <c r="W12" s="112"/>
      <c r="AA12" s="96"/>
    </row>
    <row r="13" spans="1:27" x14ac:dyDescent="0.25">
      <c r="D13" s="112"/>
      <c r="E13" s="112"/>
      <c r="F13" s="117"/>
      <c r="G13" s="117"/>
      <c r="H13" s="117"/>
      <c r="I13" s="117"/>
      <c r="J13" s="117"/>
      <c r="K13" s="117"/>
      <c r="L13" s="117"/>
      <c r="M13" s="117"/>
      <c r="N13" s="135"/>
      <c r="O13" s="117"/>
      <c r="P13" s="117"/>
      <c r="Q13" s="117"/>
      <c r="R13" s="117"/>
      <c r="S13" s="117"/>
      <c r="T13" s="112"/>
      <c r="U13" s="112"/>
      <c r="V13" s="112"/>
      <c r="W13" s="112"/>
      <c r="AA13" s="96"/>
    </row>
    <row r="14" spans="1:27" x14ac:dyDescent="0.25">
      <c r="D14" s="112"/>
      <c r="E14" s="112"/>
      <c r="F14" s="117"/>
      <c r="G14" s="117"/>
      <c r="H14" s="117"/>
      <c r="I14" s="117"/>
      <c r="J14" s="117"/>
      <c r="K14" s="117"/>
      <c r="L14" s="117"/>
      <c r="M14" s="117"/>
      <c r="N14" s="117"/>
      <c r="O14" s="117"/>
      <c r="P14" s="117"/>
      <c r="Q14" s="117"/>
      <c r="R14" s="117"/>
      <c r="S14" s="117"/>
      <c r="T14" s="112"/>
      <c r="U14" s="112"/>
      <c r="V14" s="112"/>
      <c r="W14" s="112"/>
      <c r="AA14" s="96"/>
    </row>
    <row r="15" spans="1:27" x14ac:dyDescent="0.25">
      <c r="D15" s="112"/>
      <c r="E15" s="112"/>
      <c r="F15" s="117"/>
      <c r="G15" s="117"/>
      <c r="H15" s="117"/>
      <c r="I15" s="117"/>
      <c r="J15" s="117"/>
      <c r="K15" s="117"/>
      <c r="L15" s="117"/>
      <c r="M15" s="117"/>
      <c r="N15" s="116"/>
      <c r="O15" s="117"/>
      <c r="P15" s="117"/>
      <c r="Q15" s="117"/>
      <c r="R15" s="117"/>
      <c r="S15" s="117"/>
      <c r="T15" s="112"/>
      <c r="U15" s="112"/>
      <c r="V15" s="112"/>
      <c r="W15" s="112"/>
      <c r="Z15" s="59"/>
      <c r="AA15" s="96"/>
    </row>
    <row r="16" spans="1:27" x14ac:dyDescent="0.25">
      <c r="D16" s="112"/>
      <c r="E16" s="112"/>
      <c r="F16" s="117"/>
      <c r="G16" s="117"/>
      <c r="H16" s="117"/>
      <c r="I16" s="117"/>
      <c r="J16" s="117"/>
      <c r="K16" s="117"/>
      <c r="L16" s="117"/>
      <c r="M16" s="117"/>
      <c r="N16" s="116"/>
      <c r="O16" s="117"/>
      <c r="P16" s="117"/>
      <c r="Q16" s="117"/>
      <c r="R16" s="117"/>
      <c r="S16" s="117"/>
      <c r="T16" s="112"/>
      <c r="U16" s="112"/>
      <c r="V16" s="112"/>
      <c r="W16" s="112"/>
      <c r="Z16" s="59"/>
      <c r="AA16" s="96"/>
    </row>
    <row r="17" spans="1:27" x14ac:dyDescent="0.25">
      <c r="D17" s="112"/>
      <c r="E17" s="112"/>
      <c r="F17" s="117"/>
      <c r="G17" s="117"/>
      <c r="H17" s="117"/>
      <c r="I17" s="117"/>
      <c r="J17" s="117"/>
      <c r="K17" s="117"/>
      <c r="L17" s="117"/>
      <c r="M17" s="117"/>
      <c r="N17" s="112"/>
      <c r="O17" s="112"/>
      <c r="P17" s="112"/>
      <c r="Q17" s="112"/>
      <c r="R17" s="117"/>
      <c r="S17" s="117"/>
      <c r="T17" s="112"/>
      <c r="U17" s="112"/>
      <c r="V17" s="112"/>
      <c r="W17" s="112"/>
      <c r="AA17" s="96"/>
    </row>
    <row r="18" spans="1:27" x14ac:dyDescent="0.25">
      <c r="D18" s="112"/>
      <c r="E18" s="112"/>
      <c r="F18" s="117"/>
      <c r="G18" s="117"/>
      <c r="H18" s="117"/>
      <c r="I18" s="117"/>
      <c r="J18" s="117"/>
      <c r="K18" s="117"/>
      <c r="L18" s="117"/>
      <c r="M18" s="117"/>
      <c r="N18" s="117"/>
      <c r="O18" s="117"/>
      <c r="P18" s="117"/>
      <c r="Q18" s="117"/>
      <c r="R18" s="117"/>
      <c r="S18" s="117"/>
      <c r="T18" s="112"/>
      <c r="U18" s="112"/>
      <c r="V18" s="112"/>
      <c r="W18" s="112"/>
      <c r="AA18" s="96"/>
    </row>
    <row r="19" spans="1:27" x14ac:dyDescent="0.25">
      <c r="D19" s="112"/>
      <c r="E19" s="112"/>
      <c r="F19" s="117"/>
      <c r="G19" s="117"/>
      <c r="H19" s="117"/>
      <c r="I19" s="117"/>
      <c r="J19" s="117"/>
      <c r="K19" s="117"/>
      <c r="L19" s="117"/>
      <c r="M19" s="117"/>
      <c r="N19" s="117"/>
      <c r="O19" s="117"/>
      <c r="P19" s="117"/>
      <c r="Q19" s="117"/>
      <c r="R19" s="117"/>
      <c r="S19" s="117"/>
      <c r="T19" s="112"/>
      <c r="U19" s="112"/>
      <c r="V19" s="112"/>
      <c r="W19" s="112"/>
      <c r="AA19" s="96"/>
    </row>
    <row r="20" spans="1:27" x14ac:dyDescent="0.25">
      <c r="D20" s="112"/>
      <c r="E20" s="112"/>
      <c r="F20" s="117"/>
      <c r="G20" s="117"/>
      <c r="H20" s="117"/>
      <c r="I20" s="117"/>
      <c r="J20" s="117"/>
      <c r="K20" s="117"/>
      <c r="L20" s="117"/>
      <c r="M20" s="117"/>
      <c r="N20" s="117"/>
      <c r="O20" s="117"/>
      <c r="P20" s="117"/>
      <c r="Q20" s="117"/>
      <c r="R20" s="117"/>
      <c r="S20" s="117"/>
      <c r="T20" s="112"/>
      <c r="U20" s="112"/>
      <c r="V20" s="112"/>
      <c r="W20" s="112"/>
      <c r="AA20" s="96"/>
    </row>
    <row r="21" spans="1:27" x14ac:dyDescent="0.25">
      <c r="D21" s="112"/>
      <c r="E21" s="112"/>
      <c r="F21" s="112"/>
      <c r="G21" s="112"/>
      <c r="H21" s="112"/>
      <c r="I21" s="112"/>
      <c r="J21" s="112"/>
      <c r="K21" s="112"/>
      <c r="L21" s="112"/>
      <c r="M21" s="112"/>
      <c r="N21" s="112"/>
      <c r="O21" s="112"/>
      <c r="P21" s="112"/>
      <c r="Q21" s="112"/>
      <c r="R21" s="112"/>
      <c r="S21" s="112"/>
      <c r="T21" s="112"/>
      <c r="U21" s="112"/>
      <c r="V21" s="112"/>
      <c r="W21" s="112"/>
      <c r="AA21" s="96"/>
    </row>
    <row r="22" spans="1:27" x14ac:dyDescent="0.25">
      <c r="D22" s="112"/>
      <c r="E22" s="112"/>
      <c r="F22" s="112"/>
      <c r="G22" s="112"/>
      <c r="H22" s="112"/>
      <c r="I22" s="112"/>
      <c r="J22" s="112"/>
      <c r="K22" s="112"/>
      <c r="L22" s="112"/>
      <c r="M22" s="112"/>
      <c r="N22" s="112"/>
      <c r="O22" s="112"/>
      <c r="P22" s="112"/>
      <c r="Q22" s="112"/>
      <c r="R22" s="112"/>
      <c r="S22" s="112"/>
      <c r="T22" s="112"/>
      <c r="U22" s="112"/>
      <c r="V22" s="112"/>
      <c r="W22" s="112"/>
      <c r="AA22" s="96"/>
    </row>
    <row r="23" spans="1:27" x14ac:dyDescent="0.25">
      <c r="D23" s="112"/>
      <c r="E23" s="112"/>
      <c r="F23" s="112"/>
      <c r="G23" s="112"/>
      <c r="H23" s="112"/>
      <c r="I23" s="112"/>
      <c r="J23" s="112"/>
      <c r="K23" s="112"/>
      <c r="L23" s="112"/>
      <c r="M23" s="112"/>
      <c r="N23" s="112"/>
      <c r="O23" s="112"/>
      <c r="P23" s="112"/>
      <c r="Q23" s="112"/>
      <c r="R23" s="112"/>
      <c r="S23" s="112"/>
      <c r="T23" s="112"/>
      <c r="U23" s="112"/>
      <c r="V23" s="112"/>
      <c r="W23" s="112"/>
      <c r="AA23" s="96"/>
    </row>
    <row r="24" spans="1:27" x14ac:dyDescent="0.25">
      <c r="D24" s="112"/>
      <c r="E24" s="112"/>
      <c r="F24" s="112"/>
      <c r="G24" s="112"/>
      <c r="H24" s="112"/>
      <c r="I24" s="112"/>
      <c r="J24" s="112"/>
      <c r="K24" s="112"/>
      <c r="L24" s="112"/>
      <c r="M24" s="112"/>
      <c r="N24" s="112"/>
      <c r="O24" s="112"/>
      <c r="P24" s="112"/>
      <c r="Q24" s="112"/>
      <c r="R24" s="112"/>
      <c r="S24" s="112"/>
      <c r="T24" s="112"/>
      <c r="U24" s="112"/>
      <c r="V24" s="112"/>
      <c r="W24" s="112"/>
      <c r="AA24" s="96"/>
    </row>
    <row r="25" spans="1:27" x14ac:dyDescent="0.25">
      <c r="D25" s="112"/>
      <c r="E25" s="112"/>
      <c r="F25" s="112"/>
      <c r="G25" s="112"/>
      <c r="H25" s="112"/>
      <c r="I25" s="112"/>
      <c r="J25" s="112"/>
      <c r="K25" s="112"/>
      <c r="L25" s="112"/>
      <c r="M25" s="112"/>
      <c r="N25" s="112"/>
      <c r="O25" s="112"/>
      <c r="P25" s="112"/>
      <c r="Q25" s="112"/>
      <c r="R25" s="112"/>
      <c r="S25" s="112"/>
      <c r="T25" s="112"/>
      <c r="U25" s="112"/>
      <c r="V25" s="112"/>
      <c r="W25" s="112"/>
      <c r="AA25" s="96"/>
    </row>
    <row r="26" spans="1:27" x14ac:dyDescent="0.25">
      <c r="D26" s="112"/>
      <c r="E26" s="112"/>
      <c r="F26" s="112"/>
      <c r="G26" s="112"/>
      <c r="H26" s="112"/>
      <c r="I26" s="112"/>
      <c r="J26" s="112"/>
      <c r="K26" s="112"/>
      <c r="L26" s="112"/>
      <c r="M26" s="112"/>
      <c r="N26" s="112"/>
      <c r="O26" s="112"/>
      <c r="P26" s="112"/>
      <c r="Q26" s="112"/>
      <c r="R26" s="112"/>
      <c r="S26" s="112"/>
      <c r="T26" s="112"/>
      <c r="U26" s="112"/>
      <c r="V26" s="112"/>
      <c r="W26" s="112"/>
      <c r="AA26" s="96"/>
    </row>
    <row r="27" spans="1:27" x14ac:dyDescent="0.25">
      <c r="D27" s="112"/>
      <c r="E27" s="112"/>
      <c r="F27" s="112"/>
      <c r="G27" s="112"/>
      <c r="H27" s="112"/>
      <c r="I27" s="112"/>
      <c r="J27" s="112"/>
      <c r="K27" s="112"/>
      <c r="L27" s="112"/>
      <c r="M27" s="112"/>
      <c r="N27" s="112"/>
      <c r="O27" s="112"/>
      <c r="P27" s="112"/>
      <c r="Q27" s="112"/>
      <c r="R27" s="112"/>
      <c r="S27" s="112"/>
      <c r="T27" s="112"/>
      <c r="U27" s="112"/>
      <c r="V27" s="112"/>
      <c r="W27" s="112"/>
      <c r="AA27" s="96"/>
    </row>
    <row r="28" spans="1:27" x14ac:dyDescent="0.25">
      <c r="D28" s="112"/>
      <c r="E28" s="112"/>
      <c r="F28" s="112"/>
      <c r="G28" s="112"/>
      <c r="H28" s="112"/>
      <c r="I28" s="112"/>
      <c r="J28" s="112"/>
      <c r="K28" s="112"/>
      <c r="L28" s="112"/>
      <c r="M28" s="112"/>
      <c r="N28" s="112"/>
      <c r="O28" s="112"/>
      <c r="P28" s="112"/>
      <c r="Q28" s="112"/>
      <c r="R28" s="112"/>
      <c r="S28" s="112"/>
      <c r="T28" s="112"/>
      <c r="U28" s="112"/>
      <c r="V28" s="112"/>
      <c r="W28" s="112"/>
      <c r="AA28" s="96"/>
    </row>
    <row r="29" spans="1:27" ht="12.75" customHeight="1" x14ac:dyDescent="0.25">
      <c r="A29" s="113">
        <v>6</v>
      </c>
      <c r="B29" s="114" t="s">
        <v>78</v>
      </c>
      <c r="C29" s="113"/>
      <c r="D29" s="3553" t="s">
        <v>96</v>
      </c>
      <c r="E29" s="3554"/>
      <c r="F29" s="3554"/>
      <c r="G29" s="3554"/>
      <c r="H29" s="3554"/>
      <c r="I29" s="3554"/>
      <c r="J29" s="3554"/>
      <c r="K29" s="3554"/>
      <c r="L29" s="3554"/>
      <c r="M29" s="3554"/>
      <c r="N29" s="3554"/>
      <c r="O29" s="3554"/>
      <c r="P29" s="3554"/>
      <c r="Q29" s="3554"/>
      <c r="R29" s="3554"/>
      <c r="S29" s="3554"/>
      <c r="T29" s="3554"/>
      <c r="U29" s="3554"/>
      <c r="V29" s="3554"/>
      <c r="W29" s="3554"/>
      <c r="X29" s="3554"/>
      <c r="Y29" s="3554"/>
      <c r="Z29" s="3554"/>
      <c r="AA29" s="3555"/>
    </row>
    <row r="30" spans="1:27" ht="13.5" customHeight="1" x14ac:dyDescent="0.25">
      <c r="A30" s="136">
        <v>7</v>
      </c>
      <c r="B30" s="137" t="s">
        <v>80</v>
      </c>
      <c r="C30" s="136"/>
      <c r="D30" s="3553" t="s">
        <v>97</v>
      </c>
      <c r="E30" s="3554"/>
      <c r="F30" s="3554"/>
      <c r="G30" s="3554"/>
      <c r="H30" s="3554"/>
      <c r="I30" s="3554"/>
      <c r="J30" s="3554"/>
      <c r="K30" s="3554"/>
      <c r="L30" s="3554"/>
      <c r="M30" s="3554"/>
      <c r="N30" s="3554"/>
      <c r="O30" s="3554"/>
      <c r="P30" s="3554"/>
      <c r="Q30" s="3554"/>
      <c r="R30" s="3554"/>
      <c r="S30" s="3554"/>
      <c r="T30" s="3554"/>
      <c r="U30" s="3554"/>
      <c r="V30" s="3554"/>
      <c r="W30" s="3554"/>
      <c r="X30" s="3554"/>
      <c r="Y30" s="3554"/>
      <c r="Z30" s="3554"/>
      <c r="AA30" s="3555"/>
    </row>
    <row r="31" spans="1:27" ht="12.75" customHeight="1" x14ac:dyDescent="0.25">
      <c r="A31" s="113">
        <v>8</v>
      </c>
      <c r="B31" s="114" t="s">
        <v>20</v>
      </c>
      <c r="C31" s="113"/>
      <c r="D31" s="3553" t="s">
        <v>98</v>
      </c>
      <c r="E31" s="3554"/>
      <c r="F31" s="3554"/>
      <c r="G31" s="3554"/>
      <c r="H31" s="3554"/>
      <c r="I31" s="3554"/>
      <c r="J31" s="3554"/>
      <c r="K31" s="3554"/>
      <c r="L31" s="3554"/>
      <c r="M31" s="3554"/>
      <c r="N31" s="3554"/>
      <c r="O31" s="3554"/>
      <c r="P31" s="3554"/>
      <c r="Q31" s="3554"/>
      <c r="R31" s="3554"/>
      <c r="S31" s="3554"/>
      <c r="T31" s="3554"/>
      <c r="U31" s="3554"/>
      <c r="V31" s="3554"/>
      <c r="W31" s="3554"/>
      <c r="X31" s="3554"/>
      <c r="Y31" s="3554"/>
      <c r="Z31" s="3554"/>
      <c r="AA31" s="3555"/>
    </row>
    <row r="32" spans="1:27" hidden="1" x14ac:dyDescent="0.25">
      <c r="A32" s="113">
        <v>10</v>
      </c>
      <c r="B32" s="114" t="s">
        <v>22</v>
      </c>
      <c r="D32" s="3550" t="s">
        <v>99</v>
      </c>
      <c r="E32" s="3551"/>
      <c r="F32" s="3551"/>
      <c r="G32" s="3551"/>
      <c r="H32" s="3551"/>
      <c r="I32" s="3551"/>
      <c r="J32" s="3551"/>
      <c r="K32" s="3551"/>
      <c r="L32" s="3551"/>
      <c r="M32" s="3551"/>
      <c r="N32" s="3551"/>
      <c r="O32" s="3551"/>
      <c r="P32" s="3551"/>
      <c r="Q32" s="3551"/>
      <c r="R32" s="3551"/>
      <c r="S32" s="3551"/>
      <c r="T32" s="3552"/>
      <c r="U32" s="138"/>
      <c r="V32" s="138"/>
      <c r="W32" s="138"/>
    </row>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4:23" hidden="1" x14ac:dyDescent="0.25"/>
    <row r="50" spans="4:23" hidden="1" x14ac:dyDescent="0.25"/>
    <row r="51" spans="4:23" hidden="1" x14ac:dyDescent="0.25"/>
    <row r="52" spans="4:23" hidden="1" x14ac:dyDescent="0.25"/>
    <row r="53" spans="4:23" hidden="1" x14ac:dyDescent="0.25"/>
    <row r="54" spans="4:23" hidden="1" x14ac:dyDescent="0.25"/>
    <row r="55" spans="4:23" hidden="1" x14ac:dyDescent="0.25"/>
    <row r="56" spans="4:23" hidden="1" x14ac:dyDescent="0.25"/>
    <row r="57" spans="4:23" hidden="1" x14ac:dyDescent="0.25"/>
    <row r="58" spans="4:23" hidden="1" x14ac:dyDescent="0.25"/>
    <row r="59" spans="4:23" hidden="1" x14ac:dyDescent="0.25"/>
    <row r="60" spans="4:23" hidden="1" x14ac:dyDescent="0.25"/>
    <row r="63" spans="4:23" x14ac:dyDescent="0.25">
      <c r="D63" s="51">
        <v>1.092341810975328</v>
      </c>
      <c r="E63" s="51">
        <v>0.97551868188288093</v>
      </c>
      <c r="F63" s="51">
        <v>2.1401992280490889</v>
      </c>
      <c r="G63" s="51">
        <v>0.51365600887018914</v>
      </c>
      <c r="H63" s="51">
        <v>-1.5758667266996818</v>
      </c>
      <c r="I63" s="51">
        <v>0.24245196706313976</v>
      </c>
      <c r="J63" s="51">
        <v>2.0741112581572629</v>
      </c>
      <c r="K63" s="51">
        <v>0.76003129540627157</v>
      </c>
      <c r="L63" s="51">
        <v>1.603993344425958</v>
      </c>
      <c r="M63" s="51">
        <v>1.0677322153805902</v>
      </c>
      <c r="N63" s="51">
        <v>2.847451768315068</v>
      </c>
      <c r="O63" s="51">
        <v>3.6340720512551217</v>
      </c>
      <c r="P63" s="51">
        <v>4.0458092632005727</v>
      </c>
      <c r="Q63" s="51">
        <v>3.9021254212853851</v>
      </c>
      <c r="R63" s="51">
        <v>1.8524768440394412</v>
      </c>
      <c r="S63" s="51">
        <v>-2.7318581790066632</v>
      </c>
      <c r="T63" s="51">
        <v>1.8641886521064466</v>
      </c>
      <c r="U63" s="51">
        <v>2.0567415417200863</v>
      </c>
      <c r="V63" s="51">
        <v>1.0704533042053432</v>
      </c>
      <c r="W63" s="51">
        <v>0.94744046975756557</v>
      </c>
    </row>
    <row r="65" spans="7:10" x14ac:dyDescent="0.25">
      <c r="G65" s="2758"/>
      <c r="I65" s="139"/>
      <c r="J65" s="96"/>
    </row>
    <row r="66" spans="7:10" x14ac:dyDescent="0.25">
      <c r="G66" s="2758"/>
      <c r="I66" s="139"/>
      <c r="J66" s="96"/>
    </row>
    <row r="67" spans="7:10" x14ac:dyDescent="0.25">
      <c r="G67" s="2758"/>
      <c r="I67" s="139"/>
      <c r="J67" s="96"/>
    </row>
    <row r="68" spans="7:10" x14ac:dyDescent="0.25">
      <c r="G68" s="2758"/>
      <c r="I68" s="139"/>
      <c r="J68" s="96"/>
    </row>
    <row r="69" spans="7:10" x14ac:dyDescent="0.25">
      <c r="G69" s="2758"/>
      <c r="I69" s="139"/>
      <c r="J69" s="96"/>
    </row>
    <row r="70" spans="7:10" x14ac:dyDescent="0.25">
      <c r="G70" s="2758"/>
      <c r="I70" s="139"/>
      <c r="J70" s="96"/>
    </row>
    <row r="71" spans="7:10" x14ac:dyDescent="0.25">
      <c r="G71" s="2758"/>
      <c r="I71" s="139"/>
      <c r="J71" s="96"/>
    </row>
    <row r="72" spans="7:10" x14ac:dyDescent="0.25">
      <c r="G72" s="2758"/>
      <c r="I72" s="139"/>
      <c r="J72" s="96"/>
    </row>
    <row r="73" spans="7:10" x14ac:dyDescent="0.25">
      <c r="G73" s="2758"/>
      <c r="I73" s="139"/>
      <c r="J73" s="96"/>
    </row>
    <row r="74" spans="7:10" x14ac:dyDescent="0.25">
      <c r="G74" s="2758"/>
      <c r="I74" s="139"/>
      <c r="J74" s="96"/>
    </row>
    <row r="75" spans="7:10" x14ac:dyDescent="0.25">
      <c r="G75" s="2758"/>
      <c r="I75" s="139"/>
      <c r="J75" s="96"/>
    </row>
    <row r="76" spans="7:10" x14ac:dyDescent="0.25">
      <c r="G76" s="2758"/>
      <c r="I76" s="139"/>
      <c r="J76" s="96"/>
    </row>
    <row r="77" spans="7:10" x14ac:dyDescent="0.25">
      <c r="G77" s="2758"/>
      <c r="I77" s="139"/>
      <c r="J77" s="96"/>
    </row>
    <row r="78" spans="7:10" x14ac:dyDescent="0.25">
      <c r="G78" s="2758"/>
      <c r="I78" s="139"/>
      <c r="J78" s="96"/>
    </row>
    <row r="79" spans="7:10" x14ac:dyDescent="0.25">
      <c r="G79" s="2758"/>
      <c r="I79" s="139"/>
      <c r="J79" s="96"/>
    </row>
    <row r="80" spans="7:10" x14ac:dyDescent="0.25">
      <c r="G80" s="2758"/>
      <c r="I80" s="139"/>
      <c r="J80" s="96"/>
    </row>
    <row r="81" spans="7:10" x14ac:dyDescent="0.25">
      <c r="G81" s="2758"/>
      <c r="I81" s="139"/>
      <c r="J81" s="96"/>
    </row>
    <row r="82" spans="7:10" x14ac:dyDescent="0.25">
      <c r="G82" s="2758"/>
      <c r="I82" s="139"/>
      <c r="J82" s="96"/>
    </row>
    <row r="83" spans="7:10" x14ac:dyDescent="0.25">
      <c r="G83" s="2758"/>
      <c r="I83" s="139"/>
      <c r="J83" s="96"/>
    </row>
    <row r="84" spans="7:10" x14ac:dyDescent="0.25">
      <c r="G84" s="2758"/>
      <c r="I84" s="139"/>
      <c r="J84" s="96"/>
    </row>
    <row r="85" spans="7:10" x14ac:dyDescent="0.25">
      <c r="G85" s="2758"/>
      <c r="I85" s="139"/>
      <c r="J85" s="96"/>
    </row>
    <row r="86" spans="7:10" x14ac:dyDescent="0.25">
      <c r="I86" s="139"/>
      <c r="J86" s="96"/>
    </row>
  </sheetData>
  <mergeCells count="7">
    <mergeCell ref="D2:AA2"/>
    <mergeCell ref="D3:AA3"/>
    <mergeCell ref="D4:AA4"/>
    <mergeCell ref="D32:T32"/>
    <mergeCell ref="D29:AA29"/>
    <mergeCell ref="D30:AA30"/>
    <mergeCell ref="D31:AA31"/>
  </mergeCells>
  <pageMargins left="0.74803149606299213" right="0.74803149606299213" top="0.98425196850393704" bottom="0.98425196850393704" header="0.51181102362204722" footer="0.51181102362204722"/>
  <pageSetup paperSize="9" scale="5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L58"/>
  <sheetViews>
    <sheetView showGridLines="0" view="pageBreakPreview" zoomScaleNormal="100" zoomScaleSheetLayoutView="100" workbookViewId="0">
      <selection activeCell="D22" sqref="D22"/>
    </sheetView>
  </sheetViews>
  <sheetFormatPr defaultColWidth="9.140625" defaultRowHeight="15" x14ac:dyDescent="0.2"/>
  <cols>
    <col min="1" max="1" width="3.7109375" style="2126" customWidth="1"/>
    <col min="2" max="2" width="14.42578125" style="866" customWidth="1"/>
    <col min="3" max="3" width="3.7109375" style="866" customWidth="1"/>
    <col min="4" max="4" width="21" style="865" customWidth="1"/>
    <col min="5" max="7" width="8.7109375" style="865" customWidth="1"/>
    <col min="8" max="8" width="10.140625" style="865" bestFit="1" customWidth="1"/>
    <col min="9" max="9" width="8.7109375" style="865" customWidth="1"/>
    <col min="10" max="17" width="11.28515625" style="865" bestFit="1" customWidth="1"/>
    <col min="18" max="21" width="8.7109375" style="865" customWidth="1"/>
    <col min="22" max="28" width="10" style="865" customWidth="1"/>
    <col min="29" max="31" width="9.140625" style="865"/>
    <col min="32" max="32" width="10.140625" style="865" bestFit="1" customWidth="1"/>
    <col min="33" max="43" width="9.140625" style="865"/>
    <col min="44" max="44" width="10.140625" style="865" bestFit="1" customWidth="1"/>
    <col min="45" max="49" width="9.140625" style="865"/>
    <col min="50" max="50" width="10.140625" style="865" bestFit="1" customWidth="1"/>
    <col min="51" max="55" width="9.140625" style="865"/>
    <col min="56" max="56" width="10.140625" style="865" bestFit="1" customWidth="1"/>
    <col min="57" max="61" width="9.140625" style="865"/>
    <col min="62" max="62" width="10.140625" style="865" bestFit="1" customWidth="1"/>
    <col min="63" max="64" width="9.140625" style="865"/>
    <col min="65" max="189" width="9.140625" style="959"/>
    <col min="190" max="16384" width="9.140625" style="865"/>
  </cols>
  <sheetData>
    <row r="1" spans="1:190" x14ac:dyDescent="0.25">
      <c r="B1" s="886"/>
      <c r="C1" s="886"/>
      <c r="D1" s="885"/>
      <c r="E1" s="885"/>
      <c r="F1" s="885"/>
      <c r="G1" s="885"/>
      <c r="H1" s="885"/>
      <c r="I1" s="885"/>
      <c r="J1" s="885"/>
      <c r="K1" s="885"/>
      <c r="L1" s="885"/>
      <c r="M1" s="885"/>
      <c r="N1" s="885"/>
      <c r="O1" s="885"/>
      <c r="P1" s="885"/>
      <c r="Q1" s="884"/>
      <c r="R1" s="2331"/>
      <c r="S1" s="885"/>
    </row>
    <row r="2" spans="1:190" ht="15" customHeight="1" x14ac:dyDescent="0.2">
      <c r="A2" s="637">
        <v>1</v>
      </c>
      <c r="B2" s="453" t="s">
        <v>24</v>
      </c>
      <c r="C2" s="453">
        <v>29</v>
      </c>
      <c r="D2" s="3556" t="s">
        <v>714</v>
      </c>
      <c r="E2" s="3557"/>
      <c r="F2" s="3557"/>
      <c r="G2" s="3557"/>
      <c r="H2" s="3557"/>
      <c r="I2" s="3557"/>
      <c r="J2" s="3557"/>
      <c r="K2" s="3557"/>
      <c r="L2" s="3557"/>
      <c r="M2" s="3557"/>
      <c r="N2" s="3557"/>
      <c r="O2" s="3557"/>
      <c r="P2" s="3557"/>
      <c r="Q2" s="3557"/>
      <c r="R2" s="3557"/>
      <c r="S2" s="3557"/>
      <c r="T2" s="3557"/>
      <c r="U2" s="3557"/>
      <c r="V2" s="3557"/>
      <c r="W2" s="3557"/>
      <c r="X2" s="3557"/>
      <c r="Y2" s="3557"/>
      <c r="Z2" s="3557"/>
      <c r="AA2" s="3557"/>
      <c r="AB2" s="3557"/>
      <c r="AC2" s="3557"/>
      <c r="AD2" s="3557"/>
      <c r="AE2" s="3557"/>
      <c r="AF2" s="3557"/>
      <c r="AG2" s="3557"/>
      <c r="AH2" s="3557"/>
      <c r="AI2" s="3557"/>
      <c r="AJ2" s="3557"/>
      <c r="AK2" s="3557"/>
      <c r="AL2" s="3557"/>
      <c r="AM2" s="3557"/>
      <c r="AN2" s="3557"/>
      <c r="AO2" s="3557"/>
      <c r="AP2" s="3557"/>
      <c r="AQ2" s="3557"/>
      <c r="AR2" s="3557"/>
      <c r="AS2" s="3557"/>
      <c r="AT2" s="3557"/>
      <c r="AU2" s="3557"/>
      <c r="AV2" s="3557"/>
      <c r="AW2" s="3557"/>
      <c r="AX2" s="3557"/>
      <c r="AY2" s="3557"/>
      <c r="AZ2" s="3557"/>
      <c r="BA2" s="3557"/>
      <c r="BB2" s="3557"/>
      <c r="BC2" s="3557"/>
      <c r="BD2" s="3557"/>
      <c r="BE2" s="3557"/>
      <c r="BF2" s="3557"/>
      <c r="BG2" s="3557"/>
      <c r="BH2" s="3557"/>
      <c r="BI2" s="3557"/>
      <c r="BJ2" s="3557"/>
      <c r="BK2" s="3557"/>
      <c r="BL2" s="3557"/>
      <c r="BM2" s="3557"/>
      <c r="BN2" s="3557"/>
      <c r="BO2" s="3557"/>
      <c r="BP2" s="3557"/>
      <c r="BQ2" s="3557"/>
      <c r="BR2" s="3557"/>
      <c r="BS2" s="3557"/>
      <c r="BT2" s="3557"/>
      <c r="BU2" s="3557"/>
      <c r="BV2" s="3558"/>
    </row>
    <row r="3" spans="1:190" ht="15" customHeight="1" x14ac:dyDescent="0.2">
      <c r="A3" s="637">
        <v>2</v>
      </c>
      <c r="B3" s="453" t="s">
        <v>26</v>
      </c>
      <c r="C3" s="453"/>
      <c r="D3" s="3553" t="s">
        <v>713</v>
      </c>
      <c r="E3" s="3554"/>
      <c r="F3" s="3554"/>
      <c r="G3" s="3554"/>
      <c r="H3" s="3554"/>
      <c r="I3" s="3554"/>
      <c r="J3" s="3554"/>
      <c r="K3" s="3554"/>
      <c r="L3" s="3554"/>
      <c r="M3" s="3554"/>
      <c r="N3" s="3554"/>
      <c r="O3" s="3554"/>
      <c r="P3" s="3554"/>
      <c r="Q3" s="3554"/>
      <c r="R3" s="3554"/>
      <c r="S3" s="3554"/>
      <c r="T3" s="3554"/>
      <c r="U3" s="3554"/>
      <c r="V3" s="3554"/>
      <c r="W3" s="3554"/>
      <c r="X3" s="3554"/>
      <c r="Y3" s="3554"/>
      <c r="Z3" s="3554"/>
      <c r="AA3" s="3554"/>
      <c r="AB3" s="3554"/>
      <c r="AC3" s="3554"/>
      <c r="AD3" s="3554"/>
      <c r="AE3" s="3554"/>
      <c r="AF3" s="3554"/>
      <c r="AG3" s="3554"/>
      <c r="AH3" s="3554"/>
      <c r="AI3" s="3554"/>
      <c r="AJ3" s="3554"/>
      <c r="AK3" s="3554"/>
      <c r="AL3" s="3554"/>
      <c r="AM3" s="3554"/>
      <c r="AN3" s="3554"/>
      <c r="AO3" s="3554"/>
      <c r="AP3" s="3554"/>
      <c r="AQ3" s="3554"/>
      <c r="AR3" s="3554"/>
      <c r="AS3" s="3554"/>
      <c r="AT3" s="3554"/>
      <c r="AU3" s="3554"/>
      <c r="AV3" s="3554"/>
      <c r="AW3" s="3554"/>
      <c r="AX3" s="3554"/>
      <c r="AY3" s="3554"/>
      <c r="AZ3" s="3554"/>
      <c r="BA3" s="3554"/>
      <c r="BB3" s="3554"/>
      <c r="BC3" s="3554"/>
      <c r="BD3" s="3554"/>
      <c r="BE3" s="3554"/>
      <c r="BF3" s="3554"/>
      <c r="BG3" s="3554"/>
      <c r="BH3" s="3554"/>
      <c r="BI3" s="3554"/>
      <c r="BJ3" s="3554"/>
      <c r="BK3" s="3554"/>
      <c r="BL3" s="3554"/>
      <c r="BM3" s="3554"/>
      <c r="BN3" s="3554"/>
      <c r="BO3" s="3554"/>
      <c r="BP3" s="3554"/>
      <c r="BQ3" s="3554"/>
      <c r="BR3" s="3554"/>
      <c r="BS3" s="3554"/>
      <c r="BT3" s="3554"/>
      <c r="BU3" s="3554"/>
      <c r="BV3" s="3555"/>
    </row>
    <row r="4" spans="1:190" ht="15" customHeight="1" x14ac:dyDescent="0.2">
      <c r="A4" s="637">
        <v>3</v>
      </c>
      <c r="B4" s="453" t="s">
        <v>28</v>
      </c>
      <c r="C4" s="453"/>
      <c r="D4" s="3729" t="s">
        <v>712</v>
      </c>
      <c r="E4" s="3730"/>
      <c r="F4" s="3730"/>
      <c r="G4" s="3730"/>
      <c r="H4" s="3730"/>
      <c r="I4" s="3730"/>
      <c r="J4" s="3730"/>
      <c r="K4" s="3730"/>
      <c r="L4" s="3730"/>
      <c r="M4" s="3730"/>
      <c r="N4" s="3730"/>
      <c r="O4" s="3730"/>
      <c r="P4" s="3730"/>
      <c r="Q4" s="3730"/>
      <c r="R4" s="3730"/>
      <c r="S4" s="3730"/>
      <c r="T4" s="3730"/>
      <c r="U4" s="3730"/>
      <c r="V4" s="3730"/>
      <c r="W4" s="3730"/>
      <c r="X4" s="3730"/>
      <c r="Y4" s="3730"/>
      <c r="Z4" s="3730"/>
      <c r="AA4" s="3730"/>
      <c r="AB4" s="3730"/>
      <c r="AC4" s="3730"/>
      <c r="AD4" s="3730"/>
      <c r="AE4" s="3730"/>
      <c r="AF4" s="3730"/>
      <c r="AG4" s="3730"/>
      <c r="AH4" s="3730"/>
      <c r="AI4" s="3730"/>
      <c r="AJ4" s="3730"/>
      <c r="AK4" s="3730"/>
      <c r="AL4" s="3730"/>
      <c r="AM4" s="3730"/>
      <c r="AN4" s="3730"/>
      <c r="AO4" s="3730"/>
      <c r="AP4" s="3730"/>
      <c r="AQ4" s="3730"/>
      <c r="AR4" s="3730"/>
      <c r="AS4" s="3730"/>
      <c r="AT4" s="3730"/>
      <c r="AU4" s="3730"/>
      <c r="AV4" s="3730"/>
      <c r="AW4" s="3730"/>
      <c r="AX4" s="3730"/>
      <c r="AY4" s="3730"/>
      <c r="AZ4" s="3730"/>
      <c r="BA4" s="3730"/>
      <c r="BB4" s="3730"/>
      <c r="BC4" s="3730"/>
      <c r="BD4" s="3730"/>
      <c r="BE4" s="3730"/>
      <c r="BF4" s="3730"/>
      <c r="BG4" s="3730"/>
      <c r="BH4" s="3730"/>
      <c r="BI4" s="3730"/>
      <c r="BJ4" s="3730"/>
      <c r="BK4" s="3730"/>
      <c r="BL4" s="3730"/>
      <c r="BM4" s="3730"/>
      <c r="BN4" s="3730"/>
      <c r="BO4" s="3730"/>
      <c r="BP4" s="3730"/>
      <c r="BQ4" s="3730"/>
      <c r="BR4" s="3730"/>
      <c r="BS4" s="3730"/>
      <c r="BT4" s="3730"/>
      <c r="BU4" s="3730"/>
      <c r="BV4" s="3734"/>
    </row>
    <row r="5" spans="1:190" ht="15" customHeight="1" x14ac:dyDescent="0.2">
      <c r="A5" s="637"/>
      <c r="B5" s="453"/>
      <c r="C5" s="453"/>
      <c r="D5" s="3553" t="s">
        <v>711</v>
      </c>
      <c r="E5" s="3554"/>
      <c r="F5" s="3554"/>
      <c r="G5" s="3554"/>
      <c r="H5" s="3554"/>
      <c r="I5" s="3554"/>
      <c r="J5" s="3554"/>
      <c r="K5" s="3554"/>
      <c r="L5" s="3554"/>
      <c r="M5" s="3554"/>
      <c r="N5" s="3554"/>
      <c r="O5" s="3554"/>
      <c r="P5" s="3554"/>
      <c r="Q5" s="3554"/>
      <c r="R5" s="3554"/>
      <c r="S5" s="3554"/>
      <c r="T5" s="3554"/>
      <c r="U5" s="3554"/>
      <c r="V5" s="3554"/>
      <c r="W5" s="3554"/>
      <c r="X5" s="3554"/>
      <c r="Y5" s="3554"/>
      <c r="Z5" s="3554"/>
      <c r="AA5" s="3554"/>
      <c r="AB5" s="3554"/>
      <c r="AC5" s="3554"/>
      <c r="AD5" s="3554"/>
      <c r="AE5" s="3554"/>
      <c r="AF5" s="3554"/>
      <c r="AG5" s="3554"/>
      <c r="AH5" s="3554"/>
      <c r="AI5" s="3554"/>
      <c r="AJ5" s="3554"/>
      <c r="AK5" s="3554"/>
      <c r="AL5" s="3554"/>
      <c r="AM5" s="3554"/>
      <c r="AN5" s="3554"/>
      <c r="AO5" s="3554"/>
      <c r="AP5" s="3554"/>
      <c r="AQ5" s="3554"/>
      <c r="AR5" s="3554"/>
      <c r="AS5" s="3554"/>
      <c r="AT5" s="3554"/>
      <c r="AU5" s="3554"/>
      <c r="AV5" s="3554"/>
      <c r="AW5" s="3554"/>
      <c r="AX5" s="3554"/>
      <c r="AY5" s="3554"/>
      <c r="AZ5" s="3554"/>
      <c r="BA5" s="3554"/>
      <c r="BB5" s="3554"/>
      <c r="BC5" s="3554"/>
      <c r="BD5" s="3554"/>
      <c r="BE5" s="3554"/>
      <c r="BF5" s="3554"/>
      <c r="BG5" s="3554"/>
      <c r="BH5" s="3554"/>
      <c r="BI5" s="3554"/>
      <c r="BJ5" s="3554"/>
      <c r="BK5" s="3554"/>
      <c r="BL5" s="3554"/>
      <c r="BM5" s="3554"/>
      <c r="BN5" s="3554"/>
      <c r="BO5" s="3554"/>
      <c r="BP5" s="3554"/>
      <c r="BQ5" s="3554"/>
      <c r="BR5" s="3554"/>
      <c r="BS5" s="3554"/>
      <c r="BT5" s="3554"/>
      <c r="BU5" s="3554"/>
      <c r="BV5" s="3555"/>
    </row>
    <row r="6" spans="1:190" ht="14.25" x14ac:dyDescent="0.2">
      <c r="A6" s="637">
        <v>4</v>
      </c>
      <c r="B6" s="650" t="s">
        <v>1</v>
      </c>
      <c r="C6" s="650"/>
      <c r="D6" s="3769"/>
      <c r="E6" s="3770"/>
      <c r="F6" s="3770"/>
      <c r="G6" s="3770"/>
      <c r="H6" s="3770"/>
      <c r="I6" s="3770"/>
      <c r="J6" s="3770"/>
      <c r="K6" s="3770"/>
      <c r="L6" s="3770"/>
      <c r="M6" s="3770"/>
      <c r="N6" s="3770"/>
      <c r="O6" s="3770"/>
      <c r="P6" s="3770"/>
      <c r="Q6" s="883"/>
      <c r="R6" s="959"/>
      <c r="S6" s="959"/>
    </row>
    <row r="7" spans="1:190" s="77" customFormat="1" x14ac:dyDescent="0.2">
      <c r="A7" s="2358"/>
      <c r="B7" s="1170"/>
      <c r="C7" s="1170"/>
      <c r="D7" s="3291" t="s">
        <v>710</v>
      </c>
      <c r="E7" s="119" t="s">
        <v>709</v>
      </c>
      <c r="F7" s="119"/>
      <c r="G7" s="119"/>
      <c r="H7" s="119"/>
      <c r="I7" s="119"/>
      <c r="J7" s="119"/>
      <c r="K7" s="119"/>
      <c r="L7" s="119"/>
      <c r="M7" s="882"/>
      <c r="Z7" s="58"/>
      <c r="AA7" s="58"/>
      <c r="AB7" s="58"/>
      <c r="AC7" s="58"/>
      <c r="AD7" s="58"/>
      <c r="AE7" s="58"/>
      <c r="AF7" s="58"/>
      <c r="AG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row>
    <row r="8" spans="1:190" s="77" customFormat="1" x14ac:dyDescent="0.2">
      <c r="A8" s="2358"/>
      <c r="B8" s="1170"/>
      <c r="C8" s="1170"/>
      <c r="D8" s="3211"/>
      <c r="E8" s="369"/>
      <c r="F8" s="369">
        <v>2002</v>
      </c>
      <c r="G8" s="369">
        <v>2003</v>
      </c>
      <c r="H8" s="369">
        <v>2004</v>
      </c>
      <c r="I8" s="369">
        <v>2005</v>
      </c>
      <c r="J8" s="369">
        <v>2006</v>
      </c>
      <c r="K8" s="2359">
        <v>2007</v>
      </c>
      <c r="L8" s="2360">
        <v>2008</v>
      </c>
      <c r="M8" s="2360">
        <v>2009</v>
      </c>
      <c r="N8" s="2360">
        <v>2010</v>
      </c>
      <c r="O8" s="2360">
        <v>2011</v>
      </c>
      <c r="P8" s="2360">
        <v>2012</v>
      </c>
      <c r="Q8" s="2360">
        <v>2013</v>
      </c>
      <c r="R8" s="2360">
        <v>2014</v>
      </c>
      <c r="S8" s="2360">
        <v>2015</v>
      </c>
      <c r="T8" s="133"/>
      <c r="U8" s="58"/>
      <c r="V8" s="58"/>
      <c r="W8" s="58"/>
      <c r="X8" s="58"/>
      <c r="Y8" s="58"/>
      <c r="Z8" s="58"/>
      <c r="AA8" s="58"/>
      <c r="AB8" s="58"/>
      <c r="AC8" s="58"/>
      <c r="AD8" s="58"/>
      <c r="AE8" s="58"/>
      <c r="AF8" s="58"/>
      <c r="AG8" s="58"/>
      <c r="AH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row>
    <row r="9" spans="1:190" s="77" customFormat="1" ht="12" customHeight="1" x14ac:dyDescent="0.2">
      <c r="A9" s="2358"/>
      <c r="B9" s="1173"/>
      <c r="C9" s="2315"/>
      <c r="D9" s="3771" t="s">
        <v>705</v>
      </c>
      <c r="E9" s="3772"/>
      <c r="F9" s="888">
        <v>10814219</v>
      </c>
      <c r="G9" s="888">
        <v>11113079</v>
      </c>
      <c r="H9" s="888">
        <v>11425278</v>
      </c>
      <c r="I9" s="888">
        <v>11753563</v>
      </c>
      <c r="J9" s="888">
        <v>12106894</v>
      </c>
      <c r="K9" s="888">
        <v>12485206</v>
      </c>
      <c r="L9" s="888">
        <v>12885628</v>
      </c>
      <c r="M9" s="888">
        <v>13302549</v>
      </c>
      <c r="N9" s="888">
        <v>13730737</v>
      </c>
      <c r="O9" s="888">
        <v>14173334</v>
      </c>
      <c r="P9" s="888">
        <v>14631096</v>
      </c>
      <c r="Q9" s="888">
        <v>15106552</v>
      </c>
      <c r="R9" s="888">
        <v>15602251</v>
      </c>
      <c r="S9" s="888">
        <v>16121989</v>
      </c>
      <c r="T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row>
    <row r="10" spans="1:190" s="77" customFormat="1" ht="13.5" customHeight="1" x14ac:dyDescent="0.2">
      <c r="A10" s="2358"/>
      <c r="B10" s="1173"/>
      <c r="C10" s="2315"/>
      <c r="D10" s="3771" t="s">
        <v>704</v>
      </c>
      <c r="E10" s="3772"/>
      <c r="F10" s="888">
        <v>8597873</v>
      </c>
      <c r="G10" s="888">
        <v>7822537</v>
      </c>
      <c r="H10" s="888">
        <v>9512653</v>
      </c>
      <c r="I10" s="888">
        <v>8929901</v>
      </c>
      <c r="J10" s="888">
        <v>10046553</v>
      </c>
      <c r="K10" s="888">
        <v>10602799</v>
      </c>
      <c r="L10" s="888">
        <v>10690262</v>
      </c>
      <c r="M10" s="888">
        <v>11193306</v>
      </c>
      <c r="N10" s="888">
        <v>11569799</v>
      </c>
      <c r="O10" s="888">
        <v>12053558</v>
      </c>
      <c r="P10" s="888">
        <v>12517033</v>
      </c>
      <c r="Q10" s="888">
        <v>12868254</v>
      </c>
      <c r="R10" s="888">
        <v>13387750</v>
      </c>
      <c r="S10" s="888">
        <v>13669134</v>
      </c>
      <c r="T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row>
    <row r="11" spans="1:190" s="77" customFormat="1" ht="14.25" customHeight="1" x14ac:dyDescent="0.2">
      <c r="A11" s="2358"/>
      <c r="B11" s="1173"/>
      <c r="C11" s="2315"/>
      <c r="D11" s="3775"/>
      <c r="E11" s="3772"/>
      <c r="F11" s="2361">
        <v>0.79559999999999997</v>
      </c>
      <c r="G11" s="2361">
        <v>0.70430000000000004</v>
      </c>
      <c r="H11" s="2361">
        <v>0.83340000000000003</v>
      </c>
      <c r="I11" s="2361">
        <v>0.76080000000000003</v>
      </c>
      <c r="J11" s="2361">
        <v>0.83120000000000005</v>
      </c>
      <c r="K11" s="2361">
        <v>0.85440000000000005</v>
      </c>
      <c r="L11" s="2361">
        <v>0.83320000000000005</v>
      </c>
      <c r="M11" s="2361">
        <v>0.84140000000000004</v>
      </c>
      <c r="N11" s="2361">
        <v>0.84260000000000002</v>
      </c>
      <c r="O11" s="2361">
        <v>0.85050000000000003</v>
      </c>
      <c r="P11" s="2361">
        <v>0.85619999999999996</v>
      </c>
      <c r="Q11" s="2361">
        <v>0.8518</v>
      </c>
      <c r="R11" s="2361">
        <v>0.86</v>
      </c>
      <c r="S11" s="2361">
        <f>(S10/S9)</f>
        <v>0.84785655169470719</v>
      </c>
      <c r="T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row>
    <row r="12" spans="1:190" s="77" customFormat="1" ht="14.25" customHeight="1" x14ac:dyDescent="0.2">
      <c r="A12" s="2358"/>
      <c r="B12" s="1173"/>
      <c r="C12" s="2315"/>
      <c r="D12" s="3771" t="s">
        <v>703</v>
      </c>
      <c r="E12" s="3772"/>
      <c r="F12" s="2362">
        <v>9613719</v>
      </c>
      <c r="G12" s="2362">
        <v>10008531</v>
      </c>
      <c r="H12" s="2362">
        <v>10399494</v>
      </c>
      <c r="I12" s="2362">
        <v>10786758</v>
      </c>
      <c r="J12" s="2362">
        <v>11177766</v>
      </c>
      <c r="K12" s="2362">
        <v>11530336</v>
      </c>
      <c r="L12" s="2362">
        <v>11847170</v>
      </c>
      <c r="M12" s="2362">
        <v>12322820</v>
      </c>
      <c r="N12" s="2362">
        <v>12692253</v>
      </c>
      <c r="O12" s="2362">
        <v>13190515</v>
      </c>
      <c r="P12" s="2362">
        <v>13657406</v>
      </c>
      <c r="Q12" s="2362">
        <v>14022409</v>
      </c>
      <c r="R12" s="2362">
        <v>14531475</v>
      </c>
      <c r="S12" s="2362">
        <v>14906188</v>
      </c>
      <c r="T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row>
    <row r="13" spans="1:190" s="77" customFormat="1" ht="11.25" x14ac:dyDescent="0.2">
      <c r="A13" s="2358"/>
      <c r="B13" s="1173"/>
      <c r="C13" s="2315"/>
      <c r="D13" s="3775"/>
      <c r="E13" s="3772"/>
      <c r="F13" s="2361">
        <v>0.88959999999999995</v>
      </c>
      <c r="G13" s="2361">
        <v>0.90110000000000001</v>
      </c>
      <c r="H13" s="2361">
        <v>0.91110000000000002</v>
      </c>
      <c r="I13" s="2361">
        <v>0.91900000000000004</v>
      </c>
      <c r="J13" s="2361">
        <v>0.92479999999999996</v>
      </c>
      <c r="K13" s="2361">
        <v>0.92920000000000003</v>
      </c>
      <c r="L13" s="2361">
        <v>0.92330000000000001</v>
      </c>
      <c r="M13" s="2361">
        <v>0.9264</v>
      </c>
      <c r="N13" s="2361">
        <v>0.9244</v>
      </c>
      <c r="O13" s="2361">
        <v>0.93069999999999997</v>
      </c>
      <c r="P13" s="2361">
        <v>0.93420000000000003</v>
      </c>
      <c r="Q13" s="2361">
        <v>0.92820000000000003</v>
      </c>
      <c r="R13" s="2361">
        <v>0.93</v>
      </c>
      <c r="S13" s="2361">
        <f>S12/S9</f>
        <v>0.92458740667792294</v>
      </c>
      <c r="T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row>
    <row r="14" spans="1:190" s="77" customFormat="1" ht="13.5" customHeight="1" x14ac:dyDescent="0.2">
      <c r="A14" s="2358"/>
      <c r="B14" s="1173"/>
      <c r="C14" s="2315"/>
      <c r="D14" s="3771" t="s">
        <v>702</v>
      </c>
      <c r="E14" s="3772"/>
      <c r="F14" s="2362">
        <f t="shared" ref="F14:Q14" si="0">F12-F10</f>
        <v>1015846</v>
      </c>
      <c r="G14" s="2362">
        <f t="shared" si="0"/>
        <v>2185994</v>
      </c>
      <c r="H14" s="2362">
        <f t="shared" si="0"/>
        <v>886841</v>
      </c>
      <c r="I14" s="2362">
        <f t="shared" si="0"/>
        <v>1856857</v>
      </c>
      <c r="J14" s="2362">
        <f t="shared" si="0"/>
        <v>1131213</v>
      </c>
      <c r="K14" s="2362">
        <f t="shared" si="0"/>
        <v>927537</v>
      </c>
      <c r="L14" s="2362">
        <f t="shared" si="0"/>
        <v>1156908</v>
      </c>
      <c r="M14" s="2362">
        <f t="shared" si="0"/>
        <v>1129514</v>
      </c>
      <c r="N14" s="2362">
        <f t="shared" si="0"/>
        <v>1122454</v>
      </c>
      <c r="O14" s="2362">
        <f t="shared" si="0"/>
        <v>1136957</v>
      </c>
      <c r="P14" s="2362">
        <f t="shared" si="0"/>
        <v>1140373</v>
      </c>
      <c r="Q14" s="2362">
        <f t="shared" si="0"/>
        <v>1154155</v>
      </c>
      <c r="R14" s="2362">
        <v>1143725</v>
      </c>
      <c r="S14" s="2362">
        <v>1237054</v>
      </c>
      <c r="T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row>
    <row r="15" spans="1:190" s="77" customFormat="1" ht="13.5" customHeight="1" x14ac:dyDescent="0.2">
      <c r="A15" s="2358"/>
      <c r="B15" s="1173"/>
      <c r="C15" s="2315"/>
      <c r="D15" s="3775"/>
      <c r="E15" s="3772"/>
      <c r="F15" s="2363">
        <f t="shared" ref="F15:Q15" si="1">+F14/F9</f>
        <v>9.3936140927051687E-2</v>
      </c>
      <c r="G15" s="2363">
        <f t="shared" si="1"/>
        <v>0.19670462164446054</v>
      </c>
      <c r="H15" s="2363">
        <f t="shared" si="1"/>
        <v>7.7620955918971946E-2</v>
      </c>
      <c r="I15" s="2363">
        <f t="shared" si="1"/>
        <v>0.15798247731347506</v>
      </c>
      <c r="J15" s="2363">
        <f t="shared" si="1"/>
        <v>9.3435442649452458E-2</v>
      </c>
      <c r="K15" s="2364">
        <f t="shared" si="1"/>
        <v>7.4290884747916855E-2</v>
      </c>
      <c r="L15" s="2364">
        <f t="shared" si="1"/>
        <v>8.9782818501356706E-2</v>
      </c>
      <c r="M15" s="2364">
        <f t="shared" si="1"/>
        <v>8.4909591387334865E-2</v>
      </c>
      <c r="N15" s="2364">
        <f t="shared" si="1"/>
        <v>8.1747542029244322E-2</v>
      </c>
      <c r="O15" s="2364">
        <f t="shared" si="1"/>
        <v>8.0218034796893947E-2</v>
      </c>
      <c r="P15" s="2364">
        <f t="shared" si="1"/>
        <v>7.7941734508474275E-2</v>
      </c>
      <c r="Q15" s="2364">
        <f t="shared" si="1"/>
        <v>7.6400955029314432E-2</v>
      </c>
      <c r="R15" s="2364">
        <v>7.0999999999999994E-2</v>
      </c>
      <c r="S15" s="2364">
        <f>S14/S9</f>
        <v>7.6730854983215774E-2</v>
      </c>
      <c r="T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row>
    <row r="16" spans="1:190" s="77" customFormat="1" ht="11.25" customHeight="1" x14ac:dyDescent="0.2">
      <c r="A16" s="2358"/>
      <c r="B16" s="1173"/>
      <c r="C16" s="2315"/>
      <c r="D16" s="3771" t="s">
        <v>701</v>
      </c>
      <c r="E16" s="3772"/>
      <c r="F16" s="2362">
        <v>1192717.6000000001</v>
      </c>
      <c r="G16" s="2362">
        <v>1098104.3</v>
      </c>
      <c r="H16" s="2362">
        <v>1014265.0499999999</v>
      </c>
      <c r="I16" s="2362">
        <v>950355.03000000014</v>
      </c>
      <c r="J16" s="2362">
        <v>909465.95000000007</v>
      </c>
      <c r="K16" s="2362">
        <v>878840.64999999991</v>
      </c>
      <c r="L16" s="2362">
        <v>983664.55</v>
      </c>
      <c r="M16" s="2362">
        <v>979729.38</v>
      </c>
      <c r="N16" s="2362">
        <v>1038484.61</v>
      </c>
      <c r="O16" s="2362">
        <v>981640.44000000006</v>
      </c>
      <c r="P16" s="2362">
        <v>962314.40999999992</v>
      </c>
      <c r="Q16" s="2362">
        <v>1084143.24</v>
      </c>
      <c r="R16" s="2362">
        <v>1070776</v>
      </c>
      <c r="S16" s="2362">
        <v>1215799.7200000002</v>
      </c>
      <c r="T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row>
    <row r="17" spans="1:194" s="77" customFormat="1" ht="15" customHeight="1" x14ac:dyDescent="0.2">
      <c r="A17" s="2358"/>
      <c r="B17" s="1173"/>
      <c r="C17" s="2315"/>
      <c r="D17" s="3775"/>
      <c r="E17" s="3772"/>
      <c r="F17" s="2363">
        <f t="shared" ref="F17:Q17" si="2">+F16/F9</f>
        <v>0.11029160774347183</v>
      </c>
      <c r="G17" s="2363">
        <f t="shared" si="2"/>
        <v>9.8811886426794948E-2</v>
      </c>
      <c r="H17" s="2363">
        <f t="shared" si="2"/>
        <v>8.8773774257396618E-2</v>
      </c>
      <c r="I17" s="2363">
        <f t="shared" si="2"/>
        <v>8.0856760626543636E-2</v>
      </c>
      <c r="J17" s="2363">
        <f t="shared" si="2"/>
        <v>7.5119675616223291E-2</v>
      </c>
      <c r="K17" s="2363">
        <f t="shared" si="2"/>
        <v>7.039056063632429E-2</v>
      </c>
      <c r="L17" s="2363">
        <f t="shared" si="2"/>
        <v>7.6338114836157003E-2</v>
      </c>
      <c r="M17" s="2363">
        <f t="shared" si="2"/>
        <v>7.3649747879147076E-2</v>
      </c>
      <c r="N17" s="2363">
        <f t="shared" si="2"/>
        <v>7.5632109915148765E-2</v>
      </c>
      <c r="O17" s="2363">
        <f t="shared" si="2"/>
        <v>6.9259670307635454E-2</v>
      </c>
      <c r="P17" s="2363">
        <f t="shared" si="2"/>
        <v>6.5771860836672788E-2</v>
      </c>
      <c r="Q17" s="2363">
        <f t="shared" si="2"/>
        <v>7.1766425588049479E-2</v>
      </c>
      <c r="R17" s="2363">
        <v>6.9000000000000006E-2</v>
      </c>
      <c r="S17" s="2363">
        <f>S16/S9</f>
        <v>7.541251392740686E-2</v>
      </c>
      <c r="T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row>
    <row r="18" spans="1:194" s="77" customFormat="1" ht="11.25" customHeight="1" x14ac:dyDescent="0.2">
      <c r="A18" s="2358"/>
      <c r="B18" s="1173"/>
      <c r="C18" s="2315"/>
      <c r="D18" s="3776" t="s">
        <v>708</v>
      </c>
      <c r="E18" s="3777"/>
      <c r="F18" s="2365">
        <f t="shared" ref="F18:Q18" si="3">+(1-($F$9-$F$10)/$F$9*0.5)*F10</f>
        <v>7716817.1682262029</v>
      </c>
      <c r="G18" s="2365">
        <f t="shared" si="3"/>
        <v>7020932.7144846981</v>
      </c>
      <c r="H18" s="2365">
        <f t="shared" si="3"/>
        <v>8537856.2797773927</v>
      </c>
      <c r="I18" s="2365">
        <f t="shared" si="3"/>
        <v>8014821.0315923877</v>
      </c>
      <c r="J18" s="2365">
        <f t="shared" si="3"/>
        <v>9017045.5730032828</v>
      </c>
      <c r="K18" s="2365">
        <f t="shared" si="3"/>
        <v>9516290.9889982808</v>
      </c>
      <c r="L18" s="2365">
        <f t="shared" si="3"/>
        <v>9594791.3320464473</v>
      </c>
      <c r="M18" s="2365">
        <f t="shared" si="3"/>
        <v>10046286.553663839</v>
      </c>
      <c r="N18" s="2365">
        <f t="shared" si="3"/>
        <v>10384198.924097432</v>
      </c>
      <c r="O18" s="2365">
        <f t="shared" si="3"/>
        <v>10818385.35095951</v>
      </c>
      <c r="P18" s="2365">
        <f t="shared" si="3"/>
        <v>11234366.354289478</v>
      </c>
      <c r="Q18" s="2365">
        <f t="shared" si="3"/>
        <v>11549596.439991089</v>
      </c>
      <c r="R18" s="2365">
        <v>12015858</v>
      </c>
      <c r="S18" s="2365">
        <f>+(1-($F$9-$F$10)/$F$9*0.5)*S10</f>
        <v>12268407.305619018</v>
      </c>
      <c r="T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row>
    <row r="19" spans="1:194" x14ac:dyDescent="0.2">
      <c r="B19" s="867"/>
      <c r="C19" s="867"/>
      <c r="D19" s="877"/>
      <c r="E19" s="877"/>
      <c r="F19" s="2366"/>
      <c r="G19" s="877"/>
      <c r="H19" s="877"/>
      <c r="I19" s="877"/>
      <c r="J19" s="2367"/>
      <c r="K19" s="2367"/>
      <c r="L19" s="2367"/>
      <c r="M19" s="2367"/>
      <c r="N19" s="2367"/>
      <c r="O19" s="2367"/>
      <c r="P19" s="2367"/>
      <c r="Q19" s="2367"/>
      <c r="R19" s="887"/>
      <c r="S19" s="887"/>
      <c r="T19" s="959"/>
      <c r="U19" s="959"/>
      <c r="V19" s="959"/>
      <c r="W19" s="959"/>
      <c r="X19" s="959"/>
      <c r="Y19" s="959"/>
      <c r="Z19" s="959"/>
      <c r="AA19" s="959"/>
      <c r="AB19" s="959"/>
      <c r="AC19" s="959"/>
      <c r="AD19" s="959"/>
      <c r="AE19" s="959"/>
      <c r="AF19" s="959"/>
      <c r="AG19" s="959"/>
    </row>
    <row r="20" spans="1:194" x14ac:dyDescent="0.2">
      <c r="B20" s="867"/>
      <c r="C20" s="867"/>
      <c r="D20" s="119" t="s">
        <v>585</v>
      </c>
      <c r="E20" s="119" t="s">
        <v>707</v>
      </c>
      <c r="F20" s="119"/>
      <c r="G20" s="119"/>
      <c r="H20" s="119"/>
      <c r="I20" s="877"/>
      <c r="J20" s="877"/>
      <c r="K20" s="2367"/>
      <c r="L20" s="2367"/>
      <c r="M20" s="2367"/>
      <c r="N20" s="2367"/>
      <c r="O20" s="2367"/>
      <c r="P20" s="2367"/>
      <c r="Q20" s="2367"/>
      <c r="R20" s="887"/>
      <c r="S20" s="887"/>
      <c r="T20" s="959"/>
      <c r="U20" s="959"/>
      <c r="V20" s="959"/>
      <c r="W20" s="959"/>
      <c r="X20" s="959"/>
      <c r="Y20" s="959"/>
      <c r="Z20" s="959"/>
      <c r="AA20" s="959"/>
      <c r="AB20" s="959"/>
      <c r="AC20" s="959"/>
      <c r="AD20" s="959"/>
      <c r="AE20" s="959"/>
      <c r="AF20" s="959"/>
      <c r="AG20" s="959"/>
    </row>
    <row r="21" spans="1:194" s="961" customFormat="1" x14ac:dyDescent="0.25">
      <c r="A21" s="2169"/>
      <c r="B21" s="867"/>
      <c r="C21" s="881"/>
      <c r="D21" s="3288"/>
      <c r="E21" s="3773" t="s">
        <v>41</v>
      </c>
      <c r="F21" s="3773"/>
      <c r="G21" s="3773"/>
      <c r="H21" s="3773"/>
      <c r="I21" s="3774"/>
      <c r="J21" s="3773" t="s">
        <v>42</v>
      </c>
      <c r="K21" s="3773"/>
      <c r="L21" s="3773"/>
      <c r="M21" s="3773"/>
      <c r="N21" s="3774"/>
      <c r="O21" s="3773" t="s">
        <v>43</v>
      </c>
      <c r="P21" s="3773"/>
      <c r="Q21" s="3773"/>
      <c r="R21" s="3773"/>
      <c r="S21" s="3774"/>
      <c r="T21" s="3773" t="s">
        <v>44</v>
      </c>
      <c r="U21" s="3773"/>
      <c r="V21" s="3773"/>
      <c r="W21" s="3773"/>
      <c r="X21" s="3774"/>
      <c r="Y21" s="3773" t="s">
        <v>45</v>
      </c>
      <c r="Z21" s="3773"/>
      <c r="AA21" s="3773"/>
      <c r="AB21" s="3773"/>
      <c r="AC21" s="3774"/>
      <c r="AD21" s="3773" t="s">
        <v>46</v>
      </c>
      <c r="AE21" s="3773"/>
      <c r="AF21" s="3773"/>
      <c r="AG21" s="3773"/>
      <c r="AH21" s="3774"/>
      <c r="AI21" s="3773" t="s">
        <v>47</v>
      </c>
      <c r="AJ21" s="3773"/>
      <c r="AK21" s="3773"/>
      <c r="AL21" s="3773"/>
      <c r="AM21" s="3774"/>
      <c r="AN21" s="3773" t="s">
        <v>48</v>
      </c>
      <c r="AO21" s="3773"/>
      <c r="AP21" s="3773"/>
      <c r="AQ21" s="3773"/>
      <c r="AR21" s="3774"/>
      <c r="AS21" s="3773" t="s">
        <v>49</v>
      </c>
      <c r="AT21" s="3773"/>
      <c r="AU21" s="3773"/>
      <c r="AV21" s="3773"/>
      <c r="AW21" s="3774"/>
      <c r="AX21" s="3773" t="s">
        <v>50</v>
      </c>
      <c r="AY21" s="3773"/>
      <c r="AZ21" s="3773"/>
      <c r="BA21" s="3773"/>
      <c r="BB21" s="3774"/>
      <c r="BC21" s="3773" t="s">
        <v>51</v>
      </c>
      <c r="BD21" s="3773"/>
      <c r="BE21" s="3773"/>
      <c r="BF21" s="3773"/>
      <c r="BG21" s="3774"/>
      <c r="BH21" s="3773" t="s">
        <v>52</v>
      </c>
      <c r="BI21" s="3773"/>
      <c r="BJ21" s="3773"/>
      <c r="BK21" s="3773"/>
      <c r="BL21" s="3774"/>
      <c r="BM21" s="3773" t="s">
        <v>105</v>
      </c>
      <c r="BN21" s="3773"/>
      <c r="BO21" s="3773"/>
      <c r="BP21" s="3773"/>
      <c r="BQ21" s="3774"/>
      <c r="BR21" s="3773" t="s">
        <v>106</v>
      </c>
      <c r="BS21" s="3773"/>
      <c r="BT21" s="3773"/>
      <c r="BU21" s="3773"/>
      <c r="BV21" s="3774"/>
      <c r="BW21" s="959"/>
      <c r="BX21" s="959"/>
      <c r="BY21" s="959"/>
      <c r="BZ21" s="959"/>
      <c r="CA21" s="959"/>
      <c r="CB21" s="959"/>
      <c r="CC21" s="959"/>
      <c r="CD21" s="959"/>
      <c r="CE21" s="959"/>
      <c r="CF21" s="959"/>
      <c r="CG21" s="959"/>
      <c r="CH21" s="959"/>
      <c r="CI21" s="959"/>
      <c r="CJ21" s="959"/>
      <c r="CK21" s="959"/>
      <c r="CL21" s="959"/>
      <c r="CM21" s="959"/>
      <c r="CN21" s="959"/>
      <c r="CO21" s="959"/>
      <c r="CP21" s="959"/>
      <c r="CQ21" s="959"/>
      <c r="CR21" s="959"/>
      <c r="CS21" s="959"/>
      <c r="CT21" s="959"/>
      <c r="CU21" s="959"/>
      <c r="CV21" s="959"/>
      <c r="CW21" s="959"/>
      <c r="CX21" s="959"/>
      <c r="CY21" s="959"/>
      <c r="CZ21" s="959"/>
      <c r="DA21" s="959"/>
      <c r="DB21" s="959"/>
      <c r="DC21" s="959"/>
      <c r="DD21" s="959"/>
      <c r="DE21" s="959"/>
      <c r="DF21" s="959"/>
      <c r="DG21" s="959"/>
      <c r="DH21" s="959"/>
      <c r="DI21" s="959"/>
      <c r="DJ21" s="959"/>
      <c r="DK21" s="959"/>
      <c r="DL21" s="959"/>
      <c r="DM21" s="959"/>
      <c r="DN21" s="959"/>
      <c r="DO21" s="959"/>
      <c r="DP21" s="959"/>
      <c r="DQ21" s="959"/>
      <c r="DR21" s="959"/>
      <c r="DS21" s="959"/>
      <c r="DT21" s="959"/>
      <c r="DU21" s="959"/>
      <c r="DV21" s="959"/>
      <c r="DW21" s="959"/>
      <c r="DX21" s="959"/>
      <c r="DY21" s="959"/>
      <c r="DZ21" s="959"/>
      <c r="EA21" s="959"/>
      <c r="EB21" s="959"/>
      <c r="EC21" s="959"/>
      <c r="ED21" s="959"/>
      <c r="EE21" s="959"/>
      <c r="EF21" s="959"/>
      <c r="EG21" s="959"/>
      <c r="EH21" s="959"/>
      <c r="EI21" s="959"/>
      <c r="EJ21" s="959"/>
      <c r="EK21" s="959"/>
      <c r="EL21" s="959"/>
      <c r="EM21" s="959"/>
      <c r="EN21" s="959"/>
      <c r="EO21" s="959"/>
      <c r="EP21" s="959"/>
      <c r="EQ21" s="959"/>
      <c r="ER21" s="959"/>
      <c r="ES21" s="959"/>
      <c r="ET21" s="959"/>
      <c r="EU21" s="959"/>
      <c r="EV21" s="959"/>
      <c r="EW21" s="959"/>
      <c r="EX21" s="959"/>
      <c r="EY21" s="959"/>
      <c r="EZ21" s="959"/>
      <c r="FA21" s="959"/>
      <c r="FB21" s="959"/>
      <c r="FC21" s="959"/>
      <c r="FD21" s="959"/>
      <c r="FE21" s="959"/>
      <c r="FF21" s="959"/>
      <c r="FG21" s="959"/>
      <c r="FH21" s="959"/>
      <c r="FI21" s="959"/>
      <c r="FJ21" s="959"/>
      <c r="FK21" s="959"/>
      <c r="FL21" s="959"/>
      <c r="FM21" s="959"/>
      <c r="FN21" s="959"/>
      <c r="FO21" s="959"/>
      <c r="FP21" s="959"/>
      <c r="FQ21" s="959"/>
      <c r="FR21" s="959"/>
      <c r="FS21" s="959"/>
      <c r="FT21" s="959"/>
      <c r="FU21" s="959"/>
      <c r="FV21" s="959"/>
      <c r="FW21" s="959"/>
      <c r="FX21" s="959"/>
      <c r="FY21" s="959"/>
      <c r="FZ21" s="959"/>
      <c r="GA21" s="959"/>
      <c r="GB21" s="959"/>
      <c r="GC21" s="959"/>
      <c r="GD21" s="959"/>
      <c r="GE21" s="959"/>
      <c r="GF21" s="959"/>
      <c r="GG21" s="959"/>
      <c r="GH21" s="959"/>
      <c r="GI21" s="959"/>
      <c r="GJ21" s="959"/>
      <c r="GK21" s="959"/>
      <c r="GL21" s="959"/>
    </row>
    <row r="22" spans="1:194" s="959" customFormat="1" ht="89.25" customHeight="1" x14ac:dyDescent="0.2">
      <c r="A22" s="2169"/>
      <c r="B22" s="867"/>
      <c r="C22" s="867"/>
      <c r="D22" s="3166" t="s">
        <v>583</v>
      </c>
      <c r="E22" s="879" t="s">
        <v>705</v>
      </c>
      <c r="F22" s="879" t="s">
        <v>704</v>
      </c>
      <c r="G22" s="879" t="s">
        <v>706</v>
      </c>
      <c r="H22" s="879" t="s">
        <v>702</v>
      </c>
      <c r="I22" s="878" t="s">
        <v>701</v>
      </c>
      <c r="J22" s="880" t="s">
        <v>705</v>
      </c>
      <c r="K22" s="879" t="s">
        <v>704</v>
      </c>
      <c r="L22" s="879" t="s">
        <v>706</v>
      </c>
      <c r="M22" s="879" t="s">
        <v>702</v>
      </c>
      <c r="N22" s="878" t="s">
        <v>701</v>
      </c>
      <c r="O22" s="880" t="s">
        <v>705</v>
      </c>
      <c r="P22" s="879" t="s">
        <v>704</v>
      </c>
      <c r="Q22" s="879" t="s">
        <v>706</v>
      </c>
      <c r="R22" s="879" t="s">
        <v>702</v>
      </c>
      <c r="S22" s="878" t="s">
        <v>701</v>
      </c>
      <c r="T22" s="880" t="s">
        <v>705</v>
      </c>
      <c r="U22" s="879" t="s">
        <v>704</v>
      </c>
      <c r="V22" s="879" t="s">
        <v>706</v>
      </c>
      <c r="W22" s="879" t="s">
        <v>702</v>
      </c>
      <c r="X22" s="878" t="s">
        <v>701</v>
      </c>
      <c r="Y22" s="880" t="s">
        <v>705</v>
      </c>
      <c r="Z22" s="879" t="s">
        <v>704</v>
      </c>
      <c r="AA22" s="879" t="s">
        <v>706</v>
      </c>
      <c r="AB22" s="879" t="s">
        <v>702</v>
      </c>
      <c r="AC22" s="878" t="s">
        <v>701</v>
      </c>
      <c r="AD22" s="880" t="s">
        <v>705</v>
      </c>
      <c r="AE22" s="879" t="s">
        <v>704</v>
      </c>
      <c r="AF22" s="879" t="s">
        <v>706</v>
      </c>
      <c r="AG22" s="879" t="s">
        <v>702</v>
      </c>
      <c r="AH22" s="878" t="s">
        <v>701</v>
      </c>
      <c r="AI22" s="880" t="s">
        <v>705</v>
      </c>
      <c r="AJ22" s="879" t="s">
        <v>704</v>
      </c>
      <c r="AK22" s="879" t="s">
        <v>706</v>
      </c>
      <c r="AL22" s="879" t="s">
        <v>702</v>
      </c>
      <c r="AM22" s="878" t="s">
        <v>701</v>
      </c>
      <c r="AN22" s="880" t="s">
        <v>705</v>
      </c>
      <c r="AO22" s="879" t="s">
        <v>704</v>
      </c>
      <c r="AP22" s="879" t="s">
        <v>703</v>
      </c>
      <c r="AQ22" s="879" t="s">
        <v>702</v>
      </c>
      <c r="AR22" s="878" t="s">
        <v>701</v>
      </c>
      <c r="AS22" s="880" t="s">
        <v>705</v>
      </c>
      <c r="AT22" s="879" t="s">
        <v>704</v>
      </c>
      <c r="AU22" s="879" t="s">
        <v>703</v>
      </c>
      <c r="AV22" s="879" t="s">
        <v>702</v>
      </c>
      <c r="AW22" s="878" t="s">
        <v>701</v>
      </c>
      <c r="AX22" s="880" t="s">
        <v>705</v>
      </c>
      <c r="AY22" s="879" t="s">
        <v>704</v>
      </c>
      <c r="AZ22" s="879" t="s">
        <v>703</v>
      </c>
      <c r="BA22" s="879" t="s">
        <v>702</v>
      </c>
      <c r="BB22" s="878" t="s">
        <v>701</v>
      </c>
      <c r="BC22" s="880" t="s">
        <v>705</v>
      </c>
      <c r="BD22" s="879" t="s">
        <v>704</v>
      </c>
      <c r="BE22" s="879" t="s">
        <v>703</v>
      </c>
      <c r="BF22" s="879" t="s">
        <v>702</v>
      </c>
      <c r="BG22" s="878" t="s">
        <v>701</v>
      </c>
      <c r="BH22" s="880" t="s">
        <v>705</v>
      </c>
      <c r="BI22" s="879" t="s">
        <v>704</v>
      </c>
      <c r="BJ22" s="879" t="s">
        <v>703</v>
      </c>
      <c r="BK22" s="879" t="s">
        <v>702</v>
      </c>
      <c r="BL22" s="878" t="s">
        <v>701</v>
      </c>
      <c r="BM22" s="880" t="s">
        <v>705</v>
      </c>
      <c r="BN22" s="879" t="s">
        <v>704</v>
      </c>
      <c r="BO22" s="879" t="s">
        <v>703</v>
      </c>
      <c r="BP22" s="879" t="s">
        <v>702</v>
      </c>
      <c r="BQ22" s="878" t="s">
        <v>701</v>
      </c>
      <c r="BR22" s="880" t="s">
        <v>705</v>
      </c>
      <c r="BS22" s="879" t="s">
        <v>704</v>
      </c>
      <c r="BT22" s="879" t="s">
        <v>703</v>
      </c>
      <c r="BU22" s="879" t="s">
        <v>702</v>
      </c>
      <c r="BV22" s="878" t="s">
        <v>701</v>
      </c>
    </row>
    <row r="23" spans="1:194" s="2372" customFormat="1" x14ac:dyDescent="0.25">
      <c r="A23" s="2368"/>
      <c r="B23" s="877"/>
      <c r="C23" s="2369"/>
      <c r="D23" s="3289" t="s">
        <v>700</v>
      </c>
      <c r="E23" s="2370">
        <v>1197154</v>
      </c>
      <c r="F23" s="2370">
        <v>1168997</v>
      </c>
      <c r="G23" s="2370">
        <v>1187760</v>
      </c>
      <c r="H23" s="876">
        <f t="shared" ref="H23:H32" si="4">G23-F23</f>
        <v>18763</v>
      </c>
      <c r="I23" s="2371">
        <v>10199.1</v>
      </c>
      <c r="J23" s="2370">
        <v>1232899</v>
      </c>
      <c r="K23" s="2370">
        <v>1105139</v>
      </c>
      <c r="L23" s="2370">
        <v>1221391</v>
      </c>
      <c r="M23" s="2370">
        <f t="shared" ref="M23:M32" si="5">L23-K23</f>
        <v>116252</v>
      </c>
      <c r="N23" s="875">
        <v>11507.7</v>
      </c>
      <c r="O23" s="2370">
        <v>1268713</v>
      </c>
      <c r="P23" s="2370">
        <v>1230670</v>
      </c>
      <c r="Q23" s="2370">
        <v>1261912</v>
      </c>
      <c r="R23" s="2370">
        <f t="shared" ref="R23:R32" si="6">Q23-P23</f>
        <v>31242</v>
      </c>
      <c r="S23" s="875">
        <v>6800.86</v>
      </c>
      <c r="T23" s="2370">
        <v>1300668</v>
      </c>
      <c r="U23" s="2370">
        <v>1222799</v>
      </c>
      <c r="V23" s="2370">
        <v>1295323</v>
      </c>
      <c r="W23" s="2370">
        <f t="shared" ref="W23:W32" si="7">V23-U23</f>
        <v>72524</v>
      </c>
      <c r="X23" s="875">
        <v>5666.15</v>
      </c>
      <c r="Y23" s="2370">
        <v>1347217</v>
      </c>
      <c r="Z23" s="2370">
        <v>1303823</v>
      </c>
      <c r="AA23" s="2370">
        <v>1344620</v>
      </c>
      <c r="AB23" s="2370">
        <f t="shared" ref="AB23:AB32" si="8">AA23-Z23</f>
        <v>40797</v>
      </c>
      <c r="AC23" s="875">
        <v>3152.9</v>
      </c>
      <c r="AD23" s="2370">
        <v>1367611</v>
      </c>
      <c r="AE23" s="2370">
        <v>1338741</v>
      </c>
      <c r="AF23" s="2370">
        <v>1363318</v>
      </c>
      <c r="AG23" s="2370">
        <f t="shared" ref="AG23:AG32" si="9">AF23-AE23</f>
        <v>24577</v>
      </c>
      <c r="AH23" s="875">
        <v>4632.12</v>
      </c>
      <c r="AI23" s="2370">
        <v>1427297</v>
      </c>
      <c r="AJ23" s="2370">
        <v>1385632</v>
      </c>
      <c r="AK23" s="2370">
        <v>1419693</v>
      </c>
      <c r="AL23" s="2370">
        <f t="shared" ref="AL23:AL32" si="10">AK23-AJ23</f>
        <v>34061</v>
      </c>
      <c r="AM23" s="875">
        <v>5731.85</v>
      </c>
      <c r="AN23" s="2370">
        <v>1477414</v>
      </c>
      <c r="AO23" s="2370">
        <v>1438202</v>
      </c>
      <c r="AP23" s="2370">
        <v>1473043</v>
      </c>
      <c r="AQ23" s="2370">
        <f t="shared" ref="AQ23:AQ32" si="11">AP23-AO23</f>
        <v>34841</v>
      </c>
      <c r="AR23" s="875">
        <v>4371.8</v>
      </c>
      <c r="AS23" s="2370">
        <v>1494212</v>
      </c>
      <c r="AT23" s="2370">
        <v>1455070</v>
      </c>
      <c r="AU23" s="2370">
        <v>1507344</v>
      </c>
      <c r="AV23" s="2370">
        <f t="shared" ref="AV23:AV32" si="12">AU23-AT23</f>
        <v>52274</v>
      </c>
      <c r="AW23" s="875">
        <v>16271.9</v>
      </c>
      <c r="AX23" s="2370">
        <v>1538286</v>
      </c>
      <c r="AY23" s="2370">
        <v>1535600</v>
      </c>
      <c r="AZ23" s="2370">
        <v>1566436</v>
      </c>
      <c r="BA23" s="2370">
        <f t="shared" ref="BA23:BA32" si="13">AZ23-AY23</f>
        <v>30836</v>
      </c>
      <c r="BB23" s="875">
        <v>4784.24</v>
      </c>
      <c r="BC23" s="2370">
        <v>1582315</v>
      </c>
      <c r="BD23" s="2370">
        <v>1576348</v>
      </c>
      <c r="BE23" s="2370">
        <v>1604574</v>
      </c>
      <c r="BF23" s="2370">
        <f t="shared" ref="BF23:BF32" si="14">BE23-BD23</f>
        <v>28226</v>
      </c>
      <c r="BG23" s="875">
        <v>13654.3</v>
      </c>
      <c r="BH23" s="2370">
        <v>1653081</v>
      </c>
      <c r="BI23" s="2370">
        <v>1614764</v>
      </c>
      <c r="BJ23" s="2370">
        <v>1651193</v>
      </c>
      <c r="BK23" s="2370">
        <f t="shared" ref="BK23:BK31" si="15">BJ23-BI23</f>
        <v>36429</v>
      </c>
      <c r="BL23" s="875">
        <v>17614.900000000001</v>
      </c>
      <c r="BM23" s="2370">
        <v>1720396</v>
      </c>
      <c r="BN23" s="2370">
        <v>1693121</v>
      </c>
      <c r="BO23" s="2370">
        <v>1710698</v>
      </c>
      <c r="BP23" s="2370">
        <f t="shared" ref="BP23:BP31" si="16">BO23-BN23</f>
        <v>17577</v>
      </c>
      <c r="BQ23" s="875">
        <v>9697.94</v>
      </c>
      <c r="BR23" s="2370">
        <v>1774565</v>
      </c>
      <c r="BS23" s="2370">
        <v>1718560</v>
      </c>
      <c r="BT23" s="2370">
        <v>1763479</v>
      </c>
      <c r="BU23" s="2370">
        <f t="shared" ref="BU23:BU31" si="17">BT23-BS23</f>
        <v>44919</v>
      </c>
      <c r="BV23" s="875">
        <v>11085.6</v>
      </c>
    </row>
    <row r="24" spans="1:194" s="2372" customFormat="1" x14ac:dyDescent="0.25">
      <c r="A24" s="2368"/>
      <c r="B24" s="877"/>
      <c r="C24" s="2369"/>
      <c r="D24" s="3289" t="s">
        <v>415</v>
      </c>
      <c r="E24" s="2370">
        <v>1405029</v>
      </c>
      <c r="F24" s="2370">
        <v>698685</v>
      </c>
      <c r="G24" s="2370">
        <v>817632</v>
      </c>
      <c r="H24" s="876">
        <f t="shared" si="4"/>
        <v>118947</v>
      </c>
      <c r="I24" s="2371">
        <v>587527</v>
      </c>
      <c r="J24" s="2370">
        <v>1425281</v>
      </c>
      <c r="K24" s="2370">
        <v>540012</v>
      </c>
      <c r="L24" s="2370">
        <v>868369</v>
      </c>
      <c r="M24" s="2370">
        <f t="shared" si="5"/>
        <v>328357</v>
      </c>
      <c r="N24" s="875">
        <v>557214</v>
      </c>
      <c r="O24" s="2370">
        <v>1443589</v>
      </c>
      <c r="P24" s="2370">
        <v>792889</v>
      </c>
      <c r="Q24" s="2370">
        <v>939680</v>
      </c>
      <c r="R24" s="2370">
        <f t="shared" si="6"/>
        <v>146791</v>
      </c>
      <c r="S24" s="875">
        <v>503646</v>
      </c>
      <c r="T24" s="2370">
        <v>1462829</v>
      </c>
      <c r="U24" s="2370">
        <v>711044</v>
      </c>
      <c r="V24" s="2370">
        <v>1026961</v>
      </c>
      <c r="W24" s="2370">
        <f t="shared" si="7"/>
        <v>315917</v>
      </c>
      <c r="X24" s="875">
        <v>435594</v>
      </c>
      <c r="Y24" s="2370">
        <v>1479502</v>
      </c>
      <c r="Z24" s="2370">
        <v>935948</v>
      </c>
      <c r="AA24" s="2370">
        <v>1054773</v>
      </c>
      <c r="AB24" s="2370">
        <f t="shared" si="8"/>
        <v>118825</v>
      </c>
      <c r="AC24" s="875">
        <v>424522</v>
      </c>
      <c r="AD24" s="2370">
        <v>1491189</v>
      </c>
      <c r="AE24" s="2370">
        <v>1000645</v>
      </c>
      <c r="AF24" s="2370">
        <v>1131504</v>
      </c>
      <c r="AG24" s="2370">
        <f t="shared" si="9"/>
        <v>130859</v>
      </c>
      <c r="AH24" s="875">
        <v>367531</v>
      </c>
      <c r="AI24" s="2370">
        <v>1522164</v>
      </c>
      <c r="AJ24" s="2370">
        <v>920443</v>
      </c>
      <c r="AK24" s="2370">
        <v>1097945</v>
      </c>
      <c r="AL24" s="2370">
        <f t="shared" si="10"/>
        <v>177502</v>
      </c>
      <c r="AM24" s="875">
        <v>425581</v>
      </c>
      <c r="AN24" s="2370">
        <v>1548750</v>
      </c>
      <c r="AO24" s="2370">
        <v>974464</v>
      </c>
      <c r="AP24" s="2370">
        <v>1170229</v>
      </c>
      <c r="AQ24" s="2370">
        <f t="shared" si="11"/>
        <v>195765</v>
      </c>
      <c r="AR24" s="875">
        <v>378520</v>
      </c>
      <c r="AS24" s="2370">
        <v>1533606</v>
      </c>
      <c r="AT24" s="2370">
        <v>1007940</v>
      </c>
      <c r="AU24" s="2370">
        <v>1180730</v>
      </c>
      <c r="AV24" s="2370">
        <f t="shared" si="12"/>
        <v>172790</v>
      </c>
      <c r="AW24" s="875">
        <v>392713</v>
      </c>
      <c r="AX24" s="2370">
        <v>1565752</v>
      </c>
      <c r="AY24" s="2370">
        <v>1060295</v>
      </c>
      <c r="AZ24" s="2370">
        <v>1214697</v>
      </c>
      <c r="BA24" s="2370">
        <f t="shared" si="13"/>
        <v>154402</v>
      </c>
      <c r="BB24" s="875">
        <v>385318</v>
      </c>
      <c r="BC24" s="2370">
        <v>1601774</v>
      </c>
      <c r="BD24" s="2370">
        <v>1153312</v>
      </c>
      <c r="BE24" s="2370">
        <v>1294169</v>
      </c>
      <c r="BF24" s="2370">
        <f t="shared" si="14"/>
        <v>140857</v>
      </c>
      <c r="BG24" s="875">
        <v>336660</v>
      </c>
      <c r="BH24" s="2370">
        <v>1655617</v>
      </c>
      <c r="BI24" s="2370">
        <v>1193105</v>
      </c>
      <c r="BJ24" s="2370">
        <v>1344716</v>
      </c>
      <c r="BK24" s="2370">
        <f t="shared" si="15"/>
        <v>151611</v>
      </c>
      <c r="BL24" s="875">
        <v>317860</v>
      </c>
      <c r="BM24" s="2370">
        <v>1694718</v>
      </c>
      <c r="BN24" s="2370">
        <v>1199716</v>
      </c>
      <c r="BO24" s="2370">
        <v>1342863</v>
      </c>
      <c r="BP24" s="2370">
        <f t="shared" si="16"/>
        <v>143147</v>
      </c>
      <c r="BQ24" s="875">
        <v>351856</v>
      </c>
      <c r="BR24" s="2370">
        <v>1727197</v>
      </c>
      <c r="BS24" s="2370">
        <v>1178224</v>
      </c>
      <c r="BT24" s="2370">
        <v>1306843</v>
      </c>
      <c r="BU24" s="2370">
        <f t="shared" si="17"/>
        <v>128619</v>
      </c>
      <c r="BV24" s="875">
        <v>420354</v>
      </c>
    </row>
    <row r="25" spans="1:194" s="2372" customFormat="1" x14ac:dyDescent="0.25">
      <c r="A25" s="2368"/>
      <c r="B25" s="877"/>
      <c r="C25" s="2369"/>
      <c r="D25" s="3289" t="s">
        <v>699</v>
      </c>
      <c r="E25" s="2370">
        <v>231048</v>
      </c>
      <c r="F25" s="2370">
        <v>215516</v>
      </c>
      <c r="G25" s="2370">
        <v>220621</v>
      </c>
      <c r="H25" s="876">
        <f t="shared" si="4"/>
        <v>5105</v>
      </c>
      <c r="I25" s="2371">
        <v>10426.299999999999</v>
      </c>
      <c r="J25" s="2370">
        <v>236283</v>
      </c>
      <c r="K25" s="2370">
        <v>214421</v>
      </c>
      <c r="L25" s="2370">
        <v>229270</v>
      </c>
      <c r="M25" s="2370">
        <f t="shared" si="5"/>
        <v>14849</v>
      </c>
      <c r="N25" s="875">
        <v>6592.67</v>
      </c>
      <c r="O25" s="2370">
        <v>241876</v>
      </c>
      <c r="P25" s="2370">
        <v>225230</v>
      </c>
      <c r="Q25" s="2370">
        <v>232354</v>
      </c>
      <c r="R25" s="2370">
        <f t="shared" si="6"/>
        <v>7124</v>
      </c>
      <c r="S25" s="875">
        <v>9471.68</v>
      </c>
      <c r="T25" s="2370">
        <v>247671</v>
      </c>
      <c r="U25" s="2370">
        <v>206139</v>
      </c>
      <c r="V25" s="2370">
        <v>241903</v>
      </c>
      <c r="W25" s="2370">
        <f t="shared" si="7"/>
        <v>35764</v>
      </c>
      <c r="X25" s="875">
        <v>5490.77</v>
      </c>
      <c r="Y25" s="2370">
        <v>254104</v>
      </c>
      <c r="Z25" s="2370">
        <v>233094</v>
      </c>
      <c r="AA25" s="2370">
        <v>248418</v>
      </c>
      <c r="AB25" s="2370">
        <f t="shared" si="8"/>
        <v>15324</v>
      </c>
      <c r="AC25" s="875">
        <v>5742.36</v>
      </c>
      <c r="AD25" s="2370">
        <v>260652</v>
      </c>
      <c r="AE25" s="2370">
        <v>240486</v>
      </c>
      <c r="AF25" s="2370">
        <v>254593</v>
      </c>
      <c r="AG25" s="2370">
        <f t="shared" si="9"/>
        <v>14107</v>
      </c>
      <c r="AH25" s="875">
        <v>5392.23</v>
      </c>
      <c r="AI25" s="2370">
        <v>267075</v>
      </c>
      <c r="AJ25" s="2370">
        <v>235426</v>
      </c>
      <c r="AK25" s="2370">
        <v>257079</v>
      </c>
      <c r="AL25" s="2370">
        <f t="shared" si="10"/>
        <v>21653</v>
      </c>
      <c r="AM25" s="875">
        <v>10575.9</v>
      </c>
      <c r="AN25" s="2370">
        <v>275265</v>
      </c>
      <c r="AO25" s="2370">
        <v>266812</v>
      </c>
      <c r="AP25" s="2370">
        <v>270819</v>
      </c>
      <c r="AQ25" s="2370">
        <f t="shared" si="11"/>
        <v>4007</v>
      </c>
      <c r="AR25" s="875">
        <v>4446.08</v>
      </c>
      <c r="AS25" s="2370">
        <v>270765</v>
      </c>
      <c r="AT25" s="2370">
        <v>267748</v>
      </c>
      <c r="AU25" s="2370">
        <v>275984</v>
      </c>
      <c r="AV25" s="2370">
        <f t="shared" si="12"/>
        <v>8236</v>
      </c>
      <c r="AW25" s="875">
        <v>6183.13</v>
      </c>
      <c r="AX25" s="2370">
        <v>281685</v>
      </c>
      <c r="AY25" s="2370">
        <v>269142</v>
      </c>
      <c r="AZ25" s="2370">
        <v>284574</v>
      </c>
      <c r="BA25" s="2370">
        <f t="shared" si="13"/>
        <v>15432</v>
      </c>
      <c r="BB25" s="875">
        <v>4567.3</v>
      </c>
      <c r="BC25" s="2370">
        <v>294557</v>
      </c>
      <c r="BD25" s="2370">
        <v>275608</v>
      </c>
      <c r="BE25" s="2370">
        <v>293118</v>
      </c>
      <c r="BF25" s="2370">
        <f t="shared" si="14"/>
        <v>17510</v>
      </c>
      <c r="BG25" s="875">
        <v>3375.29</v>
      </c>
      <c r="BH25" s="2370">
        <v>303041</v>
      </c>
      <c r="BI25" s="2370">
        <v>283530</v>
      </c>
      <c r="BJ25" s="2370">
        <v>300498</v>
      </c>
      <c r="BK25" s="2370">
        <f t="shared" si="15"/>
        <v>16968</v>
      </c>
      <c r="BL25" s="875">
        <v>3537.14</v>
      </c>
      <c r="BM25" s="2370">
        <v>311818</v>
      </c>
      <c r="BN25" s="2370">
        <v>293299</v>
      </c>
      <c r="BO25" s="2370">
        <v>307619</v>
      </c>
      <c r="BP25" s="2370">
        <f t="shared" si="16"/>
        <v>14320</v>
      </c>
      <c r="BQ25" s="875">
        <v>4199.1499999999996</v>
      </c>
      <c r="BR25" s="2370">
        <v>320025</v>
      </c>
      <c r="BS25" s="2370">
        <v>295637</v>
      </c>
      <c r="BT25" s="2370">
        <v>316998</v>
      </c>
      <c r="BU25" s="2370">
        <f t="shared" si="17"/>
        <v>21361</v>
      </c>
      <c r="BV25" s="875">
        <v>3026.65</v>
      </c>
    </row>
    <row r="26" spans="1:194" s="2372" customFormat="1" x14ac:dyDescent="0.25">
      <c r="A26" s="2368"/>
      <c r="B26" s="877"/>
      <c r="C26" s="2369"/>
      <c r="D26" s="3289" t="s">
        <v>417</v>
      </c>
      <c r="E26" s="2370">
        <v>685638</v>
      </c>
      <c r="F26" s="2370">
        <v>632199</v>
      </c>
      <c r="G26" s="2370">
        <v>673829</v>
      </c>
      <c r="H26" s="876">
        <f t="shared" si="4"/>
        <v>41630</v>
      </c>
      <c r="I26" s="2371">
        <v>11809.2</v>
      </c>
      <c r="J26" s="2370">
        <v>696595</v>
      </c>
      <c r="K26" s="2370">
        <v>593155</v>
      </c>
      <c r="L26" s="2370">
        <v>689959</v>
      </c>
      <c r="M26" s="2370">
        <f t="shared" si="5"/>
        <v>96804</v>
      </c>
      <c r="N26" s="875">
        <v>6932.93</v>
      </c>
      <c r="O26" s="2370">
        <v>710129</v>
      </c>
      <c r="P26" s="2370">
        <v>671385</v>
      </c>
      <c r="Q26" s="2370">
        <v>700423</v>
      </c>
      <c r="R26" s="2370">
        <f t="shared" si="6"/>
        <v>29038</v>
      </c>
      <c r="S26" s="875">
        <v>9345.65</v>
      </c>
      <c r="T26" s="2370">
        <v>723243</v>
      </c>
      <c r="U26" s="2370">
        <v>667260</v>
      </c>
      <c r="V26" s="2370">
        <v>718275</v>
      </c>
      <c r="W26" s="2370">
        <f t="shared" si="7"/>
        <v>51015</v>
      </c>
      <c r="X26" s="875">
        <v>4657.01</v>
      </c>
      <c r="Y26" s="2370">
        <v>734877</v>
      </c>
      <c r="Z26" s="2370">
        <v>706025</v>
      </c>
      <c r="AA26" s="2370">
        <v>730667</v>
      </c>
      <c r="AB26" s="2370">
        <f t="shared" si="8"/>
        <v>24642</v>
      </c>
      <c r="AC26" s="875">
        <v>4669.49</v>
      </c>
      <c r="AD26" s="2370">
        <v>752065</v>
      </c>
      <c r="AE26" s="2370">
        <v>724303</v>
      </c>
      <c r="AF26" s="2370">
        <v>742951</v>
      </c>
      <c r="AG26" s="2370">
        <f t="shared" si="9"/>
        <v>18648</v>
      </c>
      <c r="AH26" s="875">
        <v>10083</v>
      </c>
      <c r="AI26" s="2370">
        <v>768064</v>
      </c>
      <c r="AJ26" s="2370">
        <v>743721</v>
      </c>
      <c r="AK26" s="2370">
        <v>759125</v>
      </c>
      <c r="AL26" s="2370">
        <f t="shared" si="10"/>
        <v>15404</v>
      </c>
      <c r="AM26" s="875">
        <v>10811.3</v>
      </c>
      <c r="AN26" s="2370">
        <v>789788</v>
      </c>
      <c r="AO26" s="2370">
        <v>752192</v>
      </c>
      <c r="AP26" s="2370">
        <v>776054</v>
      </c>
      <c r="AQ26" s="2370">
        <f t="shared" si="11"/>
        <v>23862</v>
      </c>
      <c r="AR26" s="875">
        <v>13734.9</v>
      </c>
      <c r="AS26" s="2370">
        <v>741559</v>
      </c>
      <c r="AT26" s="2370">
        <v>776834</v>
      </c>
      <c r="AU26" s="2370">
        <v>799069</v>
      </c>
      <c r="AV26" s="2370">
        <f t="shared" si="12"/>
        <v>22235</v>
      </c>
      <c r="AW26" s="875">
        <v>7389.48</v>
      </c>
      <c r="AX26" s="2370">
        <v>808285</v>
      </c>
      <c r="AY26" s="2370">
        <v>802648</v>
      </c>
      <c r="AZ26" s="2370">
        <v>817254</v>
      </c>
      <c r="BA26" s="2370">
        <f t="shared" si="13"/>
        <v>14606</v>
      </c>
      <c r="BB26" s="875">
        <v>5883.5</v>
      </c>
      <c r="BC26" s="2370">
        <v>813220</v>
      </c>
      <c r="BD26" s="2370">
        <v>819373</v>
      </c>
      <c r="BE26" s="2370">
        <v>832986</v>
      </c>
      <c r="BF26" s="2370">
        <f t="shared" si="14"/>
        <v>13613</v>
      </c>
      <c r="BG26" s="875">
        <v>9549.32</v>
      </c>
      <c r="BH26" s="2370">
        <v>861418</v>
      </c>
      <c r="BI26" s="2370">
        <v>835719</v>
      </c>
      <c r="BJ26" s="2370">
        <v>851733</v>
      </c>
      <c r="BK26" s="2370">
        <f t="shared" si="15"/>
        <v>16014</v>
      </c>
      <c r="BL26" s="875">
        <v>10876</v>
      </c>
      <c r="BM26" s="2370">
        <v>883494</v>
      </c>
      <c r="BN26" s="2370">
        <v>853394</v>
      </c>
      <c r="BO26" s="2370">
        <v>862714</v>
      </c>
      <c r="BP26" s="2370">
        <f t="shared" si="16"/>
        <v>9320</v>
      </c>
      <c r="BQ26" s="875">
        <v>20780.599999999999</v>
      </c>
      <c r="BR26" s="2370">
        <v>905620</v>
      </c>
      <c r="BS26" s="2370">
        <v>884290</v>
      </c>
      <c r="BT26" s="2370">
        <v>899262</v>
      </c>
      <c r="BU26" s="2370">
        <f t="shared" si="17"/>
        <v>14972</v>
      </c>
      <c r="BV26" s="875">
        <v>6357.27</v>
      </c>
    </row>
    <row r="27" spans="1:194" s="2372" customFormat="1" x14ac:dyDescent="0.25">
      <c r="A27" s="2368"/>
      <c r="B27" s="877"/>
      <c r="C27" s="2369"/>
      <c r="D27" s="3289" t="s">
        <v>418</v>
      </c>
      <c r="E27" s="2370">
        <v>1899868</v>
      </c>
      <c r="F27" s="2370">
        <v>1279791</v>
      </c>
      <c r="G27" s="2370">
        <v>1568419</v>
      </c>
      <c r="H27" s="876">
        <f t="shared" si="4"/>
        <v>288628</v>
      </c>
      <c r="I27" s="2371">
        <v>331449</v>
      </c>
      <c r="J27" s="2370">
        <v>1949344</v>
      </c>
      <c r="K27" s="2370">
        <v>1175978</v>
      </c>
      <c r="L27" s="2370">
        <v>1638250</v>
      </c>
      <c r="M27" s="2370">
        <f t="shared" si="5"/>
        <v>462272</v>
      </c>
      <c r="N27" s="875">
        <v>310123</v>
      </c>
      <c r="O27" s="2370">
        <v>1997047</v>
      </c>
      <c r="P27" s="2370">
        <v>1460744</v>
      </c>
      <c r="Q27" s="2370">
        <v>1723447</v>
      </c>
      <c r="R27" s="2370">
        <f t="shared" si="6"/>
        <v>262703</v>
      </c>
      <c r="S27" s="875">
        <v>273050</v>
      </c>
      <c r="T27" s="2370">
        <v>2047040</v>
      </c>
      <c r="U27" s="2370">
        <v>1365847</v>
      </c>
      <c r="V27" s="2370">
        <v>1782147</v>
      </c>
      <c r="W27" s="2370">
        <f t="shared" si="7"/>
        <v>416300</v>
      </c>
      <c r="X27" s="875">
        <v>264190</v>
      </c>
      <c r="Y27" s="2370">
        <v>2098905</v>
      </c>
      <c r="Z27" s="2370">
        <v>1497715</v>
      </c>
      <c r="AA27" s="2370">
        <v>1834093</v>
      </c>
      <c r="AB27" s="2370">
        <f t="shared" si="8"/>
        <v>336378</v>
      </c>
      <c r="AC27" s="875">
        <v>263711</v>
      </c>
      <c r="AD27" s="2370">
        <v>2142767</v>
      </c>
      <c r="AE27" s="2370">
        <v>1635867</v>
      </c>
      <c r="AF27" s="2370">
        <v>1888756</v>
      </c>
      <c r="AG27" s="2370">
        <f t="shared" si="9"/>
        <v>252889</v>
      </c>
      <c r="AH27" s="875">
        <v>260784</v>
      </c>
      <c r="AI27" s="2370">
        <v>2208589</v>
      </c>
      <c r="AJ27" s="2370">
        <v>1638764</v>
      </c>
      <c r="AK27" s="2370">
        <v>1926785</v>
      </c>
      <c r="AL27" s="2370">
        <f t="shared" si="10"/>
        <v>288021</v>
      </c>
      <c r="AM27" s="875">
        <v>292581</v>
      </c>
      <c r="AN27" s="2370">
        <v>2290073</v>
      </c>
      <c r="AO27" s="2370">
        <v>1691276</v>
      </c>
      <c r="AP27" s="2370">
        <v>1990471</v>
      </c>
      <c r="AQ27" s="2370">
        <f t="shared" si="11"/>
        <v>299195</v>
      </c>
      <c r="AR27" s="875">
        <v>299602</v>
      </c>
      <c r="AS27" s="2370">
        <v>2263623</v>
      </c>
      <c r="AT27" s="2370">
        <v>1756920</v>
      </c>
      <c r="AU27" s="2370">
        <v>2041059</v>
      </c>
      <c r="AV27" s="2370">
        <f t="shared" si="12"/>
        <v>284139</v>
      </c>
      <c r="AW27" s="875">
        <v>316752</v>
      </c>
      <c r="AX27" s="2370">
        <v>2387496</v>
      </c>
      <c r="AY27" s="2370">
        <v>1779421</v>
      </c>
      <c r="AZ27" s="2370">
        <v>2109037</v>
      </c>
      <c r="BA27" s="2370">
        <f t="shared" si="13"/>
        <v>329616</v>
      </c>
      <c r="BB27" s="875">
        <v>318996</v>
      </c>
      <c r="BC27" s="2370">
        <v>2462311</v>
      </c>
      <c r="BD27" s="2370">
        <v>1888266</v>
      </c>
      <c r="BE27" s="2370">
        <v>2230418</v>
      </c>
      <c r="BF27" s="2370">
        <f t="shared" si="14"/>
        <v>342152</v>
      </c>
      <c r="BG27" s="875">
        <v>273802</v>
      </c>
      <c r="BH27" s="2370">
        <v>2566124</v>
      </c>
      <c r="BI27" s="2370">
        <v>1936629</v>
      </c>
      <c r="BJ27" s="2370">
        <v>2286265</v>
      </c>
      <c r="BK27" s="2370">
        <f t="shared" si="15"/>
        <v>349636</v>
      </c>
      <c r="BL27" s="875">
        <v>296355</v>
      </c>
      <c r="BM27" s="2370">
        <v>2663345</v>
      </c>
      <c r="BN27" s="2370">
        <v>1984522</v>
      </c>
      <c r="BO27" s="2370">
        <v>2358917</v>
      </c>
      <c r="BP27" s="2370">
        <f t="shared" si="16"/>
        <v>374395</v>
      </c>
      <c r="BQ27" s="875">
        <v>304428</v>
      </c>
      <c r="BR27" s="2370">
        <v>2746500</v>
      </c>
      <c r="BS27" s="2370">
        <v>2012962</v>
      </c>
      <c r="BT27" s="2370">
        <v>2381718</v>
      </c>
      <c r="BU27" s="2370">
        <f t="shared" si="17"/>
        <v>368756</v>
      </c>
      <c r="BV27" s="875">
        <v>364782</v>
      </c>
    </row>
    <row r="28" spans="1:194" s="2372" customFormat="1" x14ac:dyDescent="0.25">
      <c r="A28" s="2368"/>
      <c r="B28" s="877"/>
      <c r="C28" s="2369"/>
      <c r="D28" s="3289" t="s">
        <v>419</v>
      </c>
      <c r="E28" s="2370">
        <v>837281</v>
      </c>
      <c r="F28" s="2370">
        <v>682579</v>
      </c>
      <c r="G28" s="2370">
        <v>811342</v>
      </c>
      <c r="H28" s="876">
        <f t="shared" si="4"/>
        <v>128763</v>
      </c>
      <c r="I28" s="2371">
        <v>25939.1</v>
      </c>
      <c r="J28" s="2370">
        <v>857256</v>
      </c>
      <c r="K28" s="2370">
        <v>546210</v>
      </c>
      <c r="L28" s="2370">
        <v>830147</v>
      </c>
      <c r="M28" s="2370">
        <f t="shared" si="5"/>
        <v>283937</v>
      </c>
      <c r="N28" s="875">
        <v>27109</v>
      </c>
      <c r="O28" s="2370">
        <v>878343</v>
      </c>
      <c r="P28" s="2370">
        <v>747799</v>
      </c>
      <c r="Q28" s="2370">
        <v>853353</v>
      </c>
      <c r="R28" s="2370">
        <f t="shared" si="6"/>
        <v>105554</v>
      </c>
      <c r="S28" s="875">
        <v>24990.2</v>
      </c>
      <c r="T28" s="2370">
        <v>900820</v>
      </c>
      <c r="U28" s="2370">
        <v>652204</v>
      </c>
      <c r="V28" s="2370">
        <v>873353</v>
      </c>
      <c r="W28" s="2370">
        <f t="shared" si="7"/>
        <v>221149</v>
      </c>
      <c r="X28" s="875">
        <v>27176.3</v>
      </c>
      <c r="Y28" s="2370">
        <v>925593</v>
      </c>
      <c r="Z28" s="2370">
        <v>771249</v>
      </c>
      <c r="AA28" s="2370">
        <v>887344</v>
      </c>
      <c r="AB28" s="2370">
        <f t="shared" si="8"/>
        <v>116095</v>
      </c>
      <c r="AC28" s="875">
        <v>38249.300000000003</v>
      </c>
      <c r="AD28" s="2370">
        <v>949816</v>
      </c>
      <c r="AE28" s="2370">
        <v>808079</v>
      </c>
      <c r="AF28" s="2370">
        <v>917710</v>
      </c>
      <c r="AG28" s="2370">
        <f t="shared" si="9"/>
        <v>109631</v>
      </c>
      <c r="AH28" s="875">
        <v>32681.9</v>
      </c>
      <c r="AI28" s="2370">
        <v>975440</v>
      </c>
      <c r="AJ28" s="2370">
        <v>815848</v>
      </c>
      <c r="AK28" s="2370">
        <v>941692</v>
      </c>
      <c r="AL28" s="2370">
        <f t="shared" si="10"/>
        <v>125844</v>
      </c>
      <c r="AM28" s="875">
        <v>35737.5</v>
      </c>
      <c r="AN28" s="2370">
        <v>1009618</v>
      </c>
      <c r="AO28" s="2370">
        <v>855910</v>
      </c>
      <c r="AP28" s="2370">
        <v>970464</v>
      </c>
      <c r="AQ28" s="2370">
        <f t="shared" si="11"/>
        <v>114554</v>
      </c>
      <c r="AR28" s="875">
        <v>39153.5</v>
      </c>
      <c r="AS28" s="2370">
        <v>1014249</v>
      </c>
      <c r="AT28" s="2370">
        <v>875230</v>
      </c>
      <c r="AU28" s="2370">
        <v>997060</v>
      </c>
      <c r="AV28" s="2370">
        <f t="shared" si="12"/>
        <v>121830</v>
      </c>
      <c r="AW28" s="875">
        <v>42718.7</v>
      </c>
      <c r="AX28" s="2370">
        <v>1059809</v>
      </c>
      <c r="AY28" s="2370">
        <v>900894</v>
      </c>
      <c r="AZ28" s="2370">
        <v>1034475</v>
      </c>
      <c r="BA28" s="2370">
        <f t="shared" si="13"/>
        <v>133581</v>
      </c>
      <c r="BB28" s="875">
        <v>36534.5</v>
      </c>
      <c r="BC28" s="2370">
        <v>1092631</v>
      </c>
      <c r="BD28" s="2370">
        <v>924981</v>
      </c>
      <c r="BE28" s="2370">
        <v>1056466</v>
      </c>
      <c r="BF28" s="2370">
        <f t="shared" si="14"/>
        <v>131485</v>
      </c>
      <c r="BG28" s="875">
        <v>47790.6</v>
      </c>
      <c r="BH28" s="2370">
        <v>1137153</v>
      </c>
      <c r="BI28" s="2370">
        <v>929003</v>
      </c>
      <c r="BJ28" s="2370">
        <v>1077542</v>
      </c>
      <c r="BK28" s="2370">
        <f t="shared" si="15"/>
        <v>148539</v>
      </c>
      <c r="BL28" s="875">
        <v>62263.6</v>
      </c>
      <c r="BM28" s="2370">
        <v>1176579</v>
      </c>
      <c r="BN28" s="2370">
        <v>946174</v>
      </c>
      <c r="BO28" s="2370">
        <v>1120280</v>
      </c>
      <c r="BP28" s="2370">
        <f t="shared" si="16"/>
        <v>174106</v>
      </c>
      <c r="BQ28" s="875">
        <v>56298.9</v>
      </c>
      <c r="BR28" s="2370">
        <v>1215382</v>
      </c>
      <c r="BS28" s="2370">
        <v>975317</v>
      </c>
      <c r="BT28" s="2370">
        <v>1130041</v>
      </c>
      <c r="BU28" s="2370">
        <f t="shared" si="17"/>
        <v>154724</v>
      </c>
      <c r="BV28" s="875">
        <v>85340.800000000003</v>
      </c>
    </row>
    <row r="29" spans="1:194" s="2372" customFormat="1" x14ac:dyDescent="0.25">
      <c r="A29" s="2368"/>
      <c r="B29" s="877"/>
      <c r="C29" s="2369"/>
      <c r="D29" s="3289" t="s">
        <v>420</v>
      </c>
      <c r="E29" s="2370">
        <v>2737213</v>
      </c>
      <c r="F29" s="2370">
        <v>2629189</v>
      </c>
      <c r="G29" s="2370">
        <v>2725629</v>
      </c>
      <c r="H29" s="876">
        <f t="shared" si="4"/>
        <v>96440</v>
      </c>
      <c r="I29" s="2371">
        <v>13221.8</v>
      </c>
      <c r="J29" s="2370">
        <v>2846196</v>
      </c>
      <c r="K29" s="2370">
        <v>2622229</v>
      </c>
      <c r="L29" s="2370">
        <v>2825304</v>
      </c>
      <c r="M29" s="2370">
        <f t="shared" si="5"/>
        <v>203075</v>
      </c>
      <c r="N29" s="875">
        <v>20635.2</v>
      </c>
      <c r="O29" s="2370">
        <v>2957980</v>
      </c>
      <c r="P29" s="2370">
        <v>2868447</v>
      </c>
      <c r="Q29" s="2370">
        <v>2947197</v>
      </c>
      <c r="R29" s="2370">
        <f t="shared" si="6"/>
        <v>78750</v>
      </c>
      <c r="S29" s="875">
        <v>8059.06</v>
      </c>
      <c r="T29" s="2370">
        <v>3079518</v>
      </c>
      <c r="U29" s="2370">
        <v>2874076</v>
      </c>
      <c r="V29" s="2370">
        <v>3043017</v>
      </c>
      <c r="W29" s="2370">
        <f t="shared" si="7"/>
        <v>168941</v>
      </c>
      <c r="X29" s="875">
        <v>35116.800000000003</v>
      </c>
      <c r="Y29" s="2370">
        <v>3211326</v>
      </c>
      <c r="Z29" s="2370">
        <v>3077676</v>
      </c>
      <c r="AA29" s="2370">
        <v>3184293</v>
      </c>
      <c r="AB29" s="2370">
        <f t="shared" si="8"/>
        <v>106617</v>
      </c>
      <c r="AC29" s="875">
        <v>24739.7</v>
      </c>
      <c r="AD29" s="2370">
        <v>3335024</v>
      </c>
      <c r="AE29" s="2370">
        <v>3241044</v>
      </c>
      <c r="AF29" s="2370">
        <v>3301257</v>
      </c>
      <c r="AG29" s="2370">
        <f t="shared" si="9"/>
        <v>60213</v>
      </c>
      <c r="AH29" s="875">
        <v>28682.7</v>
      </c>
      <c r="AI29" s="2370">
        <v>3478265</v>
      </c>
      <c r="AJ29" s="2370">
        <v>3343886</v>
      </c>
      <c r="AK29" s="2370">
        <v>3441203</v>
      </c>
      <c r="AL29" s="2370">
        <f t="shared" si="10"/>
        <v>97317</v>
      </c>
      <c r="AM29" s="875">
        <v>37042.400000000001</v>
      </c>
      <c r="AN29" s="2370">
        <v>3661106</v>
      </c>
      <c r="AO29" s="2370">
        <v>3510280</v>
      </c>
      <c r="AP29" s="2370">
        <v>3633425</v>
      </c>
      <c r="AQ29" s="2370">
        <f t="shared" si="11"/>
        <v>123145</v>
      </c>
      <c r="AR29" s="875">
        <v>27681.7</v>
      </c>
      <c r="AS29" s="2370">
        <v>3706577</v>
      </c>
      <c r="AT29" s="2370">
        <v>3643166</v>
      </c>
      <c r="AU29" s="2370">
        <v>3756177</v>
      </c>
      <c r="AV29" s="2370">
        <f t="shared" si="12"/>
        <v>113011</v>
      </c>
      <c r="AW29" s="875">
        <v>67247.899999999994</v>
      </c>
      <c r="AX29" s="2370">
        <v>3933349</v>
      </c>
      <c r="AY29" s="2370">
        <v>3869307</v>
      </c>
      <c r="AZ29" s="2370">
        <v>3963863</v>
      </c>
      <c r="BA29" s="2370">
        <f t="shared" si="13"/>
        <v>94556</v>
      </c>
      <c r="BB29" s="875">
        <v>25155</v>
      </c>
      <c r="BC29" s="2370">
        <v>4056615</v>
      </c>
      <c r="BD29" s="2370">
        <v>4007826</v>
      </c>
      <c r="BE29" s="2370">
        <v>4097461</v>
      </c>
      <c r="BF29" s="2370">
        <f t="shared" si="14"/>
        <v>89635</v>
      </c>
      <c r="BG29" s="875">
        <v>45716</v>
      </c>
      <c r="BH29" s="2370">
        <v>4312130</v>
      </c>
      <c r="BI29" s="2370">
        <v>4149816</v>
      </c>
      <c r="BJ29" s="2370">
        <v>4240465</v>
      </c>
      <c r="BK29" s="2370">
        <f t="shared" si="15"/>
        <v>90649</v>
      </c>
      <c r="BL29" s="875">
        <v>82136.600000000006</v>
      </c>
      <c r="BM29" s="2370">
        <v>4500835</v>
      </c>
      <c r="BN29" s="2370">
        <v>4352070</v>
      </c>
      <c r="BO29" s="2370">
        <v>4438031</v>
      </c>
      <c r="BP29" s="2370">
        <f t="shared" si="16"/>
        <v>85961</v>
      </c>
      <c r="BQ29" s="875">
        <v>62804</v>
      </c>
      <c r="BR29" s="2370">
        <v>4689506</v>
      </c>
      <c r="BS29" s="2370">
        <v>4525543</v>
      </c>
      <c r="BT29" s="2370">
        <v>4625493</v>
      </c>
      <c r="BU29" s="2370">
        <f t="shared" si="17"/>
        <v>99950</v>
      </c>
      <c r="BV29" s="875">
        <v>64012.4</v>
      </c>
    </row>
    <row r="30" spans="1:194" s="2372" customFormat="1" x14ac:dyDescent="0.25">
      <c r="A30" s="2368"/>
      <c r="B30" s="877"/>
      <c r="C30" s="2369"/>
      <c r="D30" s="3289" t="s">
        <v>421</v>
      </c>
      <c r="E30" s="2370">
        <v>773609</v>
      </c>
      <c r="F30" s="2370">
        <v>632341</v>
      </c>
      <c r="G30" s="2370">
        <v>733894</v>
      </c>
      <c r="H30" s="876">
        <f t="shared" si="4"/>
        <v>101553</v>
      </c>
      <c r="I30" s="2371">
        <v>39715.1</v>
      </c>
      <c r="J30" s="2370">
        <v>798549</v>
      </c>
      <c r="K30" s="2370">
        <v>573334</v>
      </c>
      <c r="L30" s="2370">
        <v>753683</v>
      </c>
      <c r="M30" s="2370">
        <f t="shared" si="5"/>
        <v>180349</v>
      </c>
      <c r="N30" s="875">
        <v>44865.8</v>
      </c>
      <c r="O30" s="2370">
        <v>824344</v>
      </c>
      <c r="P30" s="2370">
        <v>690791</v>
      </c>
      <c r="Q30" s="2370">
        <v>761846</v>
      </c>
      <c r="R30" s="2370">
        <f t="shared" si="6"/>
        <v>71055</v>
      </c>
      <c r="S30" s="875">
        <v>62498.6</v>
      </c>
      <c r="T30" s="2370">
        <v>850672</v>
      </c>
      <c r="U30" s="2370">
        <v>618927</v>
      </c>
      <c r="V30" s="2370">
        <v>792128</v>
      </c>
      <c r="W30" s="2370">
        <f t="shared" si="7"/>
        <v>173201</v>
      </c>
      <c r="X30" s="875">
        <v>59120</v>
      </c>
      <c r="Y30" s="2370">
        <v>881060</v>
      </c>
      <c r="Z30" s="2370">
        <v>677689</v>
      </c>
      <c r="AA30" s="2370">
        <v>805414</v>
      </c>
      <c r="AB30" s="2370">
        <f t="shared" si="8"/>
        <v>127725</v>
      </c>
      <c r="AC30" s="875">
        <v>75831.399999999994</v>
      </c>
      <c r="AD30" s="2370">
        <v>906626</v>
      </c>
      <c r="AE30" s="2370">
        <v>749344</v>
      </c>
      <c r="AF30" s="2370">
        <v>839622</v>
      </c>
      <c r="AG30" s="2370">
        <f t="shared" si="9"/>
        <v>90278</v>
      </c>
      <c r="AH30" s="875">
        <v>68930.7</v>
      </c>
      <c r="AI30" s="2370">
        <v>944315</v>
      </c>
      <c r="AJ30" s="2370">
        <v>753272</v>
      </c>
      <c r="AK30" s="2370">
        <v>880874</v>
      </c>
      <c r="AL30" s="2370">
        <f t="shared" si="10"/>
        <v>127602</v>
      </c>
      <c r="AM30" s="875">
        <v>60889.599999999999</v>
      </c>
      <c r="AN30" s="2370">
        <v>980878</v>
      </c>
      <c r="AO30" s="2370">
        <v>786732</v>
      </c>
      <c r="AP30" s="2370">
        <v>905823</v>
      </c>
      <c r="AQ30" s="2370">
        <f t="shared" si="11"/>
        <v>119091</v>
      </c>
      <c r="AR30" s="875">
        <v>75054.399999999994</v>
      </c>
      <c r="AS30" s="2370">
        <v>983770</v>
      </c>
      <c r="AT30" s="2370">
        <v>848570</v>
      </c>
      <c r="AU30" s="2370">
        <v>926445</v>
      </c>
      <c r="AV30" s="2370">
        <f t="shared" si="12"/>
        <v>77875</v>
      </c>
      <c r="AW30" s="875">
        <v>88969.5</v>
      </c>
      <c r="AX30" s="2370">
        <v>1037984</v>
      </c>
      <c r="AY30" s="2370">
        <v>878892</v>
      </c>
      <c r="AZ30" s="2370">
        <v>977099</v>
      </c>
      <c r="BA30" s="2370">
        <f t="shared" si="13"/>
        <v>98207</v>
      </c>
      <c r="BB30" s="875">
        <v>73882.899999999994</v>
      </c>
      <c r="BC30" s="2370">
        <v>1077039</v>
      </c>
      <c r="BD30" s="2370">
        <v>919425</v>
      </c>
      <c r="BE30" s="2370">
        <v>991113</v>
      </c>
      <c r="BF30" s="2370">
        <f t="shared" si="14"/>
        <v>71688</v>
      </c>
      <c r="BG30" s="875">
        <v>97170.9</v>
      </c>
      <c r="BH30" s="2370">
        <v>1126010</v>
      </c>
      <c r="BI30" s="2370">
        <v>947724</v>
      </c>
      <c r="BJ30" s="2370">
        <v>1022618</v>
      </c>
      <c r="BK30" s="2370">
        <f t="shared" si="15"/>
        <v>74894</v>
      </c>
      <c r="BL30" s="875">
        <v>104546</v>
      </c>
      <c r="BM30" s="2370">
        <v>1167869</v>
      </c>
      <c r="BN30" s="2370">
        <v>989765</v>
      </c>
      <c r="BO30" s="2370">
        <v>1067975</v>
      </c>
      <c r="BP30" s="2370">
        <f t="shared" si="16"/>
        <v>78210</v>
      </c>
      <c r="BQ30" s="875">
        <v>99893.9</v>
      </c>
      <c r="BR30" s="2370">
        <v>1210825</v>
      </c>
      <c r="BS30" s="2370">
        <v>1021786</v>
      </c>
      <c r="BT30" s="2370">
        <v>1106159</v>
      </c>
      <c r="BU30" s="2370">
        <f t="shared" si="17"/>
        <v>84373</v>
      </c>
      <c r="BV30" s="875">
        <v>104666</v>
      </c>
    </row>
    <row r="31" spans="1:194" s="2372" customFormat="1" x14ac:dyDescent="0.25">
      <c r="A31" s="2368"/>
      <c r="B31" s="877"/>
      <c r="C31" s="2369"/>
      <c r="D31" s="3289" t="s">
        <v>422</v>
      </c>
      <c r="E31" s="2370">
        <v>1037024</v>
      </c>
      <c r="F31" s="2370">
        <v>658575</v>
      </c>
      <c r="G31" s="2370">
        <v>874593</v>
      </c>
      <c r="H31" s="876">
        <f t="shared" si="4"/>
        <v>216018</v>
      </c>
      <c r="I31" s="2371">
        <v>162431</v>
      </c>
      <c r="J31" s="2370">
        <v>1065282</v>
      </c>
      <c r="K31" s="2370">
        <v>452060</v>
      </c>
      <c r="L31" s="2370">
        <v>952158</v>
      </c>
      <c r="M31" s="2370">
        <f t="shared" si="5"/>
        <v>500098</v>
      </c>
      <c r="N31" s="875">
        <v>113124</v>
      </c>
      <c r="O31" s="2370">
        <v>1096062</v>
      </c>
      <c r="P31" s="2370">
        <v>824697</v>
      </c>
      <c r="Q31" s="2370">
        <v>979282</v>
      </c>
      <c r="R31" s="2370">
        <f t="shared" si="6"/>
        <v>154585</v>
      </c>
      <c r="S31" s="875">
        <v>116403</v>
      </c>
      <c r="T31" s="2370">
        <v>1126995</v>
      </c>
      <c r="U31" s="2370">
        <v>611605</v>
      </c>
      <c r="V31" s="2370">
        <v>1013651</v>
      </c>
      <c r="W31" s="2370">
        <f t="shared" si="7"/>
        <v>402046</v>
      </c>
      <c r="X31" s="875">
        <v>113344</v>
      </c>
      <c r="Y31" s="2370">
        <v>1157910</v>
      </c>
      <c r="Z31" s="2370">
        <v>843333</v>
      </c>
      <c r="AA31" s="2370">
        <v>1088144</v>
      </c>
      <c r="AB31" s="2370">
        <f t="shared" si="8"/>
        <v>244811</v>
      </c>
      <c r="AC31" s="875">
        <v>68847.8</v>
      </c>
      <c r="AD31" s="2370">
        <v>1191477</v>
      </c>
      <c r="AE31" s="2370">
        <v>864290</v>
      </c>
      <c r="AF31" s="2370">
        <v>1090625</v>
      </c>
      <c r="AG31" s="2370">
        <f t="shared" si="9"/>
        <v>226335</v>
      </c>
      <c r="AH31" s="875">
        <v>100123</v>
      </c>
      <c r="AI31" s="2370">
        <v>1225908</v>
      </c>
      <c r="AJ31" s="2370">
        <v>853270</v>
      </c>
      <c r="AK31" s="2370">
        <v>1122774</v>
      </c>
      <c r="AL31" s="2370">
        <f t="shared" si="10"/>
        <v>269504</v>
      </c>
      <c r="AM31" s="875">
        <v>104714</v>
      </c>
      <c r="AN31" s="2370">
        <v>1269657</v>
      </c>
      <c r="AO31" s="2370">
        <v>917438</v>
      </c>
      <c r="AP31" s="2370">
        <v>1132492</v>
      </c>
      <c r="AQ31" s="2370">
        <f t="shared" si="11"/>
        <v>215054</v>
      </c>
      <c r="AR31" s="875">
        <v>137165</v>
      </c>
      <c r="AS31" s="2370">
        <v>1275648</v>
      </c>
      <c r="AT31" s="2370">
        <v>938322</v>
      </c>
      <c r="AU31" s="2370">
        <v>1208385</v>
      </c>
      <c r="AV31" s="2370">
        <f t="shared" si="12"/>
        <v>270063</v>
      </c>
      <c r="AW31" s="875">
        <v>100239</v>
      </c>
      <c r="AX31" s="2370">
        <v>1330679</v>
      </c>
      <c r="AY31" s="2370">
        <v>957359</v>
      </c>
      <c r="AZ31" s="2370">
        <v>1223080</v>
      </c>
      <c r="BA31" s="2370">
        <f t="shared" si="13"/>
        <v>265721</v>
      </c>
      <c r="BB31" s="875">
        <v>126519</v>
      </c>
      <c r="BC31" s="2370">
        <v>1373087</v>
      </c>
      <c r="BD31" s="2370">
        <v>951894</v>
      </c>
      <c r="BE31" s="2370">
        <v>1257101</v>
      </c>
      <c r="BF31" s="2370">
        <f t="shared" si="14"/>
        <v>305207</v>
      </c>
      <c r="BG31" s="875">
        <v>134596</v>
      </c>
      <c r="BH31" s="2370">
        <v>1430987</v>
      </c>
      <c r="BI31" s="2370">
        <v>977964</v>
      </c>
      <c r="BJ31" s="2370">
        <v>1247379</v>
      </c>
      <c r="BK31" s="2370">
        <f t="shared" si="15"/>
        <v>269415</v>
      </c>
      <c r="BL31" s="875">
        <v>188954</v>
      </c>
      <c r="BM31" s="2370">
        <v>1483196</v>
      </c>
      <c r="BN31" s="2370">
        <v>1075689</v>
      </c>
      <c r="BO31" s="2370">
        <v>1322378</v>
      </c>
      <c r="BP31" s="2370">
        <f t="shared" si="16"/>
        <v>246689</v>
      </c>
      <c r="BQ31" s="875">
        <v>160818</v>
      </c>
      <c r="BR31" s="2370">
        <v>1532371</v>
      </c>
      <c r="BS31" s="2370">
        <v>1056815</v>
      </c>
      <c r="BT31" s="2370">
        <v>1376195</v>
      </c>
      <c r="BU31" s="2370">
        <f t="shared" si="17"/>
        <v>319380</v>
      </c>
      <c r="BV31" s="875">
        <v>156175</v>
      </c>
    </row>
    <row r="32" spans="1:194" s="2374" customFormat="1" x14ac:dyDescent="0.25">
      <c r="A32" s="2368"/>
      <c r="B32" s="870"/>
      <c r="C32" s="874"/>
      <c r="D32" s="3290" t="s">
        <v>0</v>
      </c>
      <c r="E32" s="872">
        <v>10814219</v>
      </c>
      <c r="F32" s="1607">
        <v>8597873</v>
      </c>
      <c r="G32" s="1607">
        <v>9613719</v>
      </c>
      <c r="H32" s="873">
        <f t="shared" si="4"/>
        <v>1015846</v>
      </c>
      <c r="I32" s="871">
        <f>SUM(I23:I31)</f>
        <v>1192717.6000000001</v>
      </c>
      <c r="J32" s="872">
        <v>11113079</v>
      </c>
      <c r="K32" s="1607">
        <v>7822537</v>
      </c>
      <c r="L32" s="872">
        <f>SUM(L23:L31)</f>
        <v>10008531</v>
      </c>
      <c r="M32" s="1607">
        <f t="shared" si="5"/>
        <v>2185994</v>
      </c>
      <c r="N32" s="871">
        <f>SUM(N23:N31)</f>
        <v>1098104.3</v>
      </c>
      <c r="O32" s="872">
        <v>11425278</v>
      </c>
      <c r="P32" s="1607">
        <v>9512653</v>
      </c>
      <c r="Q32" s="872">
        <f>SUM(Q23:Q31)</f>
        <v>10399494</v>
      </c>
      <c r="R32" s="1607">
        <f t="shared" si="6"/>
        <v>886841</v>
      </c>
      <c r="S32" s="871">
        <f>SUM(S23:S31)</f>
        <v>1014265.0499999999</v>
      </c>
      <c r="T32" s="872">
        <v>11753563</v>
      </c>
      <c r="U32" s="1607">
        <v>8929901</v>
      </c>
      <c r="V32" s="872">
        <f>SUM(V23:V31)</f>
        <v>10786758</v>
      </c>
      <c r="W32" s="1607">
        <f t="shared" si="7"/>
        <v>1856857</v>
      </c>
      <c r="X32" s="871">
        <f>SUM(X23:X31)</f>
        <v>950355.03000000014</v>
      </c>
      <c r="Y32" s="872">
        <v>12106894</v>
      </c>
      <c r="Z32" s="1607">
        <f>SUM(Z23:Z31)</f>
        <v>10046552</v>
      </c>
      <c r="AA32" s="872">
        <f>SUM(AA23:AA31)</f>
        <v>11177766</v>
      </c>
      <c r="AB32" s="1607">
        <f t="shared" si="8"/>
        <v>1131214</v>
      </c>
      <c r="AC32" s="871">
        <f>SUM(AC23:AC31)</f>
        <v>909465.95000000007</v>
      </c>
      <c r="AD32" s="872">
        <v>12485206</v>
      </c>
      <c r="AE32" s="1607">
        <f>SUM(AE23:AE31)</f>
        <v>10602799</v>
      </c>
      <c r="AF32" s="872">
        <f>SUM(AF23:AF31)</f>
        <v>11530336</v>
      </c>
      <c r="AG32" s="1607">
        <f t="shared" si="9"/>
        <v>927537</v>
      </c>
      <c r="AH32" s="871">
        <f>SUM(AH23:AH31)</f>
        <v>878840.64999999991</v>
      </c>
      <c r="AI32" s="872">
        <v>12885628</v>
      </c>
      <c r="AJ32" s="1607">
        <f>SUM(AJ23:AJ31)</f>
        <v>10690262</v>
      </c>
      <c r="AK32" s="872">
        <f>SUM(AK23:AK31)</f>
        <v>11847170</v>
      </c>
      <c r="AL32" s="1607">
        <f t="shared" si="10"/>
        <v>1156908</v>
      </c>
      <c r="AM32" s="871">
        <f>SUM(AM23:AM31)</f>
        <v>983664.55</v>
      </c>
      <c r="AN32" s="872">
        <v>13302549</v>
      </c>
      <c r="AO32" s="1607">
        <f>SUM(AO23:AO31)</f>
        <v>11193306</v>
      </c>
      <c r="AP32" s="872">
        <f>SUM(AP23:AP31)</f>
        <v>12322820</v>
      </c>
      <c r="AQ32" s="1607">
        <f t="shared" si="11"/>
        <v>1129514</v>
      </c>
      <c r="AR32" s="871">
        <f>SUM(AR23:AR31)</f>
        <v>979729.38</v>
      </c>
      <c r="AS32" s="872">
        <v>13730737</v>
      </c>
      <c r="AT32" s="1607">
        <f>SUM(AT23:AT31)</f>
        <v>11569800</v>
      </c>
      <c r="AU32" s="872">
        <f>SUM(AU23:AU31)</f>
        <v>12692253</v>
      </c>
      <c r="AV32" s="1607">
        <f t="shared" si="12"/>
        <v>1122453</v>
      </c>
      <c r="AW32" s="871">
        <f>SUM(AW23:AW31)</f>
        <v>1038484.61</v>
      </c>
      <c r="AX32" s="872">
        <v>14173334</v>
      </c>
      <c r="AY32" s="1607">
        <f>SUM(AY23:AY31)</f>
        <v>12053558</v>
      </c>
      <c r="AZ32" s="872">
        <f>SUM(AZ23:AZ31)</f>
        <v>13190515</v>
      </c>
      <c r="BA32" s="1607">
        <f t="shared" si="13"/>
        <v>1136957</v>
      </c>
      <c r="BB32" s="871">
        <f>SUM(BB23:BB31)</f>
        <v>981640.44000000006</v>
      </c>
      <c r="BC32" s="872">
        <v>14631096</v>
      </c>
      <c r="BD32" s="1607">
        <f>SUM(BD23:BD31)</f>
        <v>12517033</v>
      </c>
      <c r="BE32" s="872">
        <f>SUM(BE23:BE31)</f>
        <v>13657406</v>
      </c>
      <c r="BF32" s="1607">
        <f t="shared" si="14"/>
        <v>1140373</v>
      </c>
      <c r="BG32" s="871">
        <f t="shared" ref="BG32:BV32" si="18">SUM(BG23:BG31)</f>
        <v>962314.40999999992</v>
      </c>
      <c r="BH32" s="871">
        <f t="shared" si="18"/>
        <v>15045561</v>
      </c>
      <c r="BI32" s="1607">
        <f t="shared" si="18"/>
        <v>12868254</v>
      </c>
      <c r="BJ32" s="1607">
        <f t="shared" si="18"/>
        <v>14022409</v>
      </c>
      <c r="BK32" s="1607">
        <f t="shared" si="18"/>
        <v>1154155</v>
      </c>
      <c r="BL32" s="1607">
        <f t="shared" si="18"/>
        <v>1084143.24</v>
      </c>
      <c r="BM32" s="872">
        <f t="shared" si="18"/>
        <v>15602250</v>
      </c>
      <c r="BN32" s="872">
        <f t="shared" si="18"/>
        <v>13387750</v>
      </c>
      <c r="BO32" s="872">
        <f t="shared" si="18"/>
        <v>14531475</v>
      </c>
      <c r="BP32" s="872">
        <f t="shared" si="18"/>
        <v>1143725</v>
      </c>
      <c r="BQ32" s="872">
        <f t="shared" si="18"/>
        <v>1070776.49</v>
      </c>
      <c r="BR32" s="871">
        <f t="shared" si="18"/>
        <v>16121991</v>
      </c>
      <c r="BS32" s="871">
        <f t="shared" si="18"/>
        <v>13669134</v>
      </c>
      <c r="BT32" s="871">
        <f t="shared" si="18"/>
        <v>14906188</v>
      </c>
      <c r="BU32" s="871">
        <f t="shared" si="18"/>
        <v>1237054</v>
      </c>
      <c r="BV32" s="871">
        <f t="shared" si="18"/>
        <v>1215799.7200000002</v>
      </c>
      <c r="BW32" s="2373"/>
      <c r="BX32" s="2373"/>
      <c r="BY32" s="2373"/>
      <c r="BZ32" s="2373"/>
      <c r="CA32" s="2373"/>
      <c r="CB32" s="2373"/>
      <c r="CC32" s="2373"/>
      <c r="CD32" s="2373"/>
      <c r="CE32" s="2373"/>
      <c r="CF32" s="2373"/>
      <c r="CG32" s="2373"/>
      <c r="CH32" s="2373"/>
      <c r="CI32" s="2373"/>
      <c r="CJ32" s="2373"/>
      <c r="CK32" s="2373"/>
      <c r="CL32" s="2373"/>
      <c r="CM32" s="2373"/>
      <c r="CN32" s="2373"/>
      <c r="CO32" s="2373"/>
      <c r="CP32" s="2373"/>
      <c r="CQ32" s="2373"/>
      <c r="CR32" s="2373"/>
      <c r="CS32" s="2373"/>
      <c r="CT32" s="2373"/>
      <c r="CU32" s="2373"/>
      <c r="CV32" s="2373"/>
      <c r="CW32" s="2373"/>
      <c r="CX32" s="2373"/>
      <c r="CY32" s="2373"/>
      <c r="CZ32" s="2373"/>
      <c r="DA32" s="2373"/>
      <c r="DB32" s="2373"/>
      <c r="DC32" s="2373"/>
      <c r="DD32" s="2373"/>
      <c r="DE32" s="2373"/>
      <c r="DF32" s="2373"/>
      <c r="DG32" s="2373"/>
      <c r="DH32" s="2373"/>
      <c r="DI32" s="2373"/>
      <c r="DJ32" s="2373"/>
      <c r="DK32" s="2373"/>
      <c r="DL32" s="2373"/>
      <c r="DM32" s="2373"/>
      <c r="DN32" s="2373"/>
      <c r="DO32" s="2373"/>
      <c r="DP32" s="2373"/>
      <c r="DQ32" s="2373"/>
      <c r="DR32" s="2373"/>
      <c r="DS32" s="2373"/>
      <c r="DT32" s="2373"/>
      <c r="DU32" s="2373"/>
      <c r="DV32" s="2373"/>
      <c r="DW32" s="2373"/>
      <c r="DX32" s="2373"/>
      <c r="DY32" s="2373"/>
      <c r="DZ32" s="2373"/>
      <c r="EA32" s="2373"/>
      <c r="EB32" s="2373"/>
      <c r="EC32" s="2373"/>
      <c r="ED32" s="2373"/>
      <c r="EE32" s="2373"/>
      <c r="EF32" s="2373"/>
      <c r="EG32" s="2373"/>
      <c r="EH32" s="2373"/>
      <c r="EI32" s="2373"/>
      <c r="EJ32" s="2373"/>
      <c r="EK32" s="2373"/>
      <c r="EL32" s="2373"/>
      <c r="EM32" s="2373"/>
      <c r="EN32" s="2373"/>
      <c r="EO32" s="2373"/>
      <c r="EP32" s="2373"/>
      <c r="EQ32" s="2373"/>
      <c r="ER32" s="2373"/>
      <c r="ES32" s="2373"/>
      <c r="ET32" s="2373"/>
      <c r="EU32" s="2373"/>
      <c r="EV32" s="2373"/>
      <c r="EW32" s="2373"/>
      <c r="EX32" s="2373"/>
      <c r="EY32" s="2373"/>
      <c r="EZ32" s="2373"/>
      <c r="FA32" s="2373"/>
      <c r="FB32" s="2373"/>
      <c r="FC32" s="2373"/>
      <c r="FD32" s="2373"/>
      <c r="FE32" s="2373"/>
      <c r="FF32" s="2373"/>
      <c r="FG32" s="2373"/>
      <c r="FH32" s="2373"/>
      <c r="FI32" s="2373"/>
      <c r="FJ32" s="2373"/>
      <c r="FK32" s="2373"/>
      <c r="FL32" s="2373"/>
      <c r="FM32" s="2373"/>
      <c r="FN32" s="2373"/>
      <c r="FO32" s="2373"/>
      <c r="FP32" s="2373"/>
      <c r="FQ32" s="2373"/>
      <c r="FR32" s="2373"/>
      <c r="FS32" s="2373"/>
      <c r="FT32" s="2373"/>
      <c r="FU32" s="2373"/>
      <c r="FV32" s="2373"/>
      <c r="FW32" s="2373"/>
      <c r="FX32" s="2373"/>
      <c r="FY32" s="2373"/>
      <c r="FZ32" s="2373"/>
      <c r="GA32" s="2373"/>
      <c r="GB32" s="2373"/>
      <c r="GC32" s="2373"/>
      <c r="GD32" s="2373"/>
      <c r="GE32" s="2373"/>
      <c r="GF32" s="2373"/>
      <c r="GG32" s="2373"/>
      <c r="GH32" s="2373"/>
      <c r="GI32" s="2373"/>
      <c r="GJ32" s="2373"/>
      <c r="GK32" s="2373"/>
      <c r="GL32" s="2373"/>
    </row>
    <row r="33" spans="1:64" s="2373" customFormat="1" x14ac:dyDescent="0.25">
      <c r="A33" s="2368"/>
      <c r="B33" s="870"/>
      <c r="C33" s="870"/>
      <c r="D33" s="2375"/>
      <c r="E33" s="868"/>
      <c r="F33" s="2376"/>
      <c r="G33" s="2376"/>
      <c r="H33" s="869"/>
      <c r="I33" s="868"/>
      <c r="J33" s="868"/>
      <c r="K33" s="2376"/>
      <c r="L33" s="868"/>
      <c r="M33" s="2376"/>
      <c r="N33" s="868"/>
      <c r="O33" s="868"/>
      <c r="P33" s="2376"/>
      <c r="Q33" s="868"/>
      <c r="R33" s="869"/>
      <c r="S33" s="868"/>
      <c r="T33" s="868"/>
      <c r="U33" s="2376"/>
      <c r="V33" s="868"/>
      <c r="W33" s="869"/>
      <c r="X33" s="868"/>
      <c r="Y33" s="868"/>
      <c r="Z33" s="868"/>
      <c r="AA33" s="868"/>
      <c r="AB33" s="869"/>
      <c r="AC33" s="868"/>
      <c r="AD33" s="868"/>
      <c r="AE33" s="868"/>
      <c r="AF33" s="868"/>
      <c r="AG33" s="869"/>
      <c r="AH33" s="868"/>
      <c r="AI33" s="868"/>
      <c r="AJ33" s="868"/>
      <c r="AK33" s="868"/>
      <c r="AL33" s="869"/>
      <c r="AM33" s="868"/>
      <c r="AN33" s="868"/>
      <c r="AO33" s="868"/>
      <c r="AP33" s="868"/>
      <c r="AQ33" s="869"/>
      <c r="AR33" s="869"/>
      <c r="AS33" s="868"/>
      <c r="AT33" s="868"/>
      <c r="AU33" s="868"/>
      <c r="AV33" s="869"/>
      <c r="AW33" s="869"/>
      <c r="AX33" s="868"/>
      <c r="AY33" s="868"/>
      <c r="AZ33" s="868"/>
      <c r="BA33" s="869"/>
      <c r="BB33" s="869"/>
      <c r="BC33" s="868"/>
      <c r="BD33" s="868"/>
      <c r="BE33" s="868"/>
      <c r="BF33" s="869"/>
      <c r="BG33" s="869"/>
      <c r="BH33" s="868"/>
      <c r="BI33" s="868"/>
      <c r="BJ33" s="868"/>
      <c r="BK33" s="869"/>
      <c r="BL33" s="869"/>
    </row>
    <row r="34" spans="1:64" s="2373" customFormat="1" x14ac:dyDescent="0.25">
      <c r="A34" s="2368"/>
      <c r="B34" s="870"/>
      <c r="C34" s="870"/>
      <c r="D34" s="2375"/>
      <c r="E34" s="868"/>
      <c r="F34" s="2376"/>
      <c r="G34" s="2376"/>
      <c r="H34" s="869"/>
      <c r="I34" s="868"/>
      <c r="J34" s="868"/>
      <c r="K34" s="2376"/>
      <c r="L34" s="868"/>
      <c r="M34" s="2376"/>
      <c r="N34" s="868"/>
      <c r="O34" s="868"/>
      <c r="P34" s="2376"/>
      <c r="Q34" s="868"/>
      <c r="R34" s="869"/>
      <c r="S34" s="868"/>
      <c r="T34" s="868"/>
      <c r="U34" s="2376"/>
      <c r="V34" s="868"/>
      <c r="W34" s="869"/>
      <c r="X34" s="868"/>
      <c r="Y34" s="868"/>
      <c r="Z34" s="868"/>
      <c r="AA34" s="868"/>
      <c r="AB34" s="869"/>
      <c r="AC34" s="868"/>
      <c r="AD34" s="868"/>
      <c r="AE34" s="868"/>
      <c r="AF34" s="868"/>
      <c r="AG34" s="869"/>
      <c r="AH34" s="868"/>
      <c r="AI34" s="868"/>
      <c r="AJ34" s="868"/>
      <c r="AK34" s="868"/>
      <c r="AL34" s="869"/>
      <c r="AM34" s="868"/>
      <c r="AN34" s="868"/>
      <c r="AO34" s="868"/>
      <c r="AP34" s="868"/>
      <c r="AQ34" s="869"/>
      <c r="AR34" s="869"/>
      <c r="AS34" s="868"/>
      <c r="AT34" s="868"/>
      <c r="AU34" s="868"/>
      <c r="AV34" s="869"/>
      <c r="AW34" s="869"/>
      <c r="AX34" s="868"/>
      <c r="AY34" s="868"/>
      <c r="AZ34" s="868"/>
      <c r="BA34" s="869"/>
      <c r="BB34" s="869"/>
      <c r="BC34" s="868"/>
      <c r="BD34" s="868"/>
      <c r="BE34" s="868"/>
      <c r="BF34" s="869"/>
      <c r="BG34" s="869"/>
      <c r="BH34" s="868"/>
      <c r="BI34" s="868"/>
      <c r="BJ34" s="868"/>
      <c r="BK34" s="869"/>
      <c r="BL34" s="869"/>
    </row>
    <row r="35" spans="1:64" s="2373" customFormat="1" x14ac:dyDescent="0.25">
      <c r="A35" s="2368"/>
      <c r="B35" s="870"/>
      <c r="C35" s="870"/>
      <c r="D35" s="2375"/>
      <c r="E35" s="868"/>
      <c r="F35" s="2376"/>
      <c r="G35" s="2376"/>
      <c r="H35" s="869"/>
      <c r="I35" s="868"/>
      <c r="J35" s="868"/>
      <c r="K35" s="2376"/>
      <c r="L35" s="868"/>
      <c r="M35" s="2376"/>
      <c r="N35" s="868"/>
      <c r="O35" s="868"/>
      <c r="P35" s="2376"/>
      <c r="Q35" s="868"/>
      <c r="R35" s="869"/>
      <c r="S35" s="868"/>
      <c r="T35" s="868"/>
      <c r="U35" s="2376"/>
      <c r="V35" s="868"/>
      <c r="W35" s="869"/>
      <c r="X35" s="868"/>
      <c r="Y35" s="868"/>
      <c r="Z35" s="868"/>
      <c r="AA35" s="868"/>
      <c r="AB35" s="869"/>
      <c r="AC35" s="868"/>
      <c r="AD35" s="868"/>
      <c r="AE35" s="868"/>
      <c r="AF35" s="868"/>
      <c r="AG35" s="869"/>
      <c r="AH35" s="868"/>
      <c r="AI35" s="868"/>
      <c r="AJ35" s="868"/>
      <c r="AK35" s="868"/>
      <c r="AL35" s="869"/>
      <c r="AM35" s="868"/>
      <c r="AN35" s="868"/>
      <c r="AO35" s="868"/>
      <c r="AP35" s="868"/>
      <c r="AQ35" s="869"/>
      <c r="AR35" s="869"/>
      <c r="AS35" s="868"/>
      <c r="AT35" s="868"/>
      <c r="AU35" s="868"/>
      <c r="AV35" s="869"/>
      <c r="AW35" s="869"/>
      <c r="AX35" s="868"/>
      <c r="AY35" s="868"/>
      <c r="AZ35" s="868"/>
      <c r="BA35" s="869"/>
      <c r="BB35" s="869"/>
      <c r="BC35" s="868"/>
      <c r="BD35" s="868"/>
      <c r="BE35" s="868"/>
      <c r="BF35" s="869"/>
      <c r="BG35" s="869"/>
      <c r="BH35" s="868"/>
      <c r="BI35" s="868"/>
      <c r="BJ35" s="868"/>
      <c r="BK35" s="869"/>
      <c r="BL35" s="869"/>
    </row>
    <row r="36" spans="1:64" s="2373" customFormat="1" x14ac:dyDescent="0.25">
      <c r="A36" s="2368"/>
      <c r="B36" s="870"/>
      <c r="C36" s="870"/>
      <c r="D36" s="2375"/>
      <c r="E36" s="868"/>
      <c r="F36" s="2376"/>
      <c r="G36" s="2376"/>
      <c r="H36" s="869"/>
      <c r="I36" s="868"/>
      <c r="J36" s="868"/>
      <c r="K36" s="2376"/>
      <c r="L36" s="868"/>
      <c r="M36" s="2376"/>
      <c r="N36" s="868"/>
      <c r="O36" s="868"/>
      <c r="P36" s="2376"/>
      <c r="Q36" s="868"/>
      <c r="R36" s="869"/>
      <c r="S36" s="868"/>
      <c r="T36" s="868"/>
      <c r="U36" s="2376"/>
      <c r="V36" s="868"/>
      <c r="W36" s="869"/>
      <c r="X36" s="868"/>
      <c r="Y36" s="868"/>
      <c r="Z36" s="868"/>
      <c r="AA36" s="868"/>
      <c r="AB36" s="869"/>
      <c r="AC36" s="868"/>
      <c r="AD36" s="868"/>
      <c r="AE36" s="868"/>
      <c r="AF36" s="868"/>
      <c r="AG36" s="869"/>
      <c r="AH36" s="868"/>
      <c r="AI36" s="868"/>
      <c r="AJ36" s="868"/>
      <c r="AK36" s="868"/>
      <c r="AL36" s="869"/>
      <c r="AM36" s="868"/>
      <c r="AN36" s="868"/>
      <c r="AO36" s="868"/>
      <c r="AP36" s="868"/>
      <c r="AQ36" s="869"/>
      <c r="AR36" s="869"/>
      <c r="AS36" s="868"/>
      <c r="AT36" s="868"/>
      <c r="AU36" s="868"/>
      <c r="AV36" s="869"/>
      <c r="AW36" s="869"/>
      <c r="AX36" s="868"/>
      <c r="AY36" s="868"/>
      <c r="AZ36" s="868"/>
      <c r="BA36" s="869"/>
      <c r="BB36" s="869"/>
      <c r="BC36" s="868"/>
      <c r="BD36" s="868"/>
      <c r="BE36" s="868"/>
      <c r="BF36" s="869"/>
      <c r="BG36" s="869"/>
      <c r="BH36" s="868"/>
      <c r="BI36" s="868"/>
      <c r="BJ36" s="868"/>
      <c r="BK36" s="869"/>
      <c r="BL36" s="869"/>
    </row>
    <row r="37" spans="1:64" s="2373" customFormat="1" x14ac:dyDescent="0.25">
      <c r="A37" s="2368"/>
      <c r="B37" s="870"/>
      <c r="C37" s="870"/>
      <c r="D37" s="2375"/>
      <c r="E37" s="868"/>
      <c r="F37" s="2376"/>
      <c r="G37" s="2376"/>
      <c r="H37" s="869"/>
      <c r="I37" s="868"/>
      <c r="J37" s="868"/>
      <c r="K37" s="2376"/>
      <c r="L37" s="868"/>
      <c r="M37" s="2376"/>
      <c r="N37" s="868"/>
      <c r="O37" s="868"/>
      <c r="P37" s="2376"/>
      <c r="Q37" s="868"/>
      <c r="R37" s="869"/>
      <c r="S37" s="868"/>
      <c r="T37" s="868"/>
      <c r="U37" s="2376"/>
      <c r="V37" s="868"/>
      <c r="W37" s="869"/>
      <c r="X37" s="868"/>
      <c r="Y37" s="868"/>
      <c r="Z37" s="868"/>
      <c r="AA37" s="868"/>
      <c r="AB37" s="869"/>
      <c r="AC37" s="868"/>
      <c r="AD37" s="868"/>
      <c r="AE37" s="868"/>
      <c r="AF37" s="868"/>
      <c r="AG37" s="869"/>
      <c r="AH37" s="868"/>
      <c r="AI37" s="868"/>
      <c r="AJ37" s="868"/>
      <c r="AK37" s="868"/>
      <c r="AL37" s="869"/>
      <c r="AM37" s="868"/>
      <c r="AN37" s="868"/>
      <c r="AO37" s="868"/>
      <c r="AP37" s="868"/>
      <c r="AQ37" s="869"/>
      <c r="AR37" s="869"/>
      <c r="AS37" s="868"/>
      <c r="AT37" s="868"/>
      <c r="AU37" s="868"/>
      <c r="AV37" s="869"/>
      <c r="AW37" s="869"/>
      <c r="AX37" s="868"/>
      <c r="AY37" s="868"/>
      <c r="AZ37" s="868"/>
      <c r="BA37" s="869"/>
      <c r="BB37" s="869"/>
      <c r="BC37" s="868"/>
      <c r="BD37" s="868"/>
      <c r="BE37" s="868"/>
      <c r="BF37" s="869"/>
      <c r="BG37" s="869"/>
      <c r="BH37" s="868"/>
      <c r="BI37" s="868"/>
      <c r="BJ37" s="868"/>
      <c r="BK37" s="869"/>
      <c r="BL37" s="869"/>
    </row>
    <row r="38" spans="1:64" s="2373" customFormat="1" x14ac:dyDescent="0.25">
      <c r="A38" s="2368"/>
      <c r="B38" s="870"/>
      <c r="C38" s="870"/>
      <c r="D38" s="2375"/>
      <c r="E38" s="868"/>
      <c r="F38" s="2376"/>
      <c r="G38" s="2376"/>
      <c r="H38" s="869"/>
      <c r="I38" s="868"/>
      <c r="J38" s="868"/>
      <c r="K38" s="2376"/>
      <c r="L38" s="868"/>
      <c r="M38" s="2376"/>
      <c r="N38" s="868"/>
      <c r="O38" s="868"/>
      <c r="P38" s="2376"/>
      <c r="Q38" s="868"/>
      <c r="R38" s="869"/>
      <c r="S38" s="868"/>
      <c r="T38" s="868"/>
      <c r="U38" s="2376"/>
      <c r="V38" s="868"/>
      <c r="W38" s="869"/>
      <c r="X38" s="868"/>
      <c r="Y38" s="868"/>
      <c r="Z38" s="868"/>
      <c r="AA38" s="868"/>
      <c r="AB38" s="869"/>
      <c r="AC38" s="868"/>
      <c r="AD38" s="868"/>
      <c r="AE38" s="868"/>
      <c r="AF38" s="868"/>
      <c r="AG38" s="869"/>
      <c r="AH38" s="868"/>
      <c r="AI38" s="868"/>
      <c r="AJ38" s="868"/>
      <c r="AK38" s="868"/>
      <c r="AL38" s="869"/>
      <c r="AM38" s="868"/>
      <c r="AN38" s="868"/>
      <c r="AO38" s="868"/>
      <c r="AP38" s="868"/>
      <c r="AQ38" s="869"/>
      <c r="AR38" s="869"/>
      <c r="AS38" s="868"/>
      <c r="AT38" s="868"/>
      <c r="AU38" s="868"/>
      <c r="AV38" s="869"/>
      <c r="AW38" s="869"/>
      <c r="AX38" s="868"/>
      <c r="AY38" s="868"/>
      <c r="AZ38" s="868"/>
      <c r="BA38" s="869"/>
      <c r="BB38" s="869"/>
      <c r="BC38" s="868"/>
      <c r="BD38" s="868"/>
      <c r="BE38" s="868"/>
      <c r="BF38" s="869"/>
      <c r="BG38" s="869"/>
      <c r="BH38" s="868"/>
      <c r="BI38" s="868"/>
      <c r="BJ38" s="868"/>
      <c r="BK38" s="869"/>
      <c r="BL38" s="869"/>
    </row>
    <row r="39" spans="1:64" s="2373" customFormat="1" x14ac:dyDescent="0.25">
      <c r="A39" s="2368"/>
      <c r="B39" s="870"/>
      <c r="C39" s="870"/>
      <c r="D39" s="2375"/>
      <c r="E39" s="868"/>
      <c r="F39" s="2376"/>
      <c r="G39" s="2376"/>
      <c r="H39" s="869"/>
      <c r="I39" s="868"/>
      <c r="J39" s="868"/>
      <c r="K39" s="2376"/>
      <c r="L39" s="868"/>
      <c r="M39" s="2376"/>
      <c r="N39" s="868"/>
      <c r="O39" s="868"/>
      <c r="P39" s="2376"/>
      <c r="Q39" s="868"/>
      <c r="R39" s="869"/>
      <c r="S39" s="868"/>
      <c r="T39" s="868"/>
      <c r="U39" s="2376"/>
      <c r="V39" s="868"/>
      <c r="W39" s="869"/>
      <c r="X39" s="868"/>
      <c r="Y39" s="868"/>
      <c r="Z39" s="868"/>
      <c r="AA39" s="868"/>
      <c r="AB39" s="869"/>
      <c r="AC39" s="868"/>
      <c r="AD39" s="868"/>
      <c r="AE39" s="868"/>
      <c r="AF39" s="868"/>
      <c r="AG39" s="869"/>
      <c r="AH39" s="868"/>
      <c r="AI39" s="868"/>
      <c r="AJ39" s="868"/>
      <c r="AK39" s="868"/>
      <c r="AL39" s="869"/>
      <c r="AM39" s="868"/>
      <c r="AN39" s="868"/>
      <c r="AO39" s="868"/>
      <c r="AP39" s="868"/>
      <c r="AQ39" s="869"/>
      <c r="AR39" s="869"/>
      <c r="AS39" s="868"/>
      <c r="AT39" s="868"/>
      <c r="AU39" s="868"/>
      <c r="AV39" s="869"/>
      <c r="AW39" s="869"/>
      <c r="AX39" s="868"/>
      <c r="AY39" s="868"/>
      <c r="AZ39" s="868"/>
      <c r="BA39" s="869"/>
      <c r="BB39" s="869"/>
      <c r="BC39" s="868"/>
      <c r="BD39" s="868"/>
      <c r="BE39" s="868"/>
      <c r="BF39" s="869"/>
      <c r="BG39" s="869"/>
      <c r="BH39" s="868"/>
      <c r="BI39" s="868"/>
      <c r="BJ39" s="868"/>
      <c r="BK39" s="869"/>
      <c r="BL39" s="869"/>
    </row>
    <row r="40" spans="1:64" s="2373" customFormat="1" x14ac:dyDescent="0.25">
      <c r="A40" s="2368"/>
      <c r="B40" s="870"/>
      <c r="C40" s="870"/>
      <c r="D40" s="2375"/>
      <c r="E40" s="868"/>
      <c r="F40" s="2376"/>
      <c r="G40" s="2376"/>
      <c r="H40" s="869"/>
      <c r="I40" s="868"/>
      <c r="J40" s="868"/>
      <c r="K40" s="2376"/>
      <c r="L40" s="868"/>
      <c r="M40" s="2376"/>
      <c r="N40" s="868"/>
      <c r="O40" s="868"/>
      <c r="P40" s="2376"/>
      <c r="Q40" s="868"/>
      <c r="R40" s="869"/>
      <c r="S40" s="868"/>
      <c r="T40" s="868"/>
      <c r="U40" s="2376"/>
      <c r="V40" s="868"/>
      <c r="W40" s="869"/>
      <c r="X40" s="868"/>
      <c r="Y40" s="868"/>
      <c r="Z40" s="868"/>
      <c r="AA40" s="868"/>
      <c r="AB40" s="869"/>
      <c r="AC40" s="868"/>
      <c r="AD40" s="868"/>
      <c r="AE40" s="868"/>
      <c r="AF40" s="868"/>
      <c r="AG40" s="869"/>
      <c r="AH40" s="868"/>
      <c r="AI40" s="868"/>
      <c r="AJ40" s="868"/>
      <c r="AK40" s="868"/>
      <c r="AL40" s="869"/>
      <c r="AM40" s="868"/>
      <c r="AN40" s="868"/>
      <c r="AO40" s="868"/>
      <c r="AP40" s="868"/>
      <c r="AQ40" s="869"/>
      <c r="AR40" s="869"/>
      <c r="AS40" s="868"/>
      <c r="AT40" s="868"/>
      <c r="AU40" s="868"/>
      <c r="AV40" s="869"/>
      <c r="AW40" s="869"/>
      <c r="AX40" s="868"/>
      <c r="AY40" s="868"/>
      <c r="AZ40" s="868"/>
      <c r="BA40" s="869"/>
      <c r="BB40" s="869"/>
      <c r="BC40" s="868"/>
      <c r="BD40" s="868"/>
      <c r="BE40" s="868"/>
      <c r="BF40" s="869"/>
      <c r="BG40" s="869"/>
      <c r="BH40" s="868"/>
      <c r="BI40" s="868"/>
      <c r="BJ40" s="868"/>
      <c r="BK40" s="869"/>
      <c r="BL40" s="869"/>
    </row>
    <row r="41" spans="1:64" s="2373" customFormat="1" x14ac:dyDescent="0.25">
      <c r="A41" s="2368"/>
      <c r="B41" s="870"/>
      <c r="C41" s="870"/>
      <c r="D41" s="2375"/>
      <c r="E41" s="868"/>
      <c r="F41" s="2376"/>
      <c r="G41" s="2376"/>
      <c r="H41" s="869"/>
      <c r="I41" s="868"/>
      <c r="J41" s="868"/>
      <c r="K41" s="2376"/>
      <c r="L41" s="868"/>
      <c r="M41" s="2376"/>
      <c r="N41" s="868"/>
      <c r="O41" s="868"/>
      <c r="P41" s="2376"/>
      <c r="Q41" s="868"/>
      <c r="R41" s="869"/>
      <c r="S41" s="868"/>
      <c r="T41" s="868"/>
      <c r="U41" s="2376"/>
      <c r="V41" s="868"/>
      <c r="W41" s="869"/>
      <c r="X41" s="868"/>
      <c r="Y41" s="868"/>
      <c r="Z41" s="868"/>
      <c r="AA41" s="868"/>
      <c r="AB41" s="869"/>
      <c r="AC41" s="868"/>
      <c r="AD41" s="868"/>
      <c r="AE41" s="868"/>
      <c r="AF41" s="868"/>
      <c r="AG41" s="869"/>
      <c r="AH41" s="868"/>
      <c r="AI41" s="868"/>
      <c r="AJ41" s="868"/>
      <c r="AK41" s="868"/>
      <c r="AL41" s="869"/>
      <c r="AM41" s="868"/>
      <c r="AN41" s="868"/>
      <c r="AO41" s="868"/>
      <c r="AP41" s="868"/>
      <c r="AQ41" s="869"/>
      <c r="AR41" s="869"/>
      <c r="AS41" s="868"/>
      <c r="AT41" s="868"/>
      <c r="AU41" s="868"/>
      <c r="AV41" s="869"/>
      <c r="AW41" s="869"/>
      <c r="AX41" s="868"/>
      <c r="AY41" s="868"/>
      <c r="AZ41" s="868"/>
      <c r="BA41" s="869"/>
      <c r="BB41" s="869"/>
      <c r="BC41" s="868"/>
      <c r="BD41" s="868"/>
      <c r="BE41" s="868"/>
      <c r="BF41" s="869"/>
      <c r="BG41" s="869"/>
      <c r="BH41" s="868"/>
      <c r="BI41" s="868"/>
      <c r="BJ41" s="868"/>
      <c r="BK41" s="869"/>
      <c r="BL41" s="869"/>
    </row>
    <row r="42" spans="1:64" s="2373" customFormat="1" x14ac:dyDescent="0.25">
      <c r="A42" s="2368"/>
      <c r="B42" s="870"/>
      <c r="C42" s="870"/>
      <c r="D42" s="2375"/>
      <c r="E42" s="868"/>
      <c r="F42" s="2376"/>
      <c r="G42" s="2376"/>
      <c r="H42" s="869"/>
      <c r="I42" s="868"/>
      <c r="J42" s="868"/>
      <c r="K42" s="2376"/>
      <c r="L42" s="868"/>
      <c r="M42" s="2376"/>
      <c r="N42" s="868"/>
      <c r="O42" s="868"/>
      <c r="P42" s="2376"/>
      <c r="Q42" s="868"/>
      <c r="R42" s="869"/>
      <c r="S42" s="868"/>
      <c r="T42" s="868"/>
      <c r="U42" s="2376"/>
      <c r="V42" s="868"/>
      <c r="W42" s="869"/>
      <c r="X42" s="868"/>
      <c r="Y42" s="868"/>
      <c r="Z42" s="868"/>
      <c r="AA42" s="868"/>
      <c r="AB42" s="869"/>
      <c r="AC42" s="868"/>
      <c r="AD42" s="868"/>
      <c r="AE42" s="868"/>
      <c r="AF42" s="868"/>
      <c r="AG42" s="869"/>
      <c r="AH42" s="868"/>
      <c r="AI42" s="868"/>
      <c r="AJ42" s="868"/>
      <c r="AK42" s="868"/>
      <c r="AL42" s="869"/>
      <c r="AM42" s="868"/>
      <c r="AN42" s="868"/>
      <c r="AO42" s="868"/>
      <c r="AP42" s="868"/>
      <c r="AQ42" s="869"/>
      <c r="AR42" s="869"/>
      <c r="AS42" s="868"/>
      <c r="AT42" s="868"/>
      <c r="AU42" s="868"/>
      <c r="AV42" s="869"/>
      <c r="AW42" s="869"/>
      <c r="AX42" s="868"/>
      <c r="AY42" s="868"/>
      <c r="AZ42" s="868"/>
      <c r="BA42" s="869"/>
      <c r="BB42" s="869"/>
      <c r="BC42" s="868"/>
      <c r="BD42" s="868"/>
      <c r="BE42" s="868"/>
      <c r="BF42" s="869"/>
      <c r="BG42" s="869"/>
      <c r="BH42" s="868"/>
      <c r="BI42" s="868"/>
      <c r="BJ42" s="868"/>
      <c r="BK42" s="869"/>
      <c r="BL42" s="869"/>
    </row>
    <row r="43" spans="1:64" s="2373" customFormat="1" x14ac:dyDescent="0.25">
      <c r="A43" s="2368"/>
      <c r="B43" s="870"/>
      <c r="C43" s="870"/>
      <c r="D43" s="2375"/>
      <c r="E43" s="868"/>
      <c r="F43" s="2376"/>
      <c r="G43" s="2376"/>
      <c r="H43" s="869"/>
      <c r="I43" s="868"/>
      <c r="J43" s="868"/>
      <c r="K43" s="2376"/>
      <c r="L43" s="868"/>
      <c r="M43" s="2376"/>
      <c r="N43" s="868"/>
      <c r="O43" s="868"/>
      <c r="P43" s="2376"/>
      <c r="Q43" s="868"/>
      <c r="R43" s="869"/>
      <c r="S43" s="868"/>
      <c r="T43" s="868"/>
      <c r="U43" s="2376"/>
      <c r="V43" s="868"/>
      <c r="W43" s="869"/>
      <c r="X43" s="868"/>
      <c r="Y43" s="868"/>
      <c r="Z43" s="868"/>
      <c r="AA43" s="868"/>
      <c r="AB43" s="869"/>
      <c r="AC43" s="868"/>
      <c r="AD43" s="868"/>
      <c r="AE43" s="868"/>
      <c r="AF43" s="868"/>
      <c r="AG43" s="869"/>
      <c r="AH43" s="868"/>
      <c r="AI43" s="868"/>
      <c r="AJ43" s="868"/>
      <c r="AK43" s="868"/>
      <c r="AL43" s="869"/>
      <c r="AM43" s="868"/>
      <c r="AN43" s="868"/>
      <c r="AO43" s="868"/>
      <c r="AP43" s="868"/>
      <c r="AQ43" s="869"/>
      <c r="AR43" s="869"/>
      <c r="AS43" s="868"/>
      <c r="AT43" s="868"/>
      <c r="AU43" s="868"/>
      <c r="AV43" s="869"/>
      <c r="AW43" s="869"/>
      <c r="AX43" s="868"/>
      <c r="AY43" s="868"/>
      <c r="AZ43" s="868"/>
      <c r="BA43" s="869"/>
      <c r="BB43" s="869"/>
      <c r="BC43" s="868"/>
      <c r="BD43" s="868"/>
      <c r="BE43" s="868"/>
      <c r="BF43" s="869"/>
      <c r="BG43" s="869"/>
      <c r="BH43" s="868"/>
      <c r="BI43" s="868"/>
      <c r="BJ43" s="868"/>
      <c r="BK43" s="869"/>
      <c r="BL43" s="869"/>
    </row>
    <row r="44" spans="1:64" s="2373" customFormat="1" x14ac:dyDescent="0.25">
      <c r="A44" s="2368"/>
      <c r="B44" s="870"/>
      <c r="C44" s="870"/>
      <c r="D44" s="2375"/>
      <c r="E44" s="868"/>
      <c r="F44" s="2376"/>
      <c r="G44" s="2376"/>
      <c r="H44" s="869"/>
      <c r="I44" s="868"/>
      <c r="J44" s="868"/>
      <c r="K44" s="2376"/>
      <c r="L44" s="868"/>
      <c r="M44" s="2376"/>
      <c r="N44" s="868"/>
      <c r="O44" s="868"/>
      <c r="P44" s="2376"/>
      <c r="Q44" s="868"/>
      <c r="R44" s="869"/>
      <c r="S44" s="868"/>
      <c r="T44" s="868"/>
      <c r="U44" s="2376"/>
      <c r="V44" s="868"/>
      <c r="W44" s="869"/>
      <c r="X44" s="868"/>
      <c r="Y44" s="868"/>
      <c r="Z44" s="868"/>
      <c r="AA44" s="868"/>
      <c r="AB44" s="869"/>
      <c r="AC44" s="868"/>
      <c r="AD44" s="868"/>
      <c r="AE44" s="868"/>
      <c r="AF44" s="868"/>
      <c r="AG44" s="869"/>
      <c r="AH44" s="868"/>
      <c r="AI44" s="868"/>
      <c r="AJ44" s="868"/>
      <c r="AK44" s="868"/>
      <c r="AL44" s="869"/>
      <c r="AM44" s="868"/>
      <c r="AN44" s="868"/>
      <c r="AO44" s="868"/>
      <c r="AP44" s="868"/>
      <c r="AQ44" s="869"/>
      <c r="AR44" s="869"/>
      <c r="AS44" s="868"/>
      <c r="AT44" s="868"/>
      <c r="AU44" s="868"/>
      <c r="AV44" s="869"/>
      <c r="AW44" s="869"/>
      <c r="AX44" s="868"/>
      <c r="AY44" s="868"/>
      <c r="AZ44" s="868"/>
      <c r="BA44" s="869"/>
      <c r="BB44" s="869"/>
      <c r="BC44" s="868"/>
      <c r="BD44" s="868"/>
      <c r="BE44" s="868"/>
      <c r="BF44" s="869"/>
      <c r="BG44" s="869"/>
      <c r="BH44" s="868"/>
      <c r="BI44" s="868"/>
      <c r="BJ44" s="868"/>
      <c r="BK44" s="869"/>
      <c r="BL44" s="869"/>
    </row>
    <row r="45" spans="1:64" s="2373" customFormat="1" x14ac:dyDescent="0.25">
      <c r="A45" s="2368"/>
      <c r="B45" s="870"/>
      <c r="C45" s="870"/>
      <c r="D45" s="2375"/>
      <c r="E45" s="868"/>
      <c r="F45" s="2376"/>
      <c r="G45" s="2376"/>
      <c r="H45" s="869"/>
      <c r="I45" s="868"/>
      <c r="J45" s="868"/>
      <c r="K45" s="2376"/>
      <c r="L45" s="868"/>
      <c r="M45" s="2376"/>
      <c r="N45" s="868"/>
      <c r="O45" s="868"/>
      <c r="P45" s="2376"/>
      <c r="Q45" s="868"/>
      <c r="R45" s="869"/>
      <c r="S45" s="868"/>
      <c r="T45" s="868"/>
      <c r="U45" s="2376"/>
      <c r="V45" s="868"/>
      <c r="W45" s="869"/>
      <c r="X45" s="868"/>
      <c r="Y45" s="868"/>
      <c r="Z45" s="868"/>
      <c r="AA45" s="868"/>
      <c r="AB45" s="869"/>
      <c r="AC45" s="868"/>
      <c r="AD45" s="868"/>
      <c r="AE45" s="868"/>
      <c r="AF45" s="868"/>
      <c r="AG45" s="869"/>
      <c r="AH45" s="868"/>
      <c r="AI45" s="868"/>
      <c r="AJ45" s="868"/>
      <c r="AK45" s="868"/>
      <c r="AL45" s="869"/>
      <c r="AM45" s="868"/>
      <c r="AN45" s="868"/>
      <c r="AO45" s="868"/>
      <c r="AP45" s="868"/>
      <c r="AQ45" s="869"/>
      <c r="AR45" s="869"/>
      <c r="AS45" s="868"/>
      <c r="AT45" s="868"/>
      <c r="AU45" s="868"/>
      <c r="AV45" s="869"/>
      <c r="AW45" s="869"/>
      <c r="AX45" s="868"/>
      <c r="AY45" s="868"/>
      <c r="AZ45" s="868"/>
      <c r="BA45" s="869"/>
      <c r="BB45" s="869"/>
      <c r="BC45" s="868"/>
      <c r="BD45" s="868"/>
      <c r="BE45" s="868"/>
      <c r="BF45" s="869"/>
      <c r="BG45" s="869"/>
      <c r="BH45" s="868"/>
      <c r="BI45" s="868"/>
      <c r="BJ45" s="868"/>
      <c r="BK45" s="869"/>
      <c r="BL45" s="869"/>
    </row>
    <row r="46" spans="1:64" s="2373" customFormat="1" x14ac:dyDescent="0.25">
      <c r="A46" s="2368"/>
      <c r="B46" s="870"/>
      <c r="C46" s="870"/>
      <c r="D46" s="2375"/>
      <c r="E46" s="868"/>
      <c r="F46" s="2376"/>
      <c r="G46" s="2376"/>
      <c r="H46" s="869"/>
      <c r="I46" s="868"/>
      <c r="J46" s="868"/>
      <c r="K46" s="2376"/>
      <c r="L46" s="868"/>
      <c r="M46" s="2376"/>
      <c r="N46" s="868"/>
      <c r="O46" s="868"/>
      <c r="P46" s="2376"/>
      <c r="Q46" s="868"/>
      <c r="R46" s="869"/>
      <c r="S46" s="868"/>
      <c r="T46" s="868"/>
      <c r="U46" s="2376"/>
      <c r="V46" s="868"/>
      <c r="W46" s="869"/>
      <c r="X46" s="868"/>
      <c r="Y46" s="868"/>
      <c r="Z46" s="868"/>
      <c r="AA46" s="868"/>
      <c r="AB46" s="869"/>
      <c r="AC46" s="868"/>
      <c r="AD46" s="868"/>
      <c r="AE46" s="868"/>
      <c r="AF46" s="868"/>
      <c r="AG46" s="869"/>
      <c r="AH46" s="868"/>
      <c r="AI46" s="868"/>
      <c r="AJ46" s="868"/>
      <c r="AK46" s="868"/>
      <c r="AL46" s="869"/>
      <c r="AM46" s="868"/>
      <c r="AN46" s="868"/>
      <c r="AO46" s="868"/>
      <c r="AP46" s="868"/>
      <c r="AQ46" s="869"/>
      <c r="AR46" s="869"/>
      <c r="AS46" s="868"/>
      <c r="AT46" s="868"/>
      <c r="AU46" s="868"/>
      <c r="AV46" s="869"/>
      <c r="AW46" s="869"/>
      <c r="AX46" s="868"/>
      <c r="AY46" s="868"/>
      <c r="AZ46" s="868"/>
      <c r="BA46" s="869"/>
      <c r="BB46" s="869"/>
      <c r="BC46" s="868"/>
      <c r="BD46" s="868"/>
      <c r="BE46" s="868"/>
      <c r="BF46" s="869"/>
      <c r="BG46" s="869"/>
      <c r="BH46" s="868"/>
      <c r="BI46" s="868"/>
      <c r="BJ46" s="868"/>
      <c r="BK46" s="869"/>
      <c r="BL46" s="869"/>
    </row>
    <row r="47" spans="1:64" s="2373" customFormat="1" x14ac:dyDescent="0.25">
      <c r="A47" s="2368"/>
      <c r="B47" s="870"/>
      <c r="C47" s="870"/>
      <c r="D47" s="2375"/>
      <c r="E47" s="868"/>
      <c r="F47" s="2376"/>
      <c r="G47" s="2376"/>
      <c r="H47" s="869"/>
      <c r="I47" s="868"/>
      <c r="J47" s="868"/>
      <c r="K47" s="2376"/>
      <c r="L47" s="868"/>
      <c r="M47" s="2376"/>
      <c r="N47" s="868"/>
      <c r="O47" s="868"/>
      <c r="P47" s="2376"/>
      <c r="Q47" s="868"/>
      <c r="R47" s="869"/>
      <c r="S47" s="868"/>
      <c r="T47" s="868"/>
      <c r="U47" s="2376"/>
      <c r="V47" s="868"/>
      <c r="W47" s="869"/>
      <c r="X47" s="868"/>
      <c r="Y47" s="868"/>
      <c r="Z47" s="868"/>
      <c r="AA47" s="868"/>
      <c r="AB47" s="869"/>
      <c r="AC47" s="868"/>
      <c r="AD47" s="868"/>
      <c r="AE47" s="868"/>
      <c r="AF47" s="868"/>
      <c r="AG47" s="869"/>
      <c r="AH47" s="868"/>
      <c r="AI47" s="868"/>
      <c r="AJ47" s="868"/>
      <c r="AK47" s="868"/>
      <c r="AL47" s="869"/>
      <c r="AM47" s="868"/>
      <c r="AN47" s="868"/>
      <c r="AO47" s="868"/>
      <c r="AP47" s="868"/>
      <c r="AQ47" s="869"/>
      <c r="AR47" s="869"/>
      <c r="AS47" s="868"/>
      <c r="AT47" s="868"/>
      <c r="AU47" s="868"/>
      <c r="AV47" s="869"/>
      <c r="AW47" s="869"/>
      <c r="AX47" s="868"/>
      <c r="AY47" s="868"/>
      <c r="AZ47" s="868"/>
      <c r="BA47" s="869"/>
      <c r="BB47" s="869"/>
      <c r="BC47" s="868"/>
      <c r="BD47" s="868"/>
      <c r="BE47" s="868"/>
      <c r="BF47" s="869"/>
      <c r="BG47" s="869"/>
      <c r="BH47" s="868"/>
      <c r="BI47" s="868"/>
      <c r="BJ47" s="868"/>
      <c r="BK47" s="869"/>
      <c r="BL47" s="869"/>
    </row>
    <row r="48" spans="1:64" s="2373" customFormat="1" x14ac:dyDescent="0.25">
      <c r="A48" s="2368"/>
      <c r="B48" s="870"/>
      <c r="C48" s="870"/>
      <c r="D48" s="2375"/>
      <c r="E48" s="868"/>
      <c r="F48" s="2376"/>
      <c r="G48" s="2376"/>
      <c r="H48" s="869"/>
      <c r="I48" s="868"/>
      <c r="J48" s="868"/>
      <c r="K48" s="2376"/>
      <c r="L48" s="868"/>
      <c r="M48" s="2376"/>
      <c r="N48" s="868"/>
      <c r="O48" s="868"/>
      <c r="P48" s="2376"/>
      <c r="Q48" s="868"/>
      <c r="R48" s="869"/>
      <c r="S48" s="868"/>
      <c r="T48" s="868"/>
      <c r="U48" s="2376"/>
      <c r="V48" s="868"/>
      <c r="W48" s="869"/>
      <c r="X48" s="868"/>
      <c r="Y48" s="868"/>
      <c r="Z48" s="868"/>
      <c r="AA48" s="868"/>
      <c r="AB48" s="869"/>
      <c r="AC48" s="868"/>
      <c r="AD48" s="868"/>
      <c r="AE48" s="868"/>
      <c r="AF48" s="868"/>
      <c r="AG48" s="869"/>
      <c r="AH48" s="868"/>
      <c r="AI48" s="868"/>
      <c r="AJ48" s="868"/>
      <c r="AK48" s="868"/>
      <c r="AL48" s="869"/>
      <c r="AM48" s="868"/>
      <c r="AN48" s="868"/>
      <c r="AO48" s="868"/>
      <c r="AP48" s="868"/>
      <c r="AQ48" s="869"/>
      <c r="AR48" s="869"/>
      <c r="AS48" s="868"/>
      <c r="AT48" s="868"/>
      <c r="AU48" s="868"/>
      <c r="AV48" s="869"/>
      <c r="AW48" s="869"/>
      <c r="AX48" s="868"/>
      <c r="AY48" s="868"/>
      <c r="AZ48" s="868"/>
      <c r="BA48" s="869"/>
      <c r="BB48" s="869"/>
      <c r="BC48" s="868"/>
      <c r="BD48" s="868"/>
      <c r="BE48" s="868"/>
      <c r="BF48" s="869"/>
      <c r="BG48" s="869"/>
      <c r="BH48" s="868"/>
      <c r="BI48" s="868"/>
      <c r="BJ48" s="868"/>
      <c r="BK48" s="869"/>
      <c r="BL48" s="869"/>
    </row>
    <row r="49" spans="1:74" s="2373" customFormat="1" x14ac:dyDescent="0.25">
      <c r="A49" s="2368"/>
      <c r="B49" s="870"/>
      <c r="C49" s="870"/>
      <c r="D49" s="2375"/>
      <c r="E49" s="868"/>
      <c r="F49" s="2376"/>
      <c r="G49" s="2376"/>
      <c r="H49" s="869"/>
      <c r="I49" s="868"/>
      <c r="J49" s="868"/>
      <c r="K49" s="2376"/>
      <c r="L49" s="868"/>
      <c r="M49" s="2376"/>
      <c r="N49" s="868"/>
      <c r="O49" s="868"/>
      <c r="P49" s="2376"/>
      <c r="Q49" s="868"/>
      <c r="R49" s="869"/>
      <c r="S49" s="868"/>
      <c r="T49" s="868"/>
      <c r="U49" s="2376"/>
      <c r="V49" s="868"/>
      <c r="W49" s="869"/>
      <c r="X49" s="868"/>
      <c r="Y49" s="868"/>
      <c r="Z49" s="868"/>
      <c r="AA49" s="868"/>
      <c r="AB49" s="869"/>
      <c r="AC49" s="868"/>
      <c r="AD49" s="868"/>
      <c r="AE49" s="868"/>
      <c r="AF49" s="868"/>
      <c r="AG49" s="869"/>
      <c r="AH49" s="868"/>
      <c r="AI49" s="868"/>
      <c r="AJ49" s="868"/>
      <c r="AK49" s="868"/>
      <c r="AL49" s="869"/>
      <c r="AM49" s="868"/>
      <c r="AN49" s="868"/>
      <c r="AO49" s="868"/>
      <c r="AP49" s="868"/>
      <c r="AQ49" s="869"/>
      <c r="AR49" s="869"/>
      <c r="AS49" s="868"/>
      <c r="AT49" s="868"/>
      <c r="AU49" s="868"/>
      <c r="AV49" s="869"/>
      <c r="AW49" s="869"/>
      <c r="AX49" s="868"/>
      <c r="AY49" s="868"/>
      <c r="AZ49" s="868"/>
      <c r="BA49" s="869"/>
      <c r="BB49" s="869"/>
      <c r="BC49" s="868"/>
      <c r="BD49" s="868"/>
      <c r="BE49" s="868"/>
      <c r="BF49" s="869"/>
      <c r="BG49" s="869"/>
      <c r="BH49" s="868"/>
      <c r="BI49" s="868"/>
      <c r="BJ49" s="868"/>
      <c r="BK49" s="869"/>
      <c r="BL49" s="869"/>
    </row>
    <row r="50" spans="1:74" s="2373" customFormat="1" x14ac:dyDescent="0.25">
      <c r="A50" s="2368"/>
      <c r="B50" s="870"/>
      <c r="C50" s="870"/>
      <c r="D50" s="2375"/>
      <c r="E50" s="868"/>
      <c r="F50" s="2376"/>
      <c r="G50" s="2376"/>
      <c r="H50" s="869"/>
      <c r="I50" s="868"/>
      <c r="J50" s="868"/>
      <c r="K50" s="2376"/>
      <c r="L50" s="868"/>
      <c r="M50" s="2376"/>
      <c r="N50" s="868"/>
      <c r="O50" s="868"/>
      <c r="P50" s="2376"/>
      <c r="Q50" s="868"/>
      <c r="R50" s="869"/>
      <c r="S50" s="868"/>
      <c r="T50" s="868"/>
      <c r="U50" s="2376"/>
      <c r="V50" s="868"/>
      <c r="W50" s="869"/>
      <c r="X50" s="868"/>
      <c r="Y50" s="868"/>
      <c r="Z50" s="868"/>
      <c r="AA50" s="868"/>
      <c r="AB50" s="869"/>
      <c r="AC50" s="868"/>
      <c r="AD50" s="868"/>
      <c r="AE50" s="868"/>
      <c r="AF50" s="868"/>
      <c r="AG50" s="869"/>
      <c r="AH50" s="868"/>
      <c r="AI50" s="868"/>
      <c r="AJ50" s="868"/>
      <c r="AK50" s="868"/>
      <c r="AL50" s="869"/>
      <c r="AM50" s="868"/>
      <c r="AN50" s="868"/>
      <c r="AO50" s="868"/>
      <c r="AP50" s="868"/>
      <c r="AQ50" s="869"/>
      <c r="AR50" s="869"/>
      <c r="AS50" s="868"/>
      <c r="AT50" s="868"/>
      <c r="AU50" s="868"/>
      <c r="AV50" s="869"/>
      <c r="AW50" s="869"/>
      <c r="AX50" s="868"/>
      <c r="AY50" s="868"/>
      <c r="AZ50" s="868"/>
      <c r="BA50" s="869"/>
      <c r="BB50" s="869"/>
      <c r="BC50" s="868"/>
      <c r="BD50" s="868"/>
      <c r="BE50" s="868"/>
      <c r="BF50" s="869"/>
      <c r="BG50" s="869"/>
      <c r="BH50" s="868"/>
      <c r="BI50" s="868"/>
      <c r="BJ50" s="868"/>
      <c r="BK50" s="869"/>
      <c r="BL50" s="869"/>
    </row>
    <row r="51" spans="1:74" s="2373" customFormat="1" x14ac:dyDescent="0.25">
      <c r="A51" s="2368"/>
      <c r="B51" s="870"/>
      <c r="C51" s="870"/>
      <c r="D51" s="2375"/>
      <c r="E51" s="868"/>
      <c r="F51" s="2376"/>
      <c r="G51" s="2376"/>
      <c r="H51" s="869"/>
      <c r="I51" s="868"/>
      <c r="J51" s="868"/>
      <c r="K51" s="2376"/>
      <c r="L51" s="868"/>
      <c r="M51" s="2376"/>
      <c r="N51" s="868"/>
      <c r="O51" s="868"/>
      <c r="P51" s="2376"/>
      <c r="Q51" s="868"/>
      <c r="R51" s="869"/>
      <c r="S51" s="868"/>
      <c r="T51" s="868"/>
      <c r="U51" s="2376"/>
      <c r="V51" s="868"/>
      <c r="W51" s="869"/>
      <c r="X51" s="868"/>
      <c r="Y51" s="868"/>
      <c r="Z51" s="868"/>
      <c r="AA51" s="868"/>
      <c r="AB51" s="869"/>
      <c r="AC51" s="868"/>
      <c r="AD51" s="868"/>
      <c r="AE51" s="868"/>
      <c r="AF51" s="868"/>
      <c r="AG51" s="869"/>
      <c r="AH51" s="868"/>
      <c r="AI51" s="868"/>
      <c r="AJ51" s="868"/>
      <c r="AK51" s="868"/>
      <c r="AL51" s="869"/>
      <c r="AM51" s="868"/>
      <c r="AN51" s="868"/>
      <c r="AO51" s="868"/>
      <c r="AP51" s="868"/>
      <c r="AQ51" s="869"/>
      <c r="AR51" s="869"/>
      <c r="AS51" s="868"/>
      <c r="AT51" s="868"/>
      <c r="AU51" s="868"/>
      <c r="AV51" s="869"/>
      <c r="AW51" s="869"/>
      <c r="AX51" s="868"/>
      <c r="AY51" s="868"/>
      <c r="AZ51" s="868"/>
      <c r="BA51" s="869"/>
      <c r="BB51" s="869"/>
      <c r="BC51" s="868"/>
      <c r="BD51" s="868"/>
      <c r="BE51" s="868"/>
      <c r="BF51" s="869"/>
      <c r="BG51" s="869"/>
      <c r="BH51" s="868"/>
      <c r="BI51" s="868"/>
      <c r="BJ51" s="868"/>
      <c r="BK51" s="869"/>
      <c r="BL51" s="869"/>
    </row>
    <row r="52" spans="1:74" s="2373" customFormat="1" x14ac:dyDescent="0.25">
      <c r="A52" s="2368"/>
      <c r="B52" s="870"/>
      <c r="C52" s="870"/>
      <c r="D52" s="2375"/>
      <c r="E52" s="868"/>
      <c r="F52" s="2376"/>
      <c r="G52" s="2376"/>
      <c r="H52" s="869"/>
      <c r="I52" s="868"/>
      <c r="J52" s="868"/>
      <c r="K52" s="2376"/>
      <c r="L52" s="868"/>
      <c r="M52" s="2376"/>
      <c r="N52" s="868"/>
      <c r="O52" s="868"/>
      <c r="P52" s="2376"/>
      <c r="Q52" s="868"/>
      <c r="R52" s="869"/>
      <c r="S52" s="868"/>
      <c r="T52" s="868"/>
      <c r="U52" s="2376"/>
      <c r="V52" s="868"/>
      <c r="W52" s="869"/>
      <c r="X52" s="868"/>
      <c r="Y52" s="868"/>
      <c r="Z52" s="868"/>
      <c r="AA52" s="868"/>
      <c r="AB52" s="869"/>
      <c r="AC52" s="868"/>
      <c r="AD52" s="868"/>
      <c r="AE52" s="868"/>
      <c r="AF52" s="868"/>
      <c r="AG52" s="869"/>
      <c r="AH52" s="868"/>
      <c r="AI52" s="868"/>
      <c r="AJ52" s="868"/>
      <c r="AK52" s="868"/>
      <c r="AL52" s="869"/>
      <c r="AM52" s="868"/>
      <c r="AN52" s="868"/>
      <c r="AO52" s="868"/>
      <c r="AP52" s="868"/>
      <c r="AQ52" s="869"/>
      <c r="AR52" s="869"/>
      <c r="AS52" s="868"/>
      <c r="AT52" s="868"/>
      <c r="AU52" s="868"/>
      <c r="AV52" s="869"/>
      <c r="AW52" s="869"/>
      <c r="AX52" s="868"/>
      <c r="AY52" s="868"/>
      <c r="AZ52" s="868"/>
      <c r="BA52" s="869"/>
      <c r="BB52" s="869"/>
      <c r="BC52" s="868"/>
      <c r="BD52" s="868"/>
      <c r="BE52" s="868"/>
      <c r="BF52" s="869"/>
      <c r="BG52" s="869"/>
      <c r="BH52" s="868"/>
      <c r="BI52" s="868"/>
      <c r="BJ52" s="868"/>
      <c r="BK52" s="869"/>
      <c r="BL52" s="869"/>
    </row>
    <row r="53" spans="1:74" x14ac:dyDescent="0.2">
      <c r="B53" s="867"/>
      <c r="C53" s="867"/>
      <c r="D53" s="877"/>
      <c r="E53" s="2377"/>
      <c r="F53" s="877"/>
      <c r="G53" s="877"/>
      <c r="H53" s="877"/>
      <c r="I53" s="877"/>
      <c r="J53" s="2367"/>
      <c r="K53" s="2367"/>
      <c r="L53" s="2367"/>
      <c r="M53" s="2367"/>
      <c r="N53" s="2367"/>
      <c r="O53" s="2367"/>
      <c r="P53" s="2367"/>
      <c r="Q53" s="887"/>
      <c r="R53" s="887"/>
      <c r="S53" s="959"/>
      <c r="T53" s="959"/>
      <c r="U53" s="959"/>
      <c r="V53" s="959"/>
      <c r="W53" s="959"/>
      <c r="X53" s="959"/>
      <c r="Y53" s="959"/>
      <c r="Z53" s="959"/>
      <c r="AA53" s="959"/>
      <c r="AB53" s="959"/>
      <c r="AC53" s="959"/>
      <c r="AD53" s="959"/>
      <c r="AE53" s="959"/>
      <c r="AF53" s="959"/>
    </row>
    <row r="54" spans="1:74" ht="15" customHeight="1" x14ac:dyDescent="0.2">
      <c r="A54" s="637">
        <v>5</v>
      </c>
      <c r="B54" s="453" t="s">
        <v>78</v>
      </c>
      <c r="C54" s="453"/>
      <c r="D54" s="3553" t="s">
        <v>698</v>
      </c>
      <c r="E54" s="3554"/>
      <c r="F54" s="3554"/>
      <c r="G54" s="3554"/>
      <c r="H54" s="3554"/>
      <c r="I54" s="3554"/>
      <c r="J54" s="3554"/>
      <c r="K54" s="3554"/>
      <c r="L54" s="3554"/>
      <c r="M54" s="3554"/>
      <c r="N54" s="3554"/>
      <c r="O54" s="3554"/>
      <c r="P54" s="3554"/>
      <c r="Q54" s="3554"/>
      <c r="R54" s="3554"/>
      <c r="S54" s="3554"/>
      <c r="T54" s="3554"/>
      <c r="U54" s="3554"/>
      <c r="V54" s="3554"/>
      <c r="W54" s="3554"/>
      <c r="X54" s="3554"/>
      <c r="Y54" s="3554"/>
      <c r="Z54" s="3554"/>
      <c r="AA54" s="3554"/>
      <c r="AB54" s="3554"/>
      <c r="AC54" s="3554"/>
      <c r="AD54" s="3554"/>
      <c r="AE54" s="3554"/>
      <c r="AF54" s="3554"/>
      <c r="AG54" s="3554"/>
      <c r="AH54" s="3554"/>
      <c r="AI54" s="3554"/>
      <c r="AJ54" s="3554"/>
      <c r="AK54" s="3554"/>
      <c r="AL54" s="3554"/>
      <c r="AM54" s="3554"/>
      <c r="AN54" s="3554"/>
      <c r="AO54" s="3554"/>
      <c r="AP54" s="3554"/>
      <c r="AQ54" s="3554"/>
      <c r="AR54" s="3554"/>
      <c r="AS54" s="3554"/>
      <c r="AT54" s="3554"/>
      <c r="AU54" s="3554"/>
      <c r="AV54" s="3554"/>
      <c r="AW54" s="3554"/>
      <c r="AX54" s="3554"/>
      <c r="AY54" s="3554"/>
      <c r="AZ54" s="3554"/>
      <c r="BA54" s="3554"/>
      <c r="BB54" s="3554"/>
      <c r="BC54" s="3554"/>
      <c r="BD54" s="3554"/>
      <c r="BE54" s="3554"/>
      <c r="BF54" s="3554"/>
      <c r="BG54" s="3554"/>
      <c r="BH54" s="3554"/>
      <c r="BI54" s="3554"/>
      <c r="BJ54" s="3554"/>
      <c r="BK54" s="3554"/>
      <c r="BL54" s="3554"/>
      <c r="BM54" s="3554"/>
      <c r="BN54" s="3554"/>
      <c r="BO54" s="3554"/>
      <c r="BP54" s="3554"/>
      <c r="BQ54" s="3554"/>
      <c r="BR54" s="3554"/>
      <c r="BS54" s="3554"/>
      <c r="BT54" s="3554"/>
      <c r="BU54" s="3554"/>
      <c r="BV54" s="3555"/>
    </row>
    <row r="55" spans="1:74" ht="49.15" customHeight="1" x14ac:dyDescent="0.2">
      <c r="A55" s="2378">
        <v>6</v>
      </c>
      <c r="B55" s="472" t="s">
        <v>80</v>
      </c>
      <c r="C55" s="472"/>
      <c r="D55" s="3553" t="s">
        <v>697</v>
      </c>
      <c r="E55" s="3554"/>
      <c r="F55" s="3554"/>
      <c r="G55" s="3554"/>
      <c r="H55" s="3554"/>
      <c r="I55" s="3554"/>
      <c r="J55" s="3554"/>
      <c r="K55" s="3554"/>
      <c r="L55" s="3554"/>
      <c r="M55" s="3554"/>
      <c r="N55" s="3554"/>
      <c r="O55" s="3554"/>
      <c r="P55" s="3554"/>
      <c r="Q55" s="3554"/>
      <c r="R55" s="3554"/>
      <c r="S55" s="3554"/>
      <c r="T55" s="3554"/>
      <c r="U55" s="3554"/>
      <c r="V55" s="3554"/>
      <c r="W55" s="3554"/>
      <c r="X55" s="3554"/>
      <c r="Y55" s="3554"/>
      <c r="Z55" s="3554"/>
      <c r="AA55" s="3554"/>
      <c r="AB55" s="3554"/>
      <c r="AC55" s="3554"/>
      <c r="AD55" s="3554"/>
      <c r="AE55" s="3554"/>
      <c r="AF55" s="3554"/>
      <c r="AG55" s="3554"/>
      <c r="AH55" s="3554"/>
      <c r="AI55" s="3554"/>
      <c r="AJ55" s="3554"/>
      <c r="AK55" s="3554"/>
      <c r="AL55" s="3554"/>
      <c r="AM55" s="3554"/>
      <c r="AN55" s="3554"/>
      <c r="AO55" s="3554"/>
      <c r="AP55" s="3554"/>
      <c r="AQ55" s="3554"/>
      <c r="AR55" s="3554"/>
      <c r="AS55" s="3554"/>
      <c r="AT55" s="3554"/>
      <c r="AU55" s="3554"/>
      <c r="AV55" s="3554"/>
      <c r="AW55" s="3554"/>
      <c r="AX55" s="3554"/>
      <c r="AY55" s="3554"/>
      <c r="AZ55" s="3554"/>
      <c r="BA55" s="3554"/>
      <c r="BB55" s="3554"/>
      <c r="BC55" s="3554"/>
      <c r="BD55" s="3554"/>
      <c r="BE55" s="3554"/>
      <c r="BF55" s="3554"/>
      <c r="BG55" s="3554"/>
      <c r="BH55" s="3554"/>
      <c r="BI55" s="3554"/>
      <c r="BJ55" s="3554"/>
      <c r="BK55" s="3554"/>
      <c r="BL55" s="3554"/>
      <c r="BM55" s="3554"/>
      <c r="BN55" s="3554"/>
      <c r="BO55" s="3554"/>
      <c r="BP55" s="3554"/>
      <c r="BQ55" s="3554"/>
      <c r="BR55" s="3554"/>
      <c r="BS55" s="3554"/>
      <c r="BT55" s="3554"/>
      <c r="BU55" s="3554"/>
      <c r="BV55" s="3555"/>
    </row>
    <row r="56" spans="1:74" ht="15" customHeight="1" x14ac:dyDescent="0.2">
      <c r="A56" s="637">
        <v>7</v>
      </c>
      <c r="B56" s="453" t="s">
        <v>20</v>
      </c>
      <c r="C56" s="453"/>
      <c r="D56" s="3553" t="s">
        <v>696</v>
      </c>
      <c r="E56" s="3554"/>
      <c r="F56" s="3554"/>
      <c r="G56" s="3554"/>
      <c r="H56" s="3554"/>
      <c r="I56" s="3554"/>
      <c r="J56" s="3554"/>
      <c r="K56" s="3554"/>
      <c r="L56" s="3554"/>
      <c r="M56" s="3554"/>
      <c r="N56" s="3554"/>
      <c r="O56" s="3554"/>
      <c r="P56" s="3554"/>
      <c r="Q56" s="3554"/>
      <c r="R56" s="3554"/>
      <c r="S56" s="3554"/>
      <c r="T56" s="3554"/>
      <c r="U56" s="3554"/>
      <c r="V56" s="3554"/>
      <c r="W56" s="3554"/>
      <c r="X56" s="3554"/>
      <c r="Y56" s="3554"/>
      <c r="Z56" s="3554"/>
      <c r="AA56" s="3554"/>
      <c r="AB56" s="3554"/>
      <c r="AC56" s="3554"/>
      <c r="AD56" s="3554"/>
      <c r="AE56" s="3554"/>
      <c r="AF56" s="3554"/>
      <c r="AG56" s="3554"/>
      <c r="AH56" s="3554"/>
      <c r="AI56" s="3554"/>
      <c r="AJ56" s="3554"/>
      <c r="AK56" s="3554"/>
      <c r="AL56" s="3554"/>
      <c r="AM56" s="3554"/>
      <c r="AN56" s="3554"/>
      <c r="AO56" s="3554"/>
      <c r="AP56" s="3554"/>
      <c r="AQ56" s="3554"/>
      <c r="AR56" s="3554"/>
      <c r="AS56" s="3554"/>
      <c r="AT56" s="3554"/>
      <c r="AU56" s="3554"/>
      <c r="AV56" s="3554"/>
      <c r="AW56" s="3554"/>
      <c r="AX56" s="3554"/>
      <c r="AY56" s="3554"/>
      <c r="AZ56" s="3554"/>
      <c r="BA56" s="3554"/>
      <c r="BB56" s="3554"/>
      <c r="BC56" s="3554"/>
      <c r="BD56" s="3554"/>
      <c r="BE56" s="3554"/>
      <c r="BF56" s="3554"/>
      <c r="BG56" s="3554"/>
      <c r="BH56" s="3554"/>
      <c r="BI56" s="3554"/>
      <c r="BJ56" s="3554"/>
      <c r="BK56" s="3554"/>
      <c r="BL56" s="3554"/>
      <c r="BM56" s="3554"/>
      <c r="BN56" s="3554"/>
      <c r="BO56" s="3554"/>
      <c r="BP56" s="3554"/>
      <c r="BQ56" s="3554"/>
      <c r="BR56" s="3554"/>
      <c r="BS56" s="3554"/>
      <c r="BT56" s="3554"/>
      <c r="BU56" s="3554"/>
      <c r="BV56" s="3555"/>
    </row>
    <row r="57" spans="1:74" ht="14.25" customHeight="1" x14ac:dyDescent="0.2">
      <c r="A57" s="2330">
        <v>9</v>
      </c>
      <c r="B57" s="835" t="s">
        <v>157</v>
      </c>
      <c r="D57" s="3553" t="s">
        <v>695</v>
      </c>
      <c r="E57" s="3554"/>
      <c r="F57" s="3554"/>
      <c r="G57" s="3554"/>
      <c r="H57" s="3554"/>
      <c r="I57" s="3554"/>
      <c r="J57" s="3554"/>
      <c r="K57" s="3554"/>
      <c r="L57" s="3554"/>
      <c r="M57" s="3554"/>
      <c r="N57" s="3554"/>
      <c r="O57" s="3554"/>
      <c r="P57" s="3554"/>
      <c r="Q57" s="3554"/>
      <c r="R57" s="3554"/>
      <c r="S57" s="3554"/>
      <c r="T57" s="3554"/>
      <c r="U57" s="3554"/>
      <c r="V57" s="3554"/>
      <c r="W57" s="3554"/>
      <c r="X57" s="3554"/>
      <c r="Y57" s="3554"/>
      <c r="Z57" s="3554"/>
      <c r="AA57" s="3554"/>
      <c r="AB57" s="3554"/>
      <c r="AC57" s="3554"/>
      <c r="AD57" s="3554"/>
      <c r="AE57" s="3554"/>
      <c r="AF57" s="3554"/>
      <c r="AG57" s="3554"/>
      <c r="AH57" s="3554"/>
      <c r="AI57" s="3554"/>
      <c r="AJ57" s="3554"/>
      <c r="AK57" s="3554"/>
      <c r="AL57" s="3554"/>
      <c r="AM57" s="3554"/>
      <c r="AN57" s="3554"/>
      <c r="AO57" s="3554"/>
      <c r="AP57" s="3554"/>
      <c r="AQ57" s="3554"/>
      <c r="AR57" s="3554"/>
      <c r="AS57" s="3554"/>
      <c r="AT57" s="3554"/>
      <c r="AU57" s="3554"/>
      <c r="AV57" s="3554"/>
      <c r="AW57" s="3554"/>
      <c r="AX57" s="3554"/>
      <c r="AY57" s="3554"/>
      <c r="AZ57" s="3554"/>
      <c r="BA57" s="3554"/>
      <c r="BB57" s="3554"/>
      <c r="BC57" s="3554"/>
      <c r="BD57" s="3554"/>
      <c r="BE57" s="3554"/>
      <c r="BF57" s="3554"/>
      <c r="BG57" s="3554"/>
      <c r="BH57" s="3554"/>
      <c r="BI57" s="3554"/>
      <c r="BJ57" s="3554"/>
      <c r="BK57" s="3554"/>
      <c r="BL57" s="3554"/>
      <c r="BM57" s="3554"/>
      <c r="BN57" s="3554"/>
      <c r="BO57" s="3554"/>
      <c r="BP57" s="3554"/>
      <c r="BQ57" s="3554"/>
      <c r="BR57" s="3554"/>
      <c r="BS57" s="3554"/>
      <c r="BT57" s="3554"/>
      <c r="BU57" s="3554"/>
      <c r="BV57" s="3555"/>
    </row>
    <row r="58" spans="1:74" ht="15" customHeight="1" x14ac:dyDescent="0.2"/>
  </sheetData>
  <mergeCells count="29">
    <mergeCell ref="D2:BV2"/>
    <mergeCell ref="D3:BV3"/>
    <mergeCell ref="D4:BV4"/>
    <mergeCell ref="D5:BV5"/>
    <mergeCell ref="D54:BV54"/>
    <mergeCell ref="AS21:AW21"/>
    <mergeCell ref="O21:S21"/>
    <mergeCell ref="T21:X21"/>
    <mergeCell ref="Y21:AC21"/>
    <mergeCell ref="E21:I21"/>
    <mergeCell ref="AN21:AR21"/>
    <mergeCell ref="J21:N21"/>
    <mergeCell ref="D18:E18"/>
    <mergeCell ref="D55:BV55"/>
    <mergeCell ref="D56:BV56"/>
    <mergeCell ref="D57:BV57"/>
    <mergeCell ref="D6:P6"/>
    <mergeCell ref="D9:E9"/>
    <mergeCell ref="BM21:BQ21"/>
    <mergeCell ref="AD21:AH21"/>
    <mergeCell ref="AI21:AM21"/>
    <mergeCell ref="BR21:BV21"/>
    <mergeCell ref="D10:E11"/>
    <mergeCell ref="BH21:BL21"/>
    <mergeCell ref="D12:E13"/>
    <mergeCell ref="D14:E15"/>
    <mergeCell ref="AX21:BB21"/>
    <mergeCell ref="BC21:BG21"/>
    <mergeCell ref="D16:E17"/>
  </mergeCells>
  <pageMargins left="0.74803149606299213" right="0.74803149606299213" top="0.98425196850393704" bottom="0.98425196850393704" header="0.51181102362204722" footer="0.51181102362204722"/>
  <pageSetup paperSize="9" scale="18"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Y54"/>
  <sheetViews>
    <sheetView showGridLines="0" view="pageBreakPreview" zoomScaleNormal="100" zoomScaleSheetLayoutView="100" workbookViewId="0">
      <selection activeCell="E17" sqref="E17"/>
    </sheetView>
  </sheetViews>
  <sheetFormatPr defaultColWidth="9.140625" defaultRowHeight="15" x14ac:dyDescent="0.2"/>
  <cols>
    <col min="1" max="1" width="3.7109375" style="2126" customWidth="1"/>
    <col min="2" max="2" width="14.42578125" style="866" customWidth="1"/>
    <col min="3" max="3" width="3.7109375" style="866" customWidth="1"/>
    <col min="4" max="4" width="25.85546875" style="865" customWidth="1"/>
    <col min="5" max="26" width="8.7109375" style="865" customWidth="1"/>
    <col min="27" max="40" width="9.140625" style="865"/>
    <col min="41" max="178" width="9.140625" style="959"/>
    <col min="179" max="16384" width="9.140625" style="865"/>
  </cols>
  <sheetData>
    <row r="1" spans="1:181" x14ac:dyDescent="0.25">
      <c r="A1" s="1170"/>
      <c r="B1" s="886"/>
      <c r="C1" s="886"/>
      <c r="D1" s="885"/>
      <c r="E1" s="885"/>
      <c r="F1" s="885"/>
      <c r="G1" s="885"/>
      <c r="H1" s="885"/>
      <c r="I1" s="885"/>
      <c r="J1" s="885"/>
      <c r="K1" s="885"/>
      <c r="L1" s="885"/>
      <c r="M1" s="885"/>
      <c r="N1" s="885"/>
      <c r="O1" s="885"/>
      <c r="P1" s="885"/>
      <c r="Q1" s="885"/>
      <c r="R1" s="885"/>
      <c r="S1" s="885"/>
      <c r="T1" s="884"/>
      <c r="U1" s="2331"/>
      <c r="V1" s="885"/>
    </row>
    <row r="2" spans="1:181" ht="15" customHeight="1" x14ac:dyDescent="0.2">
      <c r="A2" s="453">
        <v>1</v>
      </c>
      <c r="B2" s="453" t="s">
        <v>24</v>
      </c>
      <c r="C2" s="453">
        <f>1+Water!C2</f>
        <v>30</v>
      </c>
      <c r="D2" s="3556" t="s">
        <v>725</v>
      </c>
      <c r="E2" s="3557"/>
      <c r="F2" s="3557"/>
      <c r="G2" s="3557"/>
      <c r="H2" s="3557"/>
      <c r="I2" s="3557"/>
      <c r="J2" s="3557"/>
      <c r="K2" s="3557"/>
      <c r="L2" s="3557"/>
      <c r="M2" s="3557"/>
      <c r="N2" s="3557"/>
      <c r="O2" s="3557"/>
      <c r="P2" s="3557"/>
      <c r="Q2" s="3557"/>
      <c r="R2" s="3557"/>
      <c r="S2" s="3557"/>
      <c r="T2" s="3557"/>
      <c r="U2" s="3557"/>
      <c r="V2" s="3557"/>
      <c r="W2" s="3557"/>
      <c r="X2" s="3557"/>
      <c r="Y2" s="3557"/>
      <c r="Z2" s="3557"/>
      <c r="AA2" s="3557"/>
      <c r="AB2" s="3557"/>
      <c r="AC2" s="3557"/>
      <c r="AD2" s="3557"/>
      <c r="AE2" s="3557"/>
      <c r="AF2" s="3557"/>
      <c r="AG2" s="3557"/>
      <c r="AH2" s="3557"/>
      <c r="AI2" s="3557"/>
      <c r="AJ2" s="3557"/>
      <c r="AK2" s="3557"/>
      <c r="AL2" s="3557"/>
      <c r="AM2" s="3557"/>
      <c r="AN2" s="3557"/>
      <c r="AO2" s="3557"/>
      <c r="AP2" s="3557"/>
      <c r="AQ2" s="3557"/>
      <c r="AR2" s="3557"/>
      <c r="AS2" s="3557"/>
      <c r="AT2" s="3558"/>
    </row>
    <row r="3" spans="1:181" ht="15" customHeight="1" x14ac:dyDescent="0.2">
      <c r="A3" s="453">
        <v>2</v>
      </c>
      <c r="B3" s="453" t="s">
        <v>26</v>
      </c>
      <c r="C3" s="453"/>
      <c r="D3" s="3556" t="s">
        <v>713</v>
      </c>
      <c r="E3" s="3557"/>
      <c r="F3" s="3557"/>
      <c r="G3" s="3557"/>
      <c r="H3" s="3557"/>
      <c r="I3" s="3557"/>
      <c r="J3" s="3557"/>
      <c r="K3" s="3557"/>
      <c r="L3" s="3557"/>
      <c r="M3" s="3557"/>
      <c r="N3" s="3557"/>
      <c r="O3" s="3557"/>
      <c r="P3" s="3557"/>
      <c r="Q3" s="3557"/>
      <c r="R3" s="3557"/>
      <c r="S3" s="3557"/>
      <c r="T3" s="3557"/>
      <c r="U3" s="3557"/>
      <c r="V3" s="3557"/>
      <c r="W3" s="3557"/>
      <c r="X3" s="3557"/>
      <c r="Y3" s="3557"/>
      <c r="Z3" s="3557"/>
      <c r="AA3" s="3557"/>
      <c r="AB3" s="3557"/>
      <c r="AC3" s="3557"/>
      <c r="AD3" s="3557"/>
      <c r="AE3" s="3557"/>
      <c r="AF3" s="3557"/>
      <c r="AG3" s="3557"/>
      <c r="AH3" s="3557"/>
      <c r="AI3" s="3557"/>
      <c r="AJ3" s="3557"/>
      <c r="AK3" s="3557"/>
      <c r="AL3" s="3557"/>
      <c r="AM3" s="3557"/>
      <c r="AN3" s="3557"/>
      <c r="AO3" s="3557"/>
      <c r="AP3" s="3557"/>
      <c r="AQ3" s="3557"/>
      <c r="AR3" s="3557"/>
      <c r="AS3" s="3557"/>
      <c r="AT3" s="3558"/>
    </row>
    <row r="4" spans="1:181" ht="14.25" customHeight="1" x14ac:dyDescent="0.2">
      <c r="A4" s="453">
        <v>3</v>
      </c>
      <c r="B4" s="453" t="s">
        <v>28</v>
      </c>
      <c r="C4" s="453"/>
      <c r="D4" s="3556" t="s">
        <v>724</v>
      </c>
      <c r="E4" s="3557"/>
      <c r="F4" s="3557"/>
      <c r="G4" s="3557"/>
      <c r="H4" s="3557"/>
      <c r="I4" s="3557"/>
      <c r="J4" s="3557"/>
      <c r="K4" s="3557"/>
      <c r="L4" s="3557"/>
      <c r="M4" s="3557"/>
      <c r="N4" s="3557"/>
      <c r="O4" s="3557"/>
      <c r="P4" s="3557"/>
      <c r="Q4" s="3557"/>
      <c r="R4" s="3557"/>
      <c r="S4" s="3557"/>
      <c r="T4" s="3557"/>
      <c r="U4" s="3557"/>
      <c r="V4" s="3557"/>
      <c r="W4" s="3557"/>
      <c r="X4" s="3557"/>
      <c r="Y4" s="3557"/>
      <c r="Z4" s="3557"/>
      <c r="AA4" s="3557"/>
      <c r="AB4" s="3557"/>
      <c r="AC4" s="3557"/>
      <c r="AD4" s="3557"/>
      <c r="AE4" s="3557"/>
      <c r="AF4" s="3557"/>
      <c r="AG4" s="3557"/>
      <c r="AH4" s="3557"/>
      <c r="AI4" s="3557"/>
      <c r="AJ4" s="3557"/>
      <c r="AK4" s="3557"/>
      <c r="AL4" s="3557"/>
      <c r="AM4" s="3557"/>
      <c r="AN4" s="3557"/>
      <c r="AO4" s="3557"/>
      <c r="AP4" s="3557"/>
      <c r="AQ4" s="3557"/>
      <c r="AR4" s="3557"/>
      <c r="AS4" s="3557"/>
      <c r="AT4" s="3558"/>
    </row>
    <row r="5" spans="1:181" ht="14.25" customHeight="1" x14ac:dyDescent="0.2">
      <c r="A5" s="453"/>
      <c r="B5" s="453"/>
      <c r="C5" s="453"/>
      <c r="D5" s="138"/>
      <c r="E5" s="138"/>
      <c r="F5" s="138"/>
      <c r="G5" s="138"/>
      <c r="H5" s="138"/>
      <c r="I5" s="138"/>
      <c r="J5" s="138"/>
      <c r="K5" s="138"/>
      <c r="L5" s="138"/>
      <c r="M5" s="138"/>
      <c r="N5" s="138"/>
      <c r="O5" s="138"/>
      <c r="P5" s="138"/>
      <c r="Q5" s="138"/>
      <c r="R5" s="138"/>
      <c r="S5" s="138"/>
      <c r="T5" s="138"/>
      <c r="U5" s="138"/>
      <c r="V5" s="138"/>
      <c r="W5" s="138"/>
      <c r="X5" s="138"/>
      <c r="Y5" s="138"/>
      <c r="Z5" s="138"/>
    </row>
    <row r="6" spans="1:181" ht="14.25" x14ac:dyDescent="0.2">
      <c r="A6" s="453">
        <v>4</v>
      </c>
      <c r="B6" s="650" t="s">
        <v>1</v>
      </c>
      <c r="C6" s="650"/>
      <c r="D6" s="179"/>
      <c r="E6" s="179"/>
      <c r="F6" s="179"/>
      <c r="G6" s="179"/>
      <c r="H6" s="179"/>
      <c r="I6" s="179"/>
      <c r="J6" s="179"/>
      <c r="K6" s="179"/>
      <c r="L6" s="179"/>
      <c r="M6" s="179"/>
      <c r="N6" s="179"/>
      <c r="O6" s="179"/>
      <c r="P6" s="179"/>
      <c r="Q6" s="179"/>
      <c r="R6" s="179"/>
      <c r="S6" s="179"/>
      <c r="T6" s="959"/>
      <c r="U6" s="959"/>
      <c r="V6" s="959"/>
    </row>
    <row r="7" spans="1:181" s="2335" customFormat="1" ht="12" x14ac:dyDescent="0.2">
      <c r="A7" s="2332"/>
      <c r="B7" s="2333"/>
      <c r="C7" s="2333"/>
      <c r="D7" s="120" t="s">
        <v>31</v>
      </c>
      <c r="E7" s="120" t="s">
        <v>723</v>
      </c>
      <c r="F7" s="120"/>
      <c r="G7" s="120"/>
      <c r="H7" s="120"/>
      <c r="I7" s="120"/>
      <c r="J7" s="120"/>
      <c r="K7" s="120"/>
      <c r="L7" s="120"/>
      <c r="M7" s="372"/>
      <c r="N7" s="372"/>
      <c r="O7" s="372"/>
      <c r="P7" s="372"/>
      <c r="Q7" s="372"/>
      <c r="R7" s="372"/>
      <c r="S7" s="372"/>
      <c r="T7" s="370"/>
      <c r="U7" s="370"/>
      <c r="V7" s="2334"/>
      <c r="AO7" s="2336"/>
      <c r="AP7" s="2336"/>
      <c r="AQ7" s="2336"/>
      <c r="AR7" s="2336"/>
      <c r="AS7" s="2336"/>
      <c r="AT7" s="2336"/>
      <c r="AU7" s="2336"/>
      <c r="AV7" s="2336"/>
      <c r="AW7" s="2336"/>
      <c r="AX7" s="2336"/>
      <c r="AY7" s="2336"/>
      <c r="AZ7" s="2336"/>
      <c r="BA7" s="2336"/>
      <c r="BB7" s="2336"/>
      <c r="BC7" s="2336"/>
      <c r="BD7" s="2336"/>
      <c r="BE7" s="2336"/>
      <c r="BF7" s="2336"/>
      <c r="BG7" s="2336"/>
      <c r="BH7" s="2336"/>
      <c r="BI7" s="2336"/>
      <c r="BJ7" s="2336"/>
      <c r="BK7" s="2336"/>
      <c r="BL7" s="2336"/>
      <c r="BM7" s="2336"/>
      <c r="BN7" s="2336"/>
      <c r="BO7" s="2336"/>
      <c r="BP7" s="2336"/>
      <c r="BQ7" s="2336"/>
      <c r="BR7" s="2336"/>
      <c r="BS7" s="2336"/>
      <c r="BT7" s="2336"/>
      <c r="BU7" s="2336"/>
      <c r="BV7" s="2336"/>
      <c r="BW7" s="2336"/>
      <c r="BX7" s="2336"/>
      <c r="BY7" s="2336"/>
      <c r="BZ7" s="2336"/>
      <c r="CA7" s="2336"/>
      <c r="CB7" s="2336"/>
      <c r="CC7" s="2336"/>
      <c r="CD7" s="2336"/>
      <c r="CE7" s="2336"/>
      <c r="CF7" s="2336"/>
      <c r="CG7" s="2336"/>
      <c r="CH7" s="2336"/>
      <c r="CI7" s="2336"/>
      <c r="CJ7" s="2336"/>
      <c r="CK7" s="2336"/>
      <c r="CL7" s="2336"/>
      <c r="CM7" s="2336"/>
      <c r="CN7" s="2336"/>
      <c r="CO7" s="2336"/>
      <c r="CP7" s="2336"/>
      <c r="CQ7" s="2336"/>
      <c r="CR7" s="2336"/>
      <c r="CS7" s="2336"/>
      <c r="CT7" s="2336"/>
      <c r="CU7" s="2336"/>
      <c r="CV7" s="2336"/>
      <c r="CW7" s="2336"/>
      <c r="CX7" s="2336"/>
      <c r="CY7" s="2336"/>
      <c r="CZ7" s="2336"/>
      <c r="DA7" s="2336"/>
      <c r="DB7" s="2336"/>
      <c r="DC7" s="2336"/>
      <c r="DD7" s="2336"/>
      <c r="DE7" s="2336"/>
      <c r="DF7" s="2336"/>
      <c r="DG7" s="2336"/>
      <c r="DH7" s="2336"/>
      <c r="DI7" s="2336"/>
      <c r="DJ7" s="2336"/>
      <c r="DK7" s="2336"/>
      <c r="DL7" s="2336"/>
      <c r="DM7" s="2336"/>
      <c r="DN7" s="2336"/>
      <c r="DO7" s="2336"/>
      <c r="DP7" s="2336"/>
      <c r="DQ7" s="2336"/>
      <c r="DR7" s="2336"/>
      <c r="DS7" s="2336"/>
      <c r="DT7" s="2336"/>
      <c r="DU7" s="2336"/>
      <c r="DV7" s="2336"/>
      <c r="DW7" s="2336"/>
      <c r="DX7" s="2336"/>
      <c r="DY7" s="2336"/>
      <c r="DZ7" s="2336"/>
      <c r="EA7" s="2336"/>
      <c r="EB7" s="2336"/>
      <c r="EC7" s="2336"/>
      <c r="ED7" s="2336"/>
      <c r="EE7" s="2336"/>
      <c r="EF7" s="2336"/>
      <c r="EG7" s="2336"/>
      <c r="EH7" s="2336"/>
      <c r="EI7" s="2336"/>
      <c r="EJ7" s="2336"/>
      <c r="EK7" s="2336"/>
      <c r="EL7" s="2336"/>
      <c r="EM7" s="2336"/>
      <c r="EN7" s="2336"/>
      <c r="EO7" s="2336"/>
      <c r="EP7" s="2336"/>
      <c r="EQ7" s="2336"/>
      <c r="ER7" s="2336"/>
      <c r="ES7" s="2336"/>
      <c r="ET7" s="2336"/>
      <c r="EU7" s="2336"/>
      <c r="EV7" s="2336"/>
      <c r="EW7" s="2336"/>
      <c r="EX7" s="2336"/>
      <c r="EY7" s="2336"/>
      <c r="EZ7" s="2336"/>
      <c r="FA7" s="2336"/>
      <c r="FB7" s="2336"/>
      <c r="FC7" s="2336"/>
      <c r="FD7" s="2336"/>
      <c r="FE7" s="2336"/>
      <c r="FF7" s="2336"/>
      <c r="FG7" s="2336"/>
      <c r="FH7" s="2336"/>
      <c r="FI7" s="2336"/>
      <c r="FJ7" s="2336"/>
      <c r="FK7" s="2336"/>
      <c r="FL7" s="2336"/>
      <c r="FM7" s="2336"/>
      <c r="FN7" s="2336"/>
      <c r="FO7" s="2336"/>
      <c r="FP7" s="2336"/>
      <c r="FQ7" s="2336"/>
      <c r="FR7" s="2336"/>
      <c r="FS7" s="2336"/>
      <c r="FT7" s="2336"/>
      <c r="FU7" s="2336"/>
      <c r="FV7" s="2336"/>
    </row>
    <row r="8" spans="1:181" s="2343" customFormat="1" ht="12" x14ac:dyDescent="0.2">
      <c r="A8" s="2337"/>
      <c r="B8" s="2338"/>
      <c r="C8" s="2339"/>
      <c r="D8" s="3285"/>
      <c r="E8" s="889"/>
      <c r="F8" s="2340">
        <v>2002</v>
      </c>
      <c r="G8" s="2340">
        <v>2003</v>
      </c>
      <c r="H8" s="2340">
        <v>2004</v>
      </c>
      <c r="I8" s="2341">
        <v>2005</v>
      </c>
      <c r="J8" s="2341" t="s">
        <v>45</v>
      </c>
      <c r="K8" s="2341" t="s">
        <v>46</v>
      </c>
      <c r="L8" s="2341" t="s">
        <v>47</v>
      </c>
      <c r="M8" s="2341" t="s">
        <v>48</v>
      </c>
      <c r="N8" s="2341" t="s">
        <v>49</v>
      </c>
      <c r="O8" s="2341" t="s">
        <v>50</v>
      </c>
      <c r="P8" s="2341" t="s">
        <v>51</v>
      </c>
      <c r="Q8" s="2341" t="s">
        <v>52</v>
      </c>
      <c r="R8" s="2341" t="s">
        <v>105</v>
      </c>
      <c r="S8" s="2341" t="s">
        <v>106</v>
      </c>
      <c r="T8" s="2342"/>
      <c r="U8" s="2342"/>
      <c r="AP8" s="2342"/>
      <c r="AQ8" s="2342"/>
      <c r="AR8" s="2342"/>
      <c r="AS8" s="2342"/>
      <c r="AT8" s="2342"/>
      <c r="AU8" s="2342"/>
      <c r="AV8" s="2342"/>
      <c r="AW8" s="2342"/>
      <c r="AX8" s="2342"/>
      <c r="AY8" s="2342"/>
      <c r="AZ8" s="2342"/>
      <c r="BA8" s="2342"/>
      <c r="BB8" s="2342"/>
      <c r="BC8" s="2342"/>
      <c r="BD8" s="2342"/>
      <c r="BE8" s="2342"/>
      <c r="BF8" s="2342"/>
      <c r="BG8" s="2342"/>
      <c r="BH8" s="2342"/>
      <c r="BI8" s="2342"/>
      <c r="BJ8" s="2342"/>
      <c r="BK8" s="2342"/>
      <c r="BL8" s="2342"/>
      <c r="BM8" s="2342"/>
      <c r="BN8" s="2342"/>
      <c r="BO8" s="2342"/>
      <c r="BP8" s="2342"/>
      <c r="BQ8" s="2342"/>
      <c r="BR8" s="2342"/>
      <c r="BS8" s="2342"/>
      <c r="BT8" s="2342"/>
      <c r="BU8" s="2342"/>
      <c r="BV8" s="2342"/>
      <c r="BW8" s="2342"/>
      <c r="BX8" s="2342"/>
      <c r="BY8" s="2342"/>
      <c r="BZ8" s="2342"/>
      <c r="CA8" s="2342"/>
      <c r="CB8" s="2342"/>
      <c r="CC8" s="2342"/>
      <c r="CD8" s="2342"/>
      <c r="CE8" s="2342"/>
      <c r="CF8" s="2342"/>
      <c r="CG8" s="2342"/>
      <c r="CH8" s="2342"/>
      <c r="CI8" s="2342"/>
      <c r="CJ8" s="2342"/>
      <c r="CK8" s="2342"/>
      <c r="CL8" s="2342"/>
      <c r="CM8" s="2342"/>
      <c r="CN8" s="2342"/>
      <c r="CO8" s="2342"/>
      <c r="CP8" s="2342"/>
      <c r="CQ8" s="2342"/>
      <c r="CR8" s="2342"/>
      <c r="CS8" s="2342"/>
      <c r="CT8" s="2342"/>
      <c r="CU8" s="2342"/>
      <c r="CV8" s="2342"/>
      <c r="CW8" s="2342"/>
      <c r="CX8" s="2342"/>
      <c r="CY8" s="2342"/>
      <c r="CZ8" s="2342"/>
      <c r="DA8" s="2342"/>
      <c r="DB8" s="2342"/>
      <c r="DC8" s="2342"/>
      <c r="DD8" s="2342"/>
      <c r="DE8" s="2342"/>
      <c r="DF8" s="2342"/>
      <c r="DG8" s="2342"/>
      <c r="DH8" s="2342"/>
      <c r="DI8" s="2342"/>
      <c r="DJ8" s="2342"/>
      <c r="DK8" s="2342"/>
      <c r="DL8" s="2342"/>
      <c r="DM8" s="2342"/>
      <c r="DN8" s="2342"/>
      <c r="DO8" s="2342"/>
      <c r="DP8" s="2342"/>
      <c r="DQ8" s="2342"/>
      <c r="DR8" s="2342"/>
      <c r="DS8" s="2342"/>
      <c r="DT8" s="2342"/>
      <c r="DU8" s="2342"/>
      <c r="DV8" s="2342"/>
      <c r="DW8" s="2342"/>
      <c r="DX8" s="2342"/>
      <c r="DY8" s="2342"/>
      <c r="DZ8" s="2342"/>
      <c r="EA8" s="2342"/>
      <c r="EB8" s="2342"/>
      <c r="EC8" s="2342"/>
      <c r="ED8" s="2342"/>
      <c r="EE8" s="2342"/>
      <c r="EF8" s="2342"/>
      <c r="EG8" s="2342"/>
      <c r="EH8" s="2342"/>
      <c r="EI8" s="2342"/>
      <c r="EJ8" s="2342"/>
      <c r="EK8" s="2342"/>
      <c r="EL8" s="2342"/>
      <c r="EM8" s="2342"/>
      <c r="EN8" s="2342"/>
      <c r="EO8" s="2342"/>
      <c r="EP8" s="2342"/>
      <c r="EQ8" s="2342"/>
      <c r="ER8" s="2342"/>
      <c r="ES8" s="2342"/>
      <c r="ET8" s="2342"/>
      <c r="EU8" s="2342"/>
      <c r="EV8" s="2342"/>
      <c r="EW8" s="2342"/>
      <c r="EX8" s="2342"/>
      <c r="EY8" s="2342"/>
      <c r="EZ8" s="2342"/>
      <c r="FA8" s="2342"/>
      <c r="FB8" s="2342"/>
      <c r="FC8" s="2342"/>
      <c r="FD8" s="2342"/>
      <c r="FE8" s="2342"/>
      <c r="FF8" s="2342"/>
      <c r="FG8" s="2342"/>
      <c r="FH8" s="2342"/>
      <c r="FI8" s="2342"/>
      <c r="FJ8" s="2342"/>
      <c r="FK8" s="2342"/>
      <c r="FL8" s="2342"/>
      <c r="FM8" s="2342"/>
      <c r="FN8" s="2342"/>
      <c r="FO8" s="2342"/>
      <c r="FP8" s="2342"/>
      <c r="FQ8" s="2342"/>
      <c r="FR8" s="2342"/>
      <c r="FS8" s="2342"/>
      <c r="FT8" s="2342"/>
      <c r="FU8" s="2342"/>
      <c r="FV8" s="2342"/>
      <c r="FW8" s="2342"/>
    </row>
    <row r="9" spans="1:181" s="2335" customFormat="1" ht="12" x14ac:dyDescent="0.2">
      <c r="A9" s="2344"/>
      <c r="B9" s="2333"/>
      <c r="C9" s="2315"/>
      <c r="D9" s="3286" t="s">
        <v>721</v>
      </c>
      <c r="E9" s="1192"/>
      <c r="F9" s="1608">
        <v>10814219</v>
      </c>
      <c r="G9" s="1608">
        <v>11113079</v>
      </c>
      <c r="H9" s="1608">
        <v>11425278</v>
      </c>
      <c r="I9" s="1608">
        <v>11753563</v>
      </c>
      <c r="J9" s="1608">
        <v>12106894</v>
      </c>
      <c r="K9" s="1608">
        <v>12485206</v>
      </c>
      <c r="L9" s="1608">
        <v>12885628</v>
      </c>
      <c r="M9" s="1608">
        <v>13302549</v>
      </c>
      <c r="N9" s="1608">
        <v>13730737</v>
      </c>
      <c r="O9" s="1608">
        <v>14173334</v>
      </c>
      <c r="P9" s="1608">
        <v>14631096</v>
      </c>
      <c r="Q9" s="1608">
        <v>15106552</v>
      </c>
      <c r="R9" s="1608">
        <v>15602251</v>
      </c>
      <c r="S9" s="1608">
        <f>AR28</f>
        <v>16121989.4</v>
      </c>
      <c r="AP9" s="2336"/>
      <c r="AQ9" s="2336"/>
      <c r="AR9" s="2336"/>
      <c r="AS9" s="2336"/>
      <c r="AT9" s="2336"/>
      <c r="AU9" s="2336"/>
      <c r="AV9" s="2336"/>
      <c r="AW9" s="2336"/>
      <c r="AX9" s="2336"/>
      <c r="AY9" s="2336"/>
      <c r="AZ9" s="2336"/>
      <c r="BA9" s="2336"/>
      <c r="BB9" s="2336"/>
      <c r="BC9" s="2336"/>
      <c r="BD9" s="2336"/>
      <c r="BE9" s="2336"/>
      <c r="BF9" s="2336"/>
      <c r="BG9" s="2336"/>
      <c r="BH9" s="2336"/>
      <c r="BI9" s="2336"/>
      <c r="BJ9" s="2336"/>
      <c r="BK9" s="2336"/>
      <c r="BL9" s="2336"/>
      <c r="BM9" s="2336"/>
      <c r="BN9" s="2336"/>
      <c r="BO9" s="2336"/>
      <c r="BP9" s="2336"/>
      <c r="BQ9" s="2336"/>
      <c r="BR9" s="2336"/>
      <c r="BS9" s="2336"/>
      <c r="BT9" s="2336"/>
      <c r="BU9" s="2336"/>
      <c r="BV9" s="2336"/>
      <c r="BW9" s="2336"/>
      <c r="BX9" s="2336"/>
      <c r="BY9" s="2336"/>
      <c r="BZ9" s="2336"/>
      <c r="CA9" s="2336"/>
      <c r="CB9" s="2336"/>
      <c r="CC9" s="2336"/>
      <c r="CD9" s="2336"/>
      <c r="CE9" s="2336"/>
      <c r="CF9" s="2336"/>
      <c r="CG9" s="2336"/>
      <c r="CH9" s="2336"/>
      <c r="CI9" s="2336"/>
      <c r="CJ9" s="2336"/>
      <c r="CK9" s="2336"/>
      <c r="CL9" s="2336"/>
      <c r="CM9" s="2336"/>
      <c r="CN9" s="2336"/>
      <c r="CO9" s="2336"/>
      <c r="CP9" s="2336"/>
      <c r="CQ9" s="2336"/>
      <c r="CR9" s="2336"/>
      <c r="CS9" s="2336"/>
      <c r="CT9" s="2336"/>
      <c r="CU9" s="2336"/>
      <c r="CV9" s="2336"/>
      <c r="CW9" s="2336"/>
      <c r="CX9" s="2336"/>
      <c r="CY9" s="2336"/>
      <c r="CZ9" s="2336"/>
      <c r="DA9" s="2336"/>
      <c r="DB9" s="2336"/>
      <c r="DC9" s="2336"/>
      <c r="DD9" s="2336"/>
      <c r="DE9" s="2336"/>
      <c r="DF9" s="2336"/>
      <c r="DG9" s="2336"/>
      <c r="DH9" s="2336"/>
      <c r="DI9" s="2336"/>
      <c r="DJ9" s="2336"/>
      <c r="DK9" s="2336"/>
      <c r="DL9" s="2336"/>
      <c r="DM9" s="2336"/>
      <c r="DN9" s="2336"/>
      <c r="DO9" s="2336"/>
      <c r="DP9" s="2336"/>
      <c r="DQ9" s="2336"/>
      <c r="DR9" s="2336"/>
      <c r="DS9" s="2336"/>
      <c r="DT9" s="2336"/>
      <c r="DU9" s="2336"/>
      <c r="DV9" s="2336"/>
      <c r="DW9" s="2336"/>
      <c r="DX9" s="2336"/>
      <c r="DY9" s="2336"/>
      <c r="DZ9" s="2336"/>
      <c r="EA9" s="2336"/>
      <c r="EB9" s="2336"/>
      <c r="EC9" s="2336"/>
      <c r="ED9" s="2336"/>
      <c r="EE9" s="2336"/>
      <c r="EF9" s="2336"/>
      <c r="EG9" s="2336"/>
      <c r="EH9" s="2336"/>
      <c r="EI9" s="2336"/>
      <c r="EJ9" s="2336"/>
      <c r="EK9" s="2336"/>
      <c r="EL9" s="2336"/>
      <c r="EM9" s="2336"/>
      <c r="EN9" s="2336"/>
      <c r="EO9" s="2336"/>
      <c r="EP9" s="2336"/>
      <c r="EQ9" s="2336"/>
      <c r="ER9" s="2336"/>
      <c r="ES9" s="2336"/>
      <c r="ET9" s="2336"/>
      <c r="EU9" s="2336"/>
      <c r="EV9" s="2336"/>
      <c r="EW9" s="2336"/>
      <c r="EX9" s="2336"/>
      <c r="EY9" s="2336"/>
      <c r="EZ9" s="2336"/>
      <c r="FA9" s="2336"/>
      <c r="FB9" s="2336"/>
      <c r="FC9" s="2336"/>
      <c r="FD9" s="2336"/>
      <c r="FE9" s="2336"/>
      <c r="FF9" s="2336"/>
      <c r="FG9" s="2336"/>
      <c r="FH9" s="2336"/>
      <c r="FI9" s="2336"/>
      <c r="FJ9" s="2336"/>
      <c r="FK9" s="2336"/>
      <c r="FL9" s="2336"/>
      <c r="FM9" s="2336"/>
      <c r="FN9" s="2336"/>
      <c r="FO9" s="2336"/>
      <c r="FP9" s="2336"/>
      <c r="FQ9" s="2336"/>
      <c r="FR9" s="2336"/>
      <c r="FS9" s="2336"/>
      <c r="FT9" s="2336"/>
      <c r="FU9" s="2336"/>
      <c r="FV9" s="2336"/>
      <c r="FW9" s="2336"/>
    </row>
    <row r="10" spans="1:181" s="2335" customFormat="1" ht="12" x14ac:dyDescent="0.2">
      <c r="A10" s="2344"/>
      <c r="B10" s="2333"/>
      <c r="C10" s="2315"/>
      <c r="D10" s="3771" t="s">
        <v>720</v>
      </c>
      <c r="E10" s="2334"/>
      <c r="F10" s="1608">
        <v>6735615</v>
      </c>
      <c r="G10" s="1608">
        <v>7151254</v>
      </c>
      <c r="H10" s="1608">
        <v>7577590</v>
      </c>
      <c r="I10" s="1608">
        <v>7860980</v>
      </c>
      <c r="J10" s="1608">
        <v>8277386</v>
      </c>
      <c r="K10" s="1608">
        <v>8729585</v>
      </c>
      <c r="L10" s="1608">
        <v>8984900</v>
      </c>
      <c r="M10" s="1608">
        <v>9634325</v>
      </c>
      <c r="N10" s="1608">
        <v>10014372</v>
      </c>
      <c r="O10" s="1608">
        <v>10598549</v>
      </c>
      <c r="P10" s="1608">
        <v>11041137</v>
      </c>
      <c r="Q10" s="1608">
        <v>11714054</v>
      </c>
      <c r="R10" s="1608">
        <v>12360793</v>
      </c>
      <c r="S10" s="1608">
        <f>AS28</f>
        <v>12881883</v>
      </c>
      <c r="AP10" s="2336"/>
      <c r="AQ10" s="2336"/>
      <c r="AR10" s="2336"/>
      <c r="AS10" s="2336"/>
      <c r="AT10" s="2336"/>
      <c r="AU10" s="2336"/>
      <c r="AV10" s="2336"/>
      <c r="AW10" s="2336"/>
      <c r="AX10" s="2336"/>
      <c r="AY10" s="2336"/>
      <c r="AZ10" s="2336"/>
      <c r="BA10" s="2336"/>
      <c r="BB10" s="2336"/>
      <c r="BC10" s="2336"/>
      <c r="BD10" s="2336"/>
      <c r="BE10" s="2336"/>
      <c r="BF10" s="2336"/>
      <c r="BG10" s="2336"/>
      <c r="BH10" s="2336"/>
      <c r="BI10" s="2336"/>
      <c r="BJ10" s="2336"/>
      <c r="BK10" s="2336"/>
      <c r="BL10" s="2336"/>
      <c r="BM10" s="2336"/>
      <c r="BN10" s="2336"/>
      <c r="BO10" s="2336"/>
      <c r="BP10" s="2336"/>
      <c r="BQ10" s="2336"/>
      <c r="BR10" s="2336"/>
      <c r="BS10" s="2336"/>
      <c r="BT10" s="2336"/>
      <c r="BU10" s="2336"/>
      <c r="BV10" s="2336"/>
      <c r="BW10" s="2336"/>
      <c r="BX10" s="2336"/>
      <c r="BY10" s="2336"/>
      <c r="BZ10" s="2336"/>
      <c r="CA10" s="2336"/>
      <c r="CB10" s="2336"/>
      <c r="CC10" s="2336"/>
      <c r="CD10" s="2336"/>
      <c r="CE10" s="2336"/>
      <c r="CF10" s="2336"/>
      <c r="CG10" s="2336"/>
      <c r="CH10" s="2336"/>
      <c r="CI10" s="2336"/>
      <c r="CJ10" s="2336"/>
      <c r="CK10" s="2336"/>
      <c r="CL10" s="2336"/>
      <c r="CM10" s="2336"/>
      <c r="CN10" s="2336"/>
      <c r="CO10" s="2336"/>
      <c r="CP10" s="2336"/>
      <c r="CQ10" s="2336"/>
      <c r="CR10" s="2336"/>
      <c r="CS10" s="2336"/>
      <c r="CT10" s="2336"/>
      <c r="CU10" s="2336"/>
      <c r="CV10" s="2336"/>
      <c r="CW10" s="2336"/>
      <c r="CX10" s="2336"/>
      <c r="CY10" s="2336"/>
      <c r="CZ10" s="2336"/>
      <c r="DA10" s="2336"/>
      <c r="DB10" s="2336"/>
      <c r="DC10" s="2336"/>
      <c r="DD10" s="2336"/>
      <c r="DE10" s="2336"/>
      <c r="DF10" s="2336"/>
      <c r="DG10" s="2336"/>
      <c r="DH10" s="2336"/>
      <c r="DI10" s="2336"/>
      <c r="DJ10" s="2336"/>
      <c r="DK10" s="2336"/>
      <c r="DL10" s="2336"/>
      <c r="DM10" s="2336"/>
      <c r="DN10" s="2336"/>
      <c r="DO10" s="2336"/>
      <c r="DP10" s="2336"/>
      <c r="DQ10" s="2336"/>
      <c r="DR10" s="2336"/>
      <c r="DS10" s="2336"/>
      <c r="DT10" s="2336"/>
      <c r="DU10" s="2336"/>
      <c r="DV10" s="2336"/>
      <c r="DW10" s="2336"/>
      <c r="DX10" s="2336"/>
      <c r="DY10" s="2336"/>
      <c r="DZ10" s="2336"/>
      <c r="EA10" s="2336"/>
      <c r="EB10" s="2336"/>
      <c r="EC10" s="2336"/>
      <c r="ED10" s="2336"/>
      <c r="EE10" s="2336"/>
      <c r="EF10" s="2336"/>
      <c r="EG10" s="2336"/>
      <c r="EH10" s="2336"/>
      <c r="EI10" s="2336"/>
      <c r="EJ10" s="2336"/>
      <c r="EK10" s="2336"/>
      <c r="EL10" s="2336"/>
      <c r="EM10" s="2336"/>
      <c r="EN10" s="2336"/>
      <c r="EO10" s="2336"/>
      <c r="EP10" s="2336"/>
      <c r="EQ10" s="2336"/>
      <c r="ER10" s="2336"/>
      <c r="ES10" s="2336"/>
      <c r="ET10" s="2336"/>
      <c r="EU10" s="2336"/>
      <c r="EV10" s="2336"/>
      <c r="EW10" s="2336"/>
      <c r="EX10" s="2336"/>
      <c r="EY10" s="2336"/>
      <c r="EZ10" s="2336"/>
      <c r="FA10" s="2336"/>
      <c r="FB10" s="2336"/>
      <c r="FC10" s="2336"/>
      <c r="FD10" s="2336"/>
      <c r="FE10" s="2336"/>
      <c r="FF10" s="2336"/>
      <c r="FG10" s="2336"/>
      <c r="FH10" s="2336"/>
      <c r="FI10" s="2336"/>
      <c r="FJ10" s="2336"/>
      <c r="FK10" s="2336"/>
      <c r="FL10" s="2336"/>
      <c r="FM10" s="2336"/>
      <c r="FN10" s="2336"/>
      <c r="FO10" s="2336"/>
      <c r="FP10" s="2336"/>
      <c r="FQ10" s="2336"/>
      <c r="FR10" s="2336"/>
      <c r="FS10" s="2336"/>
      <c r="FT10" s="2336"/>
      <c r="FU10" s="2336"/>
      <c r="FV10" s="2336"/>
      <c r="FW10" s="2336"/>
    </row>
    <row r="11" spans="1:181" s="2335" customFormat="1" ht="12" x14ac:dyDescent="0.2">
      <c r="A11" s="2344"/>
      <c r="B11" s="2333"/>
      <c r="C11" s="2315"/>
      <c r="D11" s="3775"/>
      <c r="E11" s="1192"/>
      <c r="F11" s="1609">
        <v>0.62344500078860676</v>
      </c>
      <c r="G11" s="1609">
        <v>0.64381137923878828</v>
      </c>
      <c r="H11" s="1609">
        <v>0.66364817982142887</v>
      </c>
      <c r="I11" s="1609">
        <v>0.66962046622944027</v>
      </c>
      <c r="J11" s="1609">
        <v>0.68461928150997953</v>
      </c>
      <c r="K11" s="1609">
        <v>0.70415637370459927</v>
      </c>
      <c r="L11" s="1609">
        <v>0.70100782406778184</v>
      </c>
      <c r="M11" s="1609">
        <v>0.72427163314511223</v>
      </c>
      <c r="N11" s="1609">
        <v>0.75386669792229133</v>
      </c>
      <c r="O11" s="1609">
        <v>0.76011649160795403</v>
      </c>
      <c r="P11" s="1609">
        <v>0.76922696958083325</v>
      </c>
      <c r="Q11" s="1609">
        <v>0.77857215018915882</v>
      </c>
      <c r="R11" s="1609">
        <v>0.79500000000000004</v>
      </c>
      <c r="S11" s="1609">
        <f>S10/S9</f>
        <v>0.79902564630144213</v>
      </c>
      <c r="AP11" s="2336"/>
      <c r="AQ11" s="2336"/>
      <c r="AR11" s="2336"/>
      <c r="AS11" s="2336"/>
      <c r="AT11" s="2336"/>
      <c r="AU11" s="2336"/>
      <c r="AV11" s="2336"/>
      <c r="AW11" s="2336"/>
      <c r="AX11" s="2336"/>
      <c r="AY11" s="2336"/>
      <c r="AZ11" s="2336"/>
      <c r="BA11" s="2336"/>
      <c r="BB11" s="2336"/>
      <c r="BC11" s="2336"/>
      <c r="BD11" s="2336"/>
      <c r="BE11" s="2336"/>
      <c r="BF11" s="2336"/>
      <c r="BG11" s="2336"/>
      <c r="BH11" s="2336"/>
      <c r="BI11" s="2336"/>
      <c r="BJ11" s="2336"/>
      <c r="BK11" s="2336"/>
      <c r="BL11" s="2336"/>
      <c r="BM11" s="2336"/>
      <c r="BN11" s="2336"/>
      <c r="BO11" s="2336"/>
      <c r="BP11" s="2336"/>
      <c r="BQ11" s="2336"/>
      <c r="BR11" s="2336"/>
      <c r="BS11" s="2336"/>
      <c r="BT11" s="2336"/>
      <c r="BU11" s="2336"/>
      <c r="BV11" s="2336"/>
      <c r="BW11" s="2336"/>
      <c r="BX11" s="2336"/>
      <c r="BY11" s="2336"/>
      <c r="BZ11" s="2336"/>
      <c r="CA11" s="2336"/>
      <c r="CB11" s="2336"/>
      <c r="CC11" s="2336"/>
      <c r="CD11" s="2336"/>
      <c r="CE11" s="2336"/>
      <c r="CF11" s="2336"/>
      <c r="CG11" s="2336"/>
      <c r="CH11" s="2336"/>
      <c r="CI11" s="2336"/>
      <c r="CJ11" s="2336"/>
      <c r="CK11" s="2336"/>
      <c r="CL11" s="2336"/>
      <c r="CM11" s="2336"/>
      <c r="CN11" s="2336"/>
      <c r="CO11" s="2336"/>
      <c r="CP11" s="2336"/>
      <c r="CQ11" s="2336"/>
      <c r="CR11" s="2336"/>
      <c r="CS11" s="2336"/>
      <c r="CT11" s="2336"/>
      <c r="CU11" s="2336"/>
      <c r="CV11" s="2336"/>
      <c r="CW11" s="2336"/>
      <c r="CX11" s="2336"/>
      <c r="CY11" s="2336"/>
      <c r="CZ11" s="2336"/>
      <c r="DA11" s="2336"/>
      <c r="DB11" s="2336"/>
      <c r="DC11" s="2336"/>
      <c r="DD11" s="2336"/>
      <c r="DE11" s="2336"/>
      <c r="DF11" s="2336"/>
      <c r="DG11" s="2336"/>
      <c r="DH11" s="2336"/>
      <c r="DI11" s="2336"/>
      <c r="DJ11" s="2336"/>
      <c r="DK11" s="2336"/>
      <c r="DL11" s="2336"/>
      <c r="DM11" s="2336"/>
      <c r="DN11" s="2336"/>
      <c r="DO11" s="2336"/>
      <c r="DP11" s="2336"/>
      <c r="DQ11" s="2336"/>
      <c r="DR11" s="2336"/>
      <c r="DS11" s="2336"/>
      <c r="DT11" s="2336"/>
      <c r="DU11" s="2336"/>
      <c r="DV11" s="2336"/>
      <c r="DW11" s="2336"/>
      <c r="DX11" s="2336"/>
      <c r="DY11" s="2336"/>
      <c r="DZ11" s="2336"/>
      <c r="EA11" s="2336"/>
      <c r="EB11" s="2336"/>
      <c r="EC11" s="2336"/>
      <c r="ED11" s="2336"/>
      <c r="EE11" s="2336"/>
      <c r="EF11" s="2336"/>
      <c r="EG11" s="2336"/>
      <c r="EH11" s="2336"/>
      <c r="EI11" s="2336"/>
      <c r="EJ11" s="2336"/>
      <c r="EK11" s="2336"/>
      <c r="EL11" s="2336"/>
      <c r="EM11" s="2336"/>
      <c r="EN11" s="2336"/>
      <c r="EO11" s="2336"/>
      <c r="EP11" s="2336"/>
      <c r="EQ11" s="2336"/>
      <c r="ER11" s="2336"/>
      <c r="ES11" s="2336"/>
      <c r="ET11" s="2336"/>
      <c r="EU11" s="2336"/>
      <c r="EV11" s="2336"/>
      <c r="EW11" s="2336"/>
      <c r="EX11" s="2336"/>
      <c r="EY11" s="2336"/>
      <c r="EZ11" s="2336"/>
      <c r="FA11" s="2336"/>
      <c r="FB11" s="2336"/>
      <c r="FC11" s="2336"/>
      <c r="FD11" s="2336"/>
      <c r="FE11" s="2336"/>
      <c r="FF11" s="2336"/>
      <c r="FG11" s="2336"/>
      <c r="FH11" s="2336"/>
      <c r="FI11" s="2336"/>
      <c r="FJ11" s="2336"/>
      <c r="FK11" s="2336"/>
      <c r="FL11" s="2336"/>
      <c r="FM11" s="2336"/>
      <c r="FN11" s="2336"/>
      <c r="FO11" s="2336"/>
      <c r="FP11" s="2336"/>
      <c r="FQ11" s="2336"/>
      <c r="FR11" s="2336"/>
      <c r="FS11" s="2336"/>
      <c r="FT11" s="2336"/>
      <c r="FU11" s="2336"/>
      <c r="FV11" s="2336"/>
      <c r="FW11" s="2336"/>
    </row>
    <row r="12" spans="1:181" s="2335" customFormat="1" ht="25.15" customHeight="1" x14ac:dyDescent="0.2">
      <c r="A12" s="2344"/>
      <c r="B12" s="2333"/>
      <c r="C12" s="2315"/>
      <c r="D12" s="3780" t="s">
        <v>708</v>
      </c>
      <c r="E12" s="3781"/>
      <c r="F12" s="1610">
        <f>+(1-(F9-F10)/F9*0.5)*F9</f>
        <v>8774917</v>
      </c>
      <c r="G12" s="1610">
        <f t="shared" ref="G12:Q12" si="0">+(1-($F$9-$F$10)/$F$9*0.5)*G9</f>
        <v>9017419.1811209861</v>
      </c>
      <c r="H12" s="1610">
        <f t="shared" si="0"/>
        <v>9270744.9471779708</v>
      </c>
      <c r="I12" s="1610">
        <f t="shared" si="0"/>
        <v>9537123.2799401414</v>
      </c>
      <c r="J12" s="1610">
        <f t="shared" si="0"/>
        <v>9823824.5385818426</v>
      </c>
      <c r="K12" s="1610">
        <f t="shared" si="0"/>
        <v>10130795.980542099</v>
      </c>
      <c r="L12" s="1610">
        <f t="shared" si="0"/>
        <v>10455708.007473864</v>
      </c>
      <c r="M12" s="1610">
        <f t="shared" si="0"/>
        <v>10794007.719229007</v>
      </c>
      <c r="N12" s="1610">
        <f t="shared" si="0"/>
        <v>11141449.745361084</v>
      </c>
      <c r="O12" s="1610">
        <f t="shared" si="0"/>
        <v>11500583.580125203</v>
      </c>
      <c r="P12" s="1610">
        <f t="shared" si="0"/>
        <v>11872022.660076702</v>
      </c>
      <c r="Q12" s="1610">
        <f t="shared" si="0"/>
        <v>12257819.076549495</v>
      </c>
      <c r="R12" s="1610">
        <v>12660041</v>
      </c>
      <c r="S12" s="1610"/>
      <c r="AP12" s="2336"/>
      <c r="AQ12" s="2336"/>
      <c r="AR12" s="2336"/>
      <c r="AS12" s="2336"/>
      <c r="AT12" s="2336"/>
      <c r="AU12" s="2336"/>
      <c r="AV12" s="2336"/>
      <c r="AW12" s="2336"/>
      <c r="AX12" s="2336"/>
      <c r="AY12" s="2336"/>
      <c r="AZ12" s="2336"/>
      <c r="BA12" s="2336"/>
      <c r="BB12" s="2336"/>
      <c r="BC12" s="2336"/>
      <c r="BD12" s="2336"/>
      <c r="BE12" s="2336"/>
      <c r="BF12" s="2336"/>
      <c r="BG12" s="2336"/>
      <c r="BH12" s="2336"/>
      <c r="BI12" s="2336"/>
      <c r="BJ12" s="2336"/>
      <c r="BK12" s="2336"/>
      <c r="BL12" s="2336"/>
      <c r="BM12" s="2336"/>
      <c r="BN12" s="2336"/>
      <c r="BO12" s="2336"/>
      <c r="BP12" s="2336"/>
      <c r="BQ12" s="2336"/>
      <c r="BR12" s="2336"/>
      <c r="BS12" s="2336"/>
      <c r="BT12" s="2336"/>
      <c r="BU12" s="2336"/>
      <c r="BV12" s="2336"/>
      <c r="BW12" s="2336"/>
      <c r="BX12" s="2336"/>
      <c r="BY12" s="2336"/>
      <c r="BZ12" s="2336"/>
      <c r="CA12" s="2336"/>
      <c r="CB12" s="2336"/>
      <c r="CC12" s="2336"/>
      <c r="CD12" s="2336"/>
      <c r="CE12" s="2336"/>
      <c r="CF12" s="2336"/>
      <c r="CG12" s="2336"/>
      <c r="CH12" s="2336"/>
      <c r="CI12" s="2336"/>
      <c r="CJ12" s="2336"/>
      <c r="CK12" s="2336"/>
      <c r="CL12" s="2336"/>
      <c r="CM12" s="2336"/>
      <c r="CN12" s="2336"/>
      <c r="CO12" s="2336"/>
      <c r="CP12" s="2336"/>
      <c r="CQ12" s="2336"/>
      <c r="CR12" s="2336"/>
      <c r="CS12" s="2336"/>
      <c r="CT12" s="2336"/>
      <c r="CU12" s="2336"/>
      <c r="CV12" s="2336"/>
      <c r="CW12" s="2336"/>
      <c r="CX12" s="2336"/>
      <c r="CY12" s="2336"/>
      <c r="CZ12" s="2336"/>
      <c r="DA12" s="2336"/>
      <c r="DB12" s="2336"/>
      <c r="DC12" s="2336"/>
      <c r="DD12" s="2336"/>
      <c r="DE12" s="2336"/>
      <c r="DF12" s="2336"/>
      <c r="DG12" s="2336"/>
      <c r="DH12" s="2336"/>
      <c r="DI12" s="2336"/>
      <c r="DJ12" s="2336"/>
      <c r="DK12" s="2336"/>
      <c r="DL12" s="2336"/>
      <c r="DM12" s="2336"/>
      <c r="DN12" s="2336"/>
      <c r="DO12" s="2336"/>
      <c r="DP12" s="2336"/>
      <c r="DQ12" s="2336"/>
      <c r="DR12" s="2336"/>
      <c r="DS12" s="2336"/>
      <c r="DT12" s="2336"/>
      <c r="DU12" s="2336"/>
      <c r="DV12" s="2336"/>
      <c r="DW12" s="2336"/>
      <c r="DX12" s="2336"/>
      <c r="DY12" s="2336"/>
      <c r="DZ12" s="2336"/>
      <c r="EA12" s="2336"/>
      <c r="EB12" s="2336"/>
      <c r="EC12" s="2336"/>
      <c r="ED12" s="2336"/>
      <c r="EE12" s="2336"/>
      <c r="EF12" s="2336"/>
      <c r="EG12" s="2336"/>
      <c r="EH12" s="2336"/>
      <c r="EI12" s="2336"/>
      <c r="EJ12" s="2336"/>
      <c r="EK12" s="2336"/>
      <c r="EL12" s="2336"/>
      <c r="EM12" s="2336"/>
      <c r="EN12" s="2336"/>
      <c r="EO12" s="2336"/>
      <c r="EP12" s="2336"/>
      <c r="EQ12" s="2336"/>
      <c r="ER12" s="2336"/>
      <c r="ES12" s="2336"/>
      <c r="ET12" s="2336"/>
      <c r="EU12" s="2336"/>
      <c r="EV12" s="2336"/>
      <c r="EW12" s="2336"/>
      <c r="EX12" s="2336"/>
      <c r="EY12" s="2336"/>
      <c r="EZ12" s="2336"/>
      <c r="FA12" s="2336"/>
      <c r="FB12" s="2336"/>
      <c r="FC12" s="2336"/>
      <c r="FD12" s="2336"/>
      <c r="FE12" s="2336"/>
      <c r="FF12" s="2336"/>
      <c r="FG12" s="2336"/>
      <c r="FH12" s="2336"/>
      <c r="FI12" s="2336"/>
      <c r="FJ12" s="2336"/>
      <c r="FK12" s="2336"/>
      <c r="FL12" s="2336"/>
      <c r="FM12" s="2336"/>
      <c r="FN12" s="2336"/>
      <c r="FO12" s="2336"/>
      <c r="FP12" s="2336"/>
      <c r="FQ12" s="2336"/>
      <c r="FR12" s="2336"/>
      <c r="FS12" s="2336"/>
      <c r="FT12" s="2336"/>
      <c r="FU12" s="2336"/>
      <c r="FV12" s="2336"/>
      <c r="FW12" s="2336"/>
    </row>
    <row r="13" spans="1:181" s="2335" customFormat="1" ht="12" x14ac:dyDescent="0.2">
      <c r="A13" s="2344"/>
      <c r="B13" s="2333"/>
      <c r="C13" s="2315"/>
      <c r="D13" s="3287" t="s">
        <v>719</v>
      </c>
      <c r="E13" s="2115"/>
      <c r="F13" s="1611">
        <v>272668</v>
      </c>
      <c r="G13" s="1611">
        <v>233115</v>
      </c>
      <c r="H13" s="1611">
        <v>227105</v>
      </c>
      <c r="I13" s="1611">
        <v>263694</v>
      </c>
      <c r="J13" s="1611">
        <v>284791</v>
      </c>
      <c r="K13" s="1611">
        <v>211454</v>
      </c>
      <c r="L13" s="1611">
        <v>189791</v>
      </c>
      <c r="M13" s="1611">
        <v>145615</v>
      </c>
      <c r="N13" s="1611">
        <v>93126.6</v>
      </c>
      <c r="O13" s="1611">
        <v>73888.5</v>
      </c>
      <c r="P13" s="1611">
        <v>136782</v>
      </c>
      <c r="Q13" s="1611">
        <v>176909</v>
      </c>
      <c r="R13" s="1611">
        <v>196499</v>
      </c>
      <c r="S13" s="1611">
        <f>AT28</f>
        <v>179135.5</v>
      </c>
      <c r="AP13" s="2336"/>
      <c r="AQ13" s="2336"/>
      <c r="AR13" s="2336"/>
      <c r="AS13" s="2336"/>
      <c r="AT13" s="2336"/>
      <c r="AU13" s="2336"/>
      <c r="AV13" s="2336"/>
      <c r="AW13" s="2336"/>
      <c r="AX13" s="2336"/>
      <c r="AY13" s="2336"/>
      <c r="AZ13" s="2336"/>
      <c r="BA13" s="2336"/>
      <c r="BB13" s="2336"/>
      <c r="BC13" s="2336"/>
      <c r="BD13" s="2336"/>
      <c r="BE13" s="2336"/>
      <c r="BF13" s="2336"/>
      <c r="BG13" s="2336"/>
      <c r="BH13" s="2336"/>
      <c r="BI13" s="2336"/>
      <c r="BJ13" s="2336"/>
      <c r="BK13" s="2336"/>
      <c r="BL13" s="2336"/>
      <c r="BM13" s="2336"/>
      <c r="BN13" s="2336"/>
      <c r="BO13" s="2336"/>
      <c r="BP13" s="2336"/>
      <c r="BQ13" s="2336"/>
      <c r="BR13" s="2336"/>
      <c r="BS13" s="2336"/>
      <c r="BT13" s="2336"/>
      <c r="BU13" s="2336"/>
      <c r="BV13" s="2336"/>
      <c r="BW13" s="2336"/>
      <c r="BX13" s="2336"/>
      <c r="BY13" s="2336"/>
      <c r="BZ13" s="2336"/>
      <c r="CA13" s="2336"/>
      <c r="CB13" s="2336"/>
      <c r="CC13" s="2336"/>
      <c r="CD13" s="2336"/>
      <c r="CE13" s="2336"/>
      <c r="CF13" s="2336"/>
      <c r="CG13" s="2336"/>
      <c r="CH13" s="2336"/>
      <c r="CI13" s="2336"/>
      <c r="CJ13" s="2336"/>
      <c r="CK13" s="2336"/>
      <c r="CL13" s="2336"/>
      <c r="CM13" s="2336"/>
      <c r="CN13" s="2336"/>
      <c r="CO13" s="2336"/>
      <c r="CP13" s="2336"/>
      <c r="CQ13" s="2336"/>
      <c r="CR13" s="2336"/>
      <c r="CS13" s="2336"/>
      <c r="CT13" s="2336"/>
      <c r="CU13" s="2336"/>
      <c r="CV13" s="2336"/>
      <c r="CW13" s="2336"/>
      <c r="CX13" s="2336"/>
      <c r="CY13" s="2336"/>
      <c r="CZ13" s="2336"/>
      <c r="DA13" s="2336"/>
      <c r="DB13" s="2336"/>
      <c r="DC13" s="2336"/>
      <c r="DD13" s="2336"/>
      <c r="DE13" s="2336"/>
      <c r="DF13" s="2336"/>
      <c r="DG13" s="2336"/>
      <c r="DH13" s="2336"/>
      <c r="DI13" s="2336"/>
      <c r="DJ13" s="2336"/>
      <c r="DK13" s="2336"/>
      <c r="DL13" s="2336"/>
      <c r="DM13" s="2336"/>
      <c r="DN13" s="2336"/>
      <c r="DO13" s="2336"/>
      <c r="DP13" s="2336"/>
      <c r="DQ13" s="2336"/>
      <c r="DR13" s="2336"/>
      <c r="DS13" s="2336"/>
      <c r="DT13" s="2336"/>
      <c r="DU13" s="2336"/>
      <c r="DV13" s="2336"/>
      <c r="DW13" s="2336"/>
      <c r="DX13" s="2336"/>
      <c r="DY13" s="2336"/>
      <c r="DZ13" s="2336"/>
      <c r="EA13" s="2336"/>
      <c r="EB13" s="2336"/>
      <c r="EC13" s="2336"/>
      <c r="ED13" s="2336"/>
      <c r="EE13" s="2336"/>
      <c r="EF13" s="2336"/>
      <c r="EG13" s="2336"/>
      <c r="EH13" s="2336"/>
      <c r="EI13" s="2336"/>
      <c r="EJ13" s="2336"/>
      <c r="EK13" s="2336"/>
      <c r="EL13" s="2336"/>
      <c r="EM13" s="2336"/>
      <c r="EN13" s="2336"/>
      <c r="EO13" s="2336"/>
      <c r="EP13" s="2336"/>
      <c r="EQ13" s="2336"/>
      <c r="ER13" s="2336"/>
      <c r="ES13" s="2336"/>
      <c r="ET13" s="2336"/>
      <c r="EU13" s="2336"/>
      <c r="EV13" s="2336"/>
      <c r="EW13" s="2336"/>
      <c r="EX13" s="2336"/>
      <c r="EY13" s="2336"/>
      <c r="EZ13" s="2336"/>
      <c r="FA13" s="2336"/>
      <c r="FB13" s="2336"/>
      <c r="FC13" s="2336"/>
      <c r="FD13" s="2336"/>
      <c r="FE13" s="2336"/>
      <c r="FF13" s="2336"/>
      <c r="FG13" s="2336"/>
      <c r="FH13" s="2336"/>
      <c r="FI13" s="2336"/>
      <c r="FJ13" s="2336"/>
      <c r="FK13" s="2336"/>
      <c r="FL13" s="2336"/>
      <c r="FM13" s="2336"/>
      <c r="FN13" s="2336"/>
      <c r="FO13" s="2336"/>
      <c r="FP13" s="2336"/>
      <c r="FQ13" s="2336"/>
      <c r="FR13" s="2336"/>
      <c r="FS13" s="2336"/>
      <c r="FT13" s="2336"/>
      <c r="FU13" s="2336"/>
      <c r="FV13" s="2336"/>
      <c r="FW13" s="2336"/>
    </row>
    <row r="14" spans="1:181" s="2335" customFormat="1" ht="14.25" customHeight="1" x14ac:dyDescent="0.2">
      <c r="A14" s="2344"/>
      <c r="B14" s="2333"/>
      <c r="C14" s="2315"/>
      <c r="D14" s="1473"/>
      <c r="E14" s="1192"/>
      <c r="F14" s="888"/>
      <c r="G14" s="888"/>
      <c r="H14" s="888"/>
      <c r="I14" s="888"/>
      <c r="J14" s="888"/>
      <c r="K14" s="888"/>
      <c r="L14" s="888"/>
      <c r="M14" s="888"/>
      <c r="N14" s="888"/>
      <c r="O14" s="888"/>
      <c r="P14" s="888"/>
      <c r="Q14" s="888"/>
      <c r="R14" s="888"/>
      <c r="S14" s="888"/>
      <c r="T14" s="888"/>
      <c r="U14" s="888"/>
      <c r="V14" s="888"/>
      <c r="Y14" s="2345"/>
      <c r="Z14" s="2345"/>
      <c r="AO14" s="2336"/>
      <c r="AP14" s="2336"/>
      <c r="AQ14" s="2336"/>
      <c r="AR14" s="2336"/>
      <c r="AS14" s="2336"/>
      <c r="AT14" s="2336"/>
      <c r="AU14" s="2336"/>
      <c r="AV14" s="2336"/>
      <c r="AW14" s="2336"/>
      <c r="AX14" s="2336"/>
      <c r="AY14" s="2336"/>
      <c r="AZ14" s="2336"/>
      <c r="BA14" s="2336"/>
      <c r="BB14" s="2336"/>
      <c r="BC14" s="2336"/>
      <c r="BD14" s="2336"/>
      <c r="BE14" s="2336"/>
      <c r="BF14" s="2336"/>
      <c r="BG14" s="2336"/>
      <c r="BH14" s="2336"/>
      <c r="BI14" s="2336"/>
      <c r="BJ14" s="2336"/>
      <c r="BK14" s="2336"/>
      <c r="BL14" s="2336"/>
      <c r="BM14" s="2336"/>
      <c r="BN14" s="2336"/>
      <c r="BO14" s="2336"/>
      <c r="BP14" s="2336"/>
      <c r="BQ14" s="2336"/>
      <c r="BR14" s="2336"/>
      <c r="BS14" s="2336"/>
      <c r="BT14" s="2336"/>
      <c r="BU14" s="2336"/>
      <c r="BV14" s="2336"/>
      <c r="BW14" s="2336"/>
      <c r="BX14" s="2336"/>
      <c r="BY14" s="2336"/>
      <c r="BZ14" s="2336"/>
      <c r="CA14" s="2336"/>
      <c r="CB14" s="2336"/>
      <c r="CC14" s="2336"/>
      <c r="CD14" s="2336"/>
      <c r="CE14" s="2336"/>
      <c r="CF14" s="2336"/>
      <c r="CG14" s="2336"/>
      <c r="CH14" s="2336"/>
      <c r="CI14" s="2336"/>
      <c r="CJ14" s="2336"/>
      <c r="CK14" s="2336"/>
      <c r="CL14" s="2336"/>
      <c r="CM14" s="2336"/>
      <c r="CN14" s="2336"/>
      <c r="CO14" s="2336"/>
      <c r="CP14" s="2336"/>
      <c r="CQ14" s="2336"/>
      <c r="CR14" s="2336"/>
      <c r="CS14" s="2336"/>
      <c r="CT14" s="2336"/>
      <c r="CU14" s="2336"/>
      <c r="CV14" s="2336"/>
      <c r="CW14" s="2336"/>
      <c r="CX14" s="2336"/>
      <c r="CY14" s="2336"/>
      <c r="CZ14" s="2336"/>
      <c r="DA14" s="2336"/>
      <c r="DB14" s="2336"/>
      <c r="DC14" s="2336"/>
      <c r="DD14" s="2336"/>
      <c r="DE14" s="2336"/>
      <c r="DF14" s="2336"/>
      <c r="DG14" s="2336"/>
      <c r="DH14" s="2336"/>
      <c r="DI14" s="2336"/>
      <c r="DJ14" s="2336"/>
      <c r="DK14" s="2336"/>
      <c r="DL14" s="2336"/>
      <c r="DM14" s="2336"/>
      <c r="DN14" s="2336"/>
      <c r="DO14" s="2336"/>
      <c r="DP14" s="2336"/>
      <c r="DQ14" s="2336"/>
      <c r="DR14" s="2336"/>
      <c r="DS14" s="2336"/>
      <c r="DT14" s="2336"/>
      <c r="DU14" s="2336"/>
      <c r="DV14" s="2336"/>
      <c r="DW14" s="2336"/>
      <c r="DX14" s="2336"/>
      <c r="DY14" s="2336"/>
      <c r="DZ14" s="2336"/>
      <c r="EA14" s="2336"/>
      <c r="EB14" s="2336"/>
      <c r="EC14" s="2336"/>
      <c r="ED14" s="2336"/>
      <c r="EE14" s="2336"/>
      <c r="EF14" s="2336"/>
      <c r="EG14" s="2336"/>
      <c r="EH14" s="2336"/>
      <c r="EI14" s="2336"/>
      <c r="EJ14" s="2336"/>
      <c r="EK14" s="2336"/>
      <c r="EL14" s="2336"/>
      <c r="EM14" s="2336"/>
      <c r="EN14" s="2336"/>
      <c r="EO14" s="2336"/>
      <c r="EP14" s="2336"/>
      <c r="EQ14" s="2336"/>
      <c r="ER14" s="2336"/>
      <c r="ES14" s="2336"/>
      <c r="ET14" s="2336"/>
      <c r="EU14" s="2336"/>
      <c r="EV14" s="2336"/>
      <c r="EW14" s="2336"/>
      <c r="EX14" s="2336"/>
      <c r="EY14" s="2336"/>
      <c r="EZ14" s="2336"/>
      <c r="FA14" s="2336"/>
      <c r="FB14" s="2336"/>
      <c r="FC14" s="2336"/>
      <c r="FD14" s="2336"/>
      <c r="FE14" s="2336"/>
      <c r="FF14" s="2336"/>
      <c r="FG14" s="2336"/>
      <c r="FH14" s="2336"/>
      <c r="FI14" s="2336"/>
      <c r="FJ14" s="2336"/>
      <c r="FK14" s="2336"/>
      <c r="FL14" s="2336"/>
      <c r="FM14" s="2336"/>
      <c r="FN14" s="2336"/>
      <c r="FO14" s="2336"/>
      <c r="FP14" s="2336"/>
      <c r="FQ14" s="2336"/>
      <c r="FR14" s="2336"/>
      <c r="FS14" s="2336"/>
      <c r="FT14" s="2336"/>
      <c r="FU14" s="2336"/>
      <c r="FV14" s="2336"/>
    </row>
    <row r="15" spans="1:181" s="2335" customFormat="1" ht="14.25" customHeight="1" x14ac:dyDescent="0.2">
      <c r="A15" s="2344"/>
      <c r="B15" s="2333"/>
      <c r="D15" s="424" t="s">
        <v>55</v>
      </c>
      <c r="E15" s="424" t="s">
        <v>722</v>
      </c>
      <c r="F15" s="877"/>
      <c r="G15" s="877"/>
      <c r="H15" s="877"/>
      <c r="I15" s="877"/>
      <c r="J15" s="877"/>
      <c r="K15" s="888"/>
      <c r="L15" s="888"/>
      <c r="M15" s="888"/>
      <c r="N15" s="888"/>
      <c r="O15" s="888"/>
      <c r="P15" s="888"/>
      <c r="Q15" s="888"/>
      <c r="R15" s="888"/>
      <c r="S15" s="888"/>
      <c r="T15" s="888"/>
      <c r="U15" s="888"/>
      <c r="V15" s="888"/>
      <c r="Y15" s="2345"/>
      <c r="Z15" s="2345"/>
      <c r="AO15" s="2336"/>
      <c r="AP15" s="2336"/>
      <c r="AQ15" s="2336"/>
      <c r="AR15" s="2336"/>
      <c r="AS15" s="2336"/>
      <c r="AT15" s="2336"/>
      <c r="AU15" s="2336"/>
      <c r="AV15" s="2336"/>
      <c r="AW15" s="2336"/>
      <c r="AX15" s="2336"/>
      <c r="AY15" s="2336"/>
      <c r="AZ15" s="2336"/>
      <c r="BA15" s="2336"/>
      <c r="BB15" s="2336"/>
      <c r="BC15" s="2336"/>
      <c r="BD15" s="2336"/>
      <c r="BE15" s="2336"/>
      <c r="BF15" s="2336"/>
      <c r="BG15" s="2336"/>
      <c r="BH15" s="2336"/>
      <c r="BI15" s="2336"/>
      <c r="BJ15" s="2336"/>
      <c r="BK15" s="2336"/>
      <c r="BL15" s="2336"/>
      <c r="BM15" s="2336"/>
      <c r="BN15" s="2336"/>
      <c r="BO15" s="2336"/>
      <c r="BP15" s="2336"/>
      <c r="BQ15" s="2336"/>
      <c r="BR15" s="2336"/>
      <c r="BS15" s="2336"/>
      <c r="BT15" s="2336"/>
      <c r="BU15" s="2336"/>
      <c r="BV15" s="2336"/>
      <c r="BW15" s="2336"/>
      <c r="BX15" s="2336"/>
      <c r="BY15" s="2336"/>
      <c r="BZ15" s="2336"/>
      <c r="CA15" s="2336"/>
      <c r="CB15" s="2336"/>
      <c r="CC15" s="2336"/>
      <c r="CD15" s="2336"/>
      <c r="CE15" s="2336"/>
      <c r="CF15" s="2336"/>
      <c r="CG15" s="2336"/>
      <c r="CH15" s="2336"/>
      <c r="CI15" s="2336"/>
      <c r="CJ15" s="2336"/>
      <c r="CK15" s="2336"/>
      <c r="CL15" s="2336"/>
      <c r="CM15" s="2336"/>
      <c r="CN15" s="2336"/>
      <c r="CO15" s="2336"/>
      <c r="CP15" s="2336"/>
      <c r="CQ15" s="2336"/>
      <c r="CR15" s="2336"/>
      <c r="CS15" s="2336"/>
      <c r="CT15" s="2336"/>
      <c r="CU15" s="2336"/>
      <c r="CV15" s="2336"/>
      <c r="CW15" s="2336"/>
      <c r="CX15" s="2336"/>
      <c r="CY15" s="2336"/>
      <c r="CZ15" s="2336"/>
      <c r="DA15" s="2336"/>
      <c r="DB15" s="2336"/>
      <c r="DC15" s="2336"/>
      <c r="DD15" s="2336"/>
      <c r="DE15" s="2336"/>
      <c r="DF15" s="2336"/>
      <c r="DG15" s="2336"/>
      <c r="DH15" s="2336"/>
      <c r="DI15" s="2336"/>
      <c r="DJ15" s="2336"/>
      <c r="DK15" s="2336"/>
      <c r="DL15" s="2336"/>
      <c r="DM15" s="2336"/>
      <c r="DN15" s="2336"/>
      <c r="DO15" s="2336"/>
      <c r="DP15" s="2336"/>
      <c r="DQ15" s="2336"/>
      <c r="DR15" s="2336"/>
      <c r="DS15" s="2336"/>
      <c r="DT15" s="2336"/>
      <c r="DU15" s="2336"/>
      <c r="DV15" s="2336"/>
      <c r="DW15" s="2336"/>
      <c r="DX15" s="2336"/>
      <c r="DY15" s="2336"/>
      <c r="DZ15" s="2336"/>
      <c r="EA15" s="2336"/>
      <c r="EB15" s="2336"/>
      <c r="EC15" s="2336"/>
      <c r="ED15" s="2336"/>
      <c r="EE15" s="2336"/>
      <c r="EF15" s="2336"/>
      <c r="EG15" s="2336"/>
      <c r="EH15" s="2336"/>
      <c r="EI15" s="2336"/>
      <c r="EJ15" s="2336"/>
      <c r="EK15" s="2336"/>
      <c r="EL15" s="2336"/>
      <c r="EM15" s="2336"/>
      <c r="EN15" s="2336"/>
      <c r="EO15" s="2336"/>
      <c r="EP15" s="2336"/>
      <c r="EQ15" s="2336"/>
      <c r="ER15" s="2336"/>
      <c r="ES15" s="2336"/>
      <c r="ET15" s="2336"/>
      <c r="EU15" s="2336"/>
      <c r="EV15" s="2336"/>
      <c r="EW15" s="2336"/>
      <c r="EX15" s="2336"/>
      <c r="EY15" s="2336"/>
      <c r="EZ15" s="2336"/>
      <c r="FA15" s="2336"/>
      <c r="FB15" s="2336"/>
      <c r="FC15" s="2336"/>
      <c r="FD15" s="2336"/>
      <c r="FE15" s="2336"/>
      <c r="FF15" s="2336"/>
      <c r="FG15" s="2336"/>
      <c r="FH15" s="2336"/>
      <c r="FI15" s="2336"/>
      <c r="FJ15" s="2336"/>
      <c r="FK15" s="2336"/>
      <c r="FL15" s="2336"/>
      <c r="FM15" s="2336"/>
      <c r="FN15" s="2336"/>
      <c r="FO15" s="2336"/>
      <c r="FP15" s="2336"/>
      <c r="FQ15" s="2336"/>
      <c r="FR15" s="2336"/>
      <c r="FS15" s="2336"/>
      <c r="FT15" s="2336"/>
      <c r="FU15" s="2336"/>
      <c r="FV15" s="2336"/>
    </row>
    <row r="16" spans="1:181" s="2348" customFormat="1" ht="14.25" customHeight="1" x14ac:dyDescent="0.25">
      <c r="A16" s="2346"/>
      <c r="B16" s="233"/>
      <c r="C16" s="2336"/>
      <c r="D16" s="3288"/>
      <c r="E16" s="3778" t="s">
        <v>132</v>
      </c>
      <c r="F16" s="3778"/>
      <c r="G16" s="3779"/>
      <c r="H16" s="3778" t="s">
        <v>133</v>
      </c>
      <c r="I16" s="3778"/>
      <c r="J16" s="3779"/>
      <c r="K16" s="3778" t="s">
        <v>134</v>
      </c>
      <c r="L16" s="3778"/>
      <c r="M16" s="3779"/>
      <c r="N16" s="3778" t="s">
        <v>135</v>
      </c>
      <c r="O16" s="3778"/>
      <c r="P16" s="3779"/>
      <c r="Q16" s="3778" t="s">
        <v>136</v>
      </c>
      <c r="R16" s="3778"/>
      <c r="S16" s="3779"/>
      <c r="T16" s="3778" t="s">
        <v>137</v>
      </c>
      <c r="U16" s="3778"/>
      <c r="V16" s="3779"/>
      <c r="W16" s="3778" t="s">
        <v>138</v>
      </c>
      <c r="X16" s="3778"/>
      <c r="Y16" s="3779"/>
      <c r="Z16" s="3778" t="s">
        <v>139</v>
      </c>
      <c r="AA16" s="3778"/>
      <c r="AB16" s="3779"/>
      <c r="AC16" s="3778" t="s">
        <v>140</v>
      </c>
      <c r="AD16" s="3778"/>
      <c r="AE16" s="3779"/>
      <c r="AF16" s="3778" t="s">
        <v>141</v>
      </c>
      <c r="AG16" s="3778"/>
      <c r="AH16" s="3779"/>
      <c r="AI16" s="3778" t="s">
        <v>142</v>
      </c>
      <c r="AJ16" s="3778"/>
      <c r="AK16" s="3779"/>
      <c r="AL16" s="3778" t="s">
        <v>143</v>
      </c>
      <c r="AM16" s="3778"/>
      <c r="AN16" s="3779"/>
      <c r="AO16" s="3778" t="s">
        <v>144</v>
      </c>
      <c r="AP16" s="3778"/>
      <c r="AQ16" s="3779"/>
      <c r="AR16" s="3778" t="s">
        <v>145</v>
      </c>
      <c r="AS16" s="3778"/>
      <c r="AT16" s="3779"/>
      <c r="AU16" s="2347"/>
      <c r="AV16" s="2336"/>
      <c r="AW16" s="2336"/>
      <c r="AX16" s="2336"/>
      <c r="AY16" s="2336"/>
      <c r="AZ16" s="2336"/>
      <c r="BA16" s="2336"/>
      <c r="BB16" s="2336"/>
      <c r="BC16" s="2336"/>
      <c r="BD16" s="2336"/>
      <c r="BE16" s="2336"/>
      <c r="BF16" s="2336"/>
      <c r="BG16" s="2336"/>
      <c r="BH16" s="2336"/>
      <c r="BI16" s="2336"/>
      <c r="BJ16" s="2336"/>
      <c r="BK16" s="2336"/>
      <c r="BL16" s="2336"/>
      <c r="BM16" s="2336"/>
      <c r="BN16" s="2336"/>
      <c r="BO16" s="2336"/>
      <c r="BP16" s="2336"/>
      <c r="BQ16" s="2336"/>
      <c r="BR16" s="2336"/>
      <c r="BS16" s="2336"/>
      <c r="BT16" s="2336"/>
      <c r="BU16" s="2336"/>
      <c r="BV16" s="2336"/>
      <c r="BW16" s="2336"/>
      <c r="BX16" s="2336"/>
      <c r="BY16" s="2336"/>
      <c r="BZ16" s="2336"/>
      <c r="CA16" s="2336"/>
      <c r="CB16" s="2336"/>
      <c r="CC16" s="2336"/>
      <c r="CD16" s="2336"/>
      <c r="CE16" s="2336"/>
      <c r="CF16" s="2336"/>
      <c r="CG16" s="2336"/>
      <c r="CH16" s="2336"/>
      <c r="CI16" s="2336"/>
      <c r="CJ16" s="2336"/>
      <c r="CK16" s="2336"/>
      <c r="CL16" s="2336"/>
      <c r="CM16" s="2336"/>
      <c r="CN16" s="2336"/>
      <c r="CO16" s="2336"/>
      <c r="CP16" s="2336"/>
      <c r="CQ16" s="2336"/>
      <c r="CR16" s="2336"/>
      <c r="CS16" s="2336"/>
      <c r="CT16" s="2336"/>
      <c r="CU16" s="2336"/>
      <c r="CV16" s="2336"/>
      <c r="CW16" s="2336"/>
      <c r="CX16" s="2336"/>
      <c r="CY16" s="2336"/>
      <c r="CZ16" s="2336"/>
      <c r="DA16" s="2336"/>
      <c r="DB16" s="2336"/>
      <c r="DC16" s="2336"/>
      <c r="DD16" s="2336"/>
      <c r="DE16" s="2336"/>
      <c r="DF16" s="2336"/>
      <c r="DG16" s="2336"/>
      <c r="DH16" s="2336"/>
      <c r="DI16" s="2336"/>
      <c r="DJ16" s="2336"/>
      <c r="DK16" s="2336"/>
      <c r="DL16" s="2336"/>
      <c r="DM16" s="2336"/>
      <c r="DN16" s="2336"/>
      <c r="DO16" s="2336"/>
      <c r="DP16" s="2336"/>
      <c r="DQ16" s="2336"/>
      <c r="DR16" s="2336"/>
      <c r="DS16" s="2336"/>
      <c r="DT16" s="2336"/>
      <c r="DU16" s="2336"/>
      <c r="DV16" s="2336"/>
      <c r="DW16" s="2336"/>
      <c r="DX16" s="2336"/>
      <c r="DY16" s="2336"/>
      <c r="DZ16" s="2336"/>
      <c r="EA16" s="2336"/>
      <c r="EB16" s="2336"/>
      <c r="EC16" s="2336"/>
      <c r="ED16" s="2336"/>
      <c r="EE16" s="2336"/>
      <c r="EF16" s="2336"/>
      <c r="EG16" s="2336"/>
      <c r="EH16" s="2336"/>
      <c r="EI16" s="2336"/>
      <c r="EJ16" s="2336"/>
      <c r="EK16" s="2336"/>
      <c r="EL16" s="2336"/>
      <c r="EM16" s="2336"/>
      <c r="EN16" s="2336"/>
      <c r="EO16" s="2336"/>
      <c r="EP16" s="2336"/>
      <c r="EQ16" s="2336"/>
      <c r="ER16" s="2336"/>
      <c r="ES16" s="2336"/>
      <c r="ET16" s="2336"/>
      <c r="EU16" s="2336"/>
      <c r="EV16" s="2336"/>
      <c r="EW16" s="2336"/>
      <c r="EX16" s="2336"/>
      <c r="EY16" s="2336"/>
      <c r="EZ16" s="2336"/>
      <c r="FA16" s="2336"/>
      <c r="FB16" s="2336"/>
      <c r="FC16" s="2336"/>
      <c r="FD16" s="2336"/>
      <c r="FE16" s="2336"/>
      <c r="FF16" s="2336"/>
      <c r="FG16" s="2336"/>
      <c r="FH16" s="2336"/>
      <c r="FI16" s="2336"/>
      <c r="FJ16" s="2336"/>
      <c r="FK16" s="2336"/>
      <c r="FL16" s="2336"/>
      <c r="FM16" s="2336"/>
      <c r="FN16" s="2336"/>
      <c r="FO16" s="2336"/>
      <c r="FP16" s="2336"/>
      <c r="FQ16" s="2336"/>
      <c r="FR16" s="2336"/>
      <c r="FS16" s="2336"/>
      <c r="FT16" s="2336"/>
      <c r="FU16" s="2336"/>
      <c r="FV16" s="2336"/>
      <c r="FW16" s="2336"/>
      <c r="FX16" s="2336"/>
      <c r="FY16" s="2336"/>
    </row>
    <row r="17" spans="1:181" s="2336" customFormat="1" ht="39" customHeight="1" x14ac:dyDescent="0.2">
      <c r="A17" s="2346"/>
      <c r="B17" s="233"/>
      <c r="D17" s="3272"/>
      <c r="E17" s="1473" t="s">
        <v>721</v>
      </c>
      <c r="F17" s="1473" t="s">
        <v>720</v>
      </c>
      <c r="G17" s="2349" t="s">
        <v>719</v>
      </c>
      <c r="H17" s="1473" t="s">
        <v>721</v>
      </c>
      <c r="I17" s="1473" t="s">
        <v>720</v>
      </c>
      <c r="J17" s="2349" t="s">
        <v>719</v>
      </c>
      <c r="K17" s="1473" t="s">
        <v>721</v>
      </c>
      <c r="L17" s="1473" t="s">
        <v>720</v>
      </c>
      <c r="M17" s="2349" t="s">
        <v>719</v>
      </c>
      <c r="N17" s="1473" t="s">
        <v>721</v>
      </c>
      <c r="O17" s="1473" t="s">
        <v>720</v>
      </c>
      <c r="P17" s="2349" t="s">
        <v>719</v>
      </c>
      <c r="Q17" s="1473" t="s">
        <v>721</v>
      </c>
      <c r="R17" s="1473" t="s">
        <v>720</v>
      </c>
      <c r="S17" s="2349" t="s">
        <v>719</v>
      </c>
      <c r="T17" s="1473" t="s">
        <v>721</v>
      </c>
      <c r="U17" s="1473" t="s">
        <v>720</v>
      </c>
      <c r="V17" s="2349" t="s">
        <v>719</v>
      </c>
      <c r="W17" s="1473" t="s">
        <v>721</v>
      </c>
      <c r="X17" s="1473" t="s">
        <v>720</v>
      </c>
      <c r="Y17" s="2349" t="s">
        <v>719</v>
      </c>
      <c r="Z17" s="1473" t="s">
        <v>721</v>
      </c>
      <c r="AA17" s="1473" t="s">
        <v>720</v>
      </c>
      <c r="AB17" s="2349" t="s">
        <v>719</v>
      </c>
      <c r="AC17" s="1473" t="s">
        <v>721</v>
      </c>
      <c r="AD17" s="1473" t="s">
        <v>720</v>
      </c>
      <c r="AE17" s="2349" t="s">
        <v>719</v>
      </c>
      <c r="AF17" s="1473" t="s">
        <v>721</v>
      </c>
      <c r="AG17" s="1473" t="s">
        <v>720</v>
      </c>
      <c r="AH17" s="2349" t="s">
        <v>719</v>
      </c>
      <c r="AI17" s="1473" t="s">
        <v>721</v>
      </c>
      <c r="AJ17" s="1473" t="s">
        <v>720</v>
      </c>
      <c r="AK17" s="2349" t="s">
        <v>719</v>
      </c>
      <c r="AL17" s="1473" t="s">
        <v>721</v>
      </c>
      <c r="AM17" s="1473" t="s">
        <v>720</v>
      </c>
      <c r="AN17" s="2349" t="s">
        <v>719</v>
      </c>
      <c r="AO17" s="1473" t="s">
        <v>721</v>
      </c>
      <c r="AP17" s="1473" t="s">
        <v>720</v>
      </c>
      <c r="AQ17" s="2349" t="s">
        <v>719</v>
      </c>
      <c r="AR17" s="1473" t="s">
        <v>721</v>
      </c>
      <c r="AS17" s="1473" t="s">
        <v>720</v>
      </c>
      <c r="AT17" s="2349" t="s">
        <v>719</v>
      </c>
      <c r="AU17" s="2347"/>
    </row>
    <row r="18" spans="1:181" s="2336" customFormat="1" ht="14.25" customHeight="1" x14ac:dyDescent="0.2">
      <c r="A18" s="2346"/>
      <c r="B18" s="233"/>
      <c r="D18" s="3166" t="s">
        <v>583</v>
      </c>
      <c r="E18" s="277"/>
      <c r="F18" s="277"/>
      <c r="G18" s="2350"/>
      <c r="H18" s="277"/>
      <c r="I18" s="277"/>
      <c r="J18" s="2350"/>
      <c r="K18" s="277"/>
      <c r="L18" s="277"/>
      <c r="M18" s="2350"/>
      <c r="N18" s="277"/>
      <c r="O18" s="277"/>
      <c r="P18" s="2350"/>
      <c r="Q18" s="277"/>
      <c r="R18" s="277"/>
      <c r="S18" s="2350"/>
      <c r="T18" s="277"/>
      <c r="U18" s="277"/>
      <c r="V18" s="2350"/>
      <c r="W18" s="277"/>
      <c r="X18" s="277"/>
      <c r="Y18" s="2350"/>
      <c r="Z18" s="277"/>
      <c r="AA18" s="277"/>
      <c r="AB18" s="2350"/>
      <c r="AC18" s="277"/>
      <c r="AD18" s="277"/>
      <c r="AE18" s="2350"/>
      <c r="AF18" s="277"/>
      <c r="AG18" s="277"/>
      <c r="AH18" s="2350"/>
      <c r="AI18" s="277"/>
      <c r="AJ18" s="277"/>
      <c r="AK18" s="2350"/>
      <c r="AL18" s="277"/>
      <c r="AM18" s="277"/>
      <c r="AN18" s="2350"/>
      <c r="AO18" s="277"/>
      <c r="AP18" s="277"/>
      <c r="AQ18" s="2350"/>
      <c r="AR18" s="277"/>
      <c r="AS18" s="277"/>
      <c r="AT18" s="2350"/>
      <c r="AU18" s="2347"/>
    </row>
    <row r="19" spans="1:181" s="959" customFormat="1" ht="14.25" x14ac:dyDescent="0.2">
      <c r="A19" s="233"/>
      <c r="B19" s="233"/>
      <c r="C19" s="268"/>
      <c r="D19" s="3289" t="s">
        <v>700</v>
      </c>
      <c r="E19" s="2326">
        <v>1197154</v>
      </c>
      <c r="F19" s="2326">
        <v>1103231</v>
      </c>
      <c r="G19" s="2351">
        <v>42156.9</v>
      </c>
      <c r="H19" s="2326">
        <v>1232899</v>
      </c>
      <c r="I19" s="2326">
        <v>1105948</v>
      </c>
      <c r="J19" s="2351">
        <v>23992.9</v>
      </c>
      <c r="K19" s="2326">
        <v>1268713</v>
      </c>
      <c r="L19" s="2326">
        <v>1165254</v>
      </c>
      <c r="M19" s="2351">
        <v>18718.5</v>
      </c>
      <c r="N19" s="2326">
        <v>1300668</v>
      </c>
      <c r="O19" s="2326">
        <v>1214362</v>
      </c>
      <c r="P19" s="2351">
        <v>28586.799999999999</v>
      </c>
      <c r="Q19" s="2326">
        <v>1347217</v>
      </c>
      <c r="R19" s="2326">
        <v>1281926</v>
      </c>
      <c r="S19" s="2351">
        <v>38415.199999999997</v>
      </c>
      <c r="T19" s="2326">
        <v>1367611</v>
      </c>
      <c r="U19" s="2326">
        <v>1299861</v>
      </c>
      <c r="V19" s="2351">
        <v>21350.7</v>
      </c>
      <c r="W19" s="2326">
        <v>1427297</v>
      </c>
      <c r="X19" s="2326">
        <v>1338941</v>
      </c>
      <c r="Y19" s="2351">
        <v>51156.9</v>
      </c>
      <c r="Z19" s="2326">
        <v>1477414</v>
      </c>
      <c r="AA19" s="2326">
        <v>1395864</v>
      </c>
      <c r="AB19" s="2351">
        <v>41782.699999999997</v>
      </c>
      <c r="AC19" s="2326">
        <v>1494212</v>
      </c>
      <c r="AD19" s="2326">
        <v>1444695</v>
      </c>
      <c r="AE19" s="2351">
        <v>21295.5</v>
      </c>
      <c r="AF19" s="2326">
        <v>1538286</v>
      </c>
      <c r="AG19" s="2326">
        <v>1471036</v>
      </c>
      <c r="AH19" s="2351">
        <v>29856.6</v>
      </c>
      <c r="AI19" s="2326">
        <v>1582315</v>
      </c>
      <c r="AJ19" s="2326">
        <v>1512351</v>
      </c>
      <c r="AK19" s="2351">
        <v>22074.7</v>
      </c>
      <c r="AL19" s="2326">
        <v>1653081</v>
      </c>
      <c r="AM19" s="2326">
        <v>1567669</v>
      </c>
      <c r="AN19" s="2351">
        <v>38347.300000000003</v>
      </c>
      <c r="AO19" s="2326">
        <v>1720395.9</v>
      </c>
      <c r="AP19" s="2326">
        <v>1633469.9</v>
      </c>
      <c r="AQ19" s="2351">
        <v>48969.8</v>
      </c>
      <c r="AR19" s="2326">
        <v>1774564.7</v>
      </c>
      <c r="AS19" s="2326">
        <v>1654798.7</v>
      </c>
      <c r="AT19" s="2351">
        <v>70347</v>
      </c>
    </row>
    <row r="20" spans="1:181" s="959" customFormat="1" ht="14.25" x14ac:dyDescent="0.2">
      <c r="A20" s="233"/>
      <c r="B20" s="233"/>
      <c r="C20" s="268"/>
      <c r="D20" s="3289" t="s">
        <v>415</v>
      </c>
      <c r="E20" s="2326">
        <v>1405029</v>
      </c>
      <c r="F20" s="2326">
        <v>471050</v>
      </c>
      <c r="G20" s="2351">
        <v>62722.400000000001</v>
      </c>
      <c r="H20" s="2326">
        <v>1425281</v>
      </c>
      <c r="I20" s="2326">
        <v>494474</v>
      </c>
      <c r="J20" s="2351">
        <v>57577.9</v>
      </c>
      <c r="K20" s="2326">
        <v>1443589</v>
      </c>
      <c r="L20" s="2326">
        <v>557219</v>
      </c>
      <c r="M20" s="2351">
        <v>68670.899999999994</v>
      </c>
      <c r="N20" s="2326">
        <v>1462829</v>
      </c>
      <c r="O20" s="2326">
        <v>680591</v>
      </c>
      <c r="P20" s="2351">
        <v>51536.6</v>
      </c>
      <c r="Q20" s="2326">
        <v>1479502</v>
      </c>
      <c r="R20" s="2326">
        <v>729409</v>
      </c>
      <c r="S20" s="2351">
        <v>51269.9</v>
      </c>
      <c r="T20" s="2326">
        <v>1491189</v>
      </c>
      <c r="U20" s="2326">
        <v>776548</v>
      </c>
      <c r="V20" s="2351">
        <v>49579.6</v>
      </c>
      <c r="W20" s="2326">
        <v>1522164</v>
      </c>
      <c r="X20" s="2326">
        <v>833247</v>
      </c>
      <c r="Y20" s="2351">
        <v>15308.3</v>
      </c>
      <c r="Z20" s="2326">
        <v>1548750</v>
      </c>
      <c r="AA20" s="2326">
        <v>895922</v>
      </c>
      <c r="AB20" s="2351">
        <v>13199.1</v>
      </c>
      <c r="AC20" s="2326">
        <v>1533606</v>
      </c>
      <c r="AD20" s="2326">
        <v>972954</v>
      </c>
      <c r="AE20" s="2351">
        <v>10673.8</v>
      </c>
      <c r="AF20" s="2326">
        <v>1565752</v>
      </c>
      <c r="AG20" s="2326">
        <v>1026350</v>
      </c>
      <c r="AH20" s="2351">
        <v>7419.46</v>
      </c>
      <c r="AI20" s="2326">
        <v>1601774</v>
      </c>
      <c r="AJ20" s="2326">
        <v>1115297</v>
      </c>
      <c r="AK20" s="2351">
        <v>12907.9</v>
      </c>
      <c r="AL20" s="2326">
        <v>1655617</v>
      </c>
      <c r="AM20" s="2326">
        <v>1178066</v>
      </c>
      <c r="AN20" s="2351">
        <v>11037.3</v>
      </c>
      <c r="AO20" s="2326">
        <v>1694718.3</v>
      </c>
      <c r="AP20" s="2326">
        <v>1322121.5</v>
      </c>
      <c r="AQ20" s="2351">
        <v>12991.4</v>
      </c>
      <c r="AR20" s="2326">
        <v>1727197.3</v>
      </c>
      <c r="AS20" s="2326">
        <v>1408848</v>
      </c>
      <c r="AT20" s="2351">
        <v>11909.8</v>
      </c>
    </row>
    <row r="21" spans="1:181" s="959" customFormat="1" ht="14.25" x14ac:dyDescent="0.2">
      <c r="A21" s="233"/>
      <c r="B21" s="233"/>
      <c r="C21" s="268"/>
      <c r="D21" s="3289" t="s">
        <v>699</v>
      </c>
      <c r="E21" s="2326">
        <v>231048</v>
      </c>
      <c r="F21" s="2326">
        <v>175043</v>
      </c>
      <c r="G21" s="2351">
        <v>22885.1</v>
      </c>
      <c r="H21" s="2326">
        <v>236283</v>
      </c>
      <c r="I21" s="2326">
        <v>179797</v>
      </c>
      <c r="J21" s="2351">
        <v>20880.599999999999</v>
      </c>
      <c r="K21" s="2326">
        <v>241876</v>
      </c>
      <c r="L21" s="2326">
        <v>183919</v>
      </c>
      <c r="M21" s="2351">
        <v>12124.9</v>
      </c>
      <c r="N21" s="2326">
        <v>247671</v>
      </c>
      <c r="O21" s="2326">
        <v>196303</v>
      </c>
      <c r="P21" s="2351">
        <v>12236.4</v>
      </c>
      <c r="Q21" s="2326">
        <v>254104</v>
      </c>
      <c r="R21" s="2326">
        <v>194992</v>
      </c>
      <c r="S21" s="2351">
        <v>14751</v>
      </c>
      <c r="T21" s="2326">
        <v>260652</v>
      </c>
      <c r="U21" s="2326">
        <v>210724</v>
      </c>
      <c r="V21" s="2351">
        <v>9514.0400000000009</v>
      </c>
      <c r="W21" s="2326">
        <v>267075</v>
      </c>
      <c r="X21" s="2326">
        <v>203212</v>
      </c>
      <c r="Y21" s="2351">
        <v>9356.0400000000009</v>
      </c>
      <c r="Z21" s="2326">
        <v>275265</v>
      </c>
      <c r="AA21" s="2326">
        <v>230277</v>
      </c>
      <c r="AB21" s="2351">
        <v>6694.02</v>
      </c>
      <c r="AC21" s="2326">
        <v>270765</v>
      </c>
      <c r="AD21" s="2326">
        <v>226210</v>
      </c>
      <c r="AE21" s="2351">
        <v>3186.49</v>
      </c>
      <c r="AF21" s="2326">
        <v>281685</v>
      </c>
      <c r="AG21" s="2326">
        <v>240219</v>
      </c>
      <c r="AH21" s="2351">
        <v>6347.79</v>
      </c>
      <c r="AI21" s="2326">
        <v>294557</v>
      </c>
      <c r="AJ21" s="2326">
        <v>248562</v>
      </c>
      <c r="AK21" s="2351">
        <v>4631.68</v>
      </c>
      <c r="AL21" s="2326">
        <v>303041</v>
      </c>
      <c r="AM21" s="2326">
        <v>247573</v>
      </c>
      <c r="AN21" s="2351">
        <v>5882.17</v>
      </c>
      <c r="AO21" s="2326">
        <v>311818.3</v>
      </c>
      <c r="AP21" s="2326">
        <v>260613.59999999998</v>
      </c>
      <c r="AQ21" s="2351">
        <v>11134.2</v>
      </c>
      <c r="AR21" s="2326">
        <v>320024.7</v>
      </c>
      <c r="AS21" s="2326">
        <v>258694.5</v>
      </c>
      <c r="AT21" s="2351">
        <v>7295.8</v>
      </c>
    </row>
    <row r="22" spans="1:181" s="959" customFormat="1" ht="14.25" x14ac:dyDescent="0.2">
      <c r="A22" s="233"/>
      <c r="B22" s="233"/>
      <c r="C22" s="268"/>
      <c r="D22" s="3289" t="s">
        <v>417</v>
      </c>
      <c r="E22" s="2326">
        <v>685638</v>
      </c>
      <c r="F22" s="2326">
        <v>444807</v>
      </c>
      <c r="G22" s="2351">
        <v>82232.5</v>
      </c>
      <c r="H22" s="2326">
        <v>696595</v>
      </c>
      <c r="I22" s="2326">
        <v>467978</v>
      </c>
      <c r="J22" s="2351">
        <v>79384</v>
      </c>
      <c r="K22" s="2326">
        <v>710129</v>
      </c>
      <c r="L22" s="2326">
        <v>495133</v>
      </c>
      <c r="M22" s="2351">
        <v>68297.2</v>
      </c>
      <c r="N22" s="2326">
        <v>723243</v>
      </c>
      <c r="O22" s="2326">
        <v>505188</v>
      </c>
      <c r="P22" s="2351">
        <v>108302</v>
      </c>
      <c r="Q22" s="2326">
        <v>734877</v>
      </c>
      <c r="R22" s="2326">
        <v>527111</v>
      </c>
      <c r="S22" s="2351">
        <v>108293</v>
      </c>
      <c r="T22" s="2326">
        <v>752065</v>
      </c>
      <c r="U22" s="2326">
        <v>562904</v>
      </c>
      <c r="V22" s="2351">
        <v>90338.6</v>
      </c>
      <c r="W22" s="2326">
        <v>768064</v>
      </c>
      <c r="X22" s="2326">
        <v>585698</v>
      </c>
      <c r="Y22" s="2351">
        <v>70281.399999999994</v>
      </c>
      <c r="Z22" s="2326">
        <v>789788</v>
      </c>
      <c r="AA22" s="2326">
        <v>620596</v>
      </c>
      <c r="AB22" s="2351">
        <v>42829.9</v>
      </c>
      <c r="AC22" s="2326">
        <v>741559</v>
      </c>
      <c r="AD22" s="2326">
        <v>617291</v>
      </c>
      <c r="AE22" s="2351">
        <v>29855.4</v>
      </c>
      <c r="AF22" s="2326">
        <v>808285</v>
      </c>
      <c r="AG22" s="2326">
        <v>682136</v>
      </c>
      <c r="AH22" s="2351">
        <v>17158.2</v>
      </c>
      <c r="AI22" s="2326">
        <v>813220</v>
      </c>
      <c r="AJ22" s="2326">
        <v>678048</v>
      </c>
      <c r="AK22" s="2351">
        <v>31876.1</v>
      </c>
      <c r="AL22" s="2326">
        <v>861418</v>
      </c>
      <c r="AM22" s="2326">
        <v>717679</v>
      </c>
      <c r="AN22" s="2351">
        <v>45752.2</v>
      </c>
      <c r="AO22" s="2326">
        <v>883494.5</v>
      </c>
      <c r="AP22" s="2326">
        <v>739262.99999999988</v>
      </c>
      <c r="AQ22" s="2351">
        <v>53083.1</v>
      </c>
      <c r="AR22" s="2326">
        <v>905619.5</v>
      </c>
      <c r="AS22" s="2326">
        <v>733766</v>
      </c>
      <c r="AT22" s="2351">
        <v>23730.7</v>
      </c>
    </row>
    <row r="23" spans="1:181" s="959" customFormat="1" ht="14.25" x14ac:dyDescent="0.2">
      <c r="A23" s="233"/>
      <c r="B23" s="233"/>
      <c r="C23" s="268"/>
      <c r="D23" s="3289" t="s">
        <v>418</v>
      </c>
      <c r="E23" s="2326">
        <v>1899868</v>
      </c>
      <c r="F23" s="2326">
        <v>977255</v>
      </c>
      <c r="G23" s="2351">
        <v>6632.36</v>
      </c>
      <c r="H23" s="2326">
        <v>1949344</v>
      </c>
      <c r="I23" s="2326">
        <v>1118088</v>
      </c>
      <c r="J23" s="2351">
        <v>7085.25</v>
      </c>
      <c r="K23" s="2326">
        <v>1997047</v>
      </c>
      <c r="L23" s="2326">
        <v>1171337</v>
      </c>
      <c r="M23" s="2351">
        <v>12100.1</v>
      </c>
      <c r="N23" s="2326">
        <v>2047040</v>
      </c>
      <c r="O23" s="2326">
        <v>1229637</v>
      </c>
      <c r="P23" s="2351">
        <v>3583.63</v>
      </c>
      <c r="Q23" s="2326">
        <v>2098905</v>
      </c>
      <c r="R23" s="2326">
        <v>1318568</v>
      </c>
      <c r="S23" s="2351">
        <v>24606.9</v>
      </c>
      <c r="T23" s="2326">
        <v>2142767</v>
      </c>
      <c r="U23" s="2326">
        <v>1387566</v>
      </c>
      <c r="V23" s="2351">
        <v>10445.9</v>
      </c>
      <c r="W23" s="2326">
        <v>2208589</v>
      </c>
      <c r="X23" s="2326">
        <v>1379951</v>
      </c>
      <c r="Y23" s="2351">
        <v>10190.200000000001</v>
      </c>
      <c r="Z23" s="2326">
        <v>2290073</v>
      </c>
      <c r="AA23" s="2326">
        <v>1586010</v>
      </c>
      <c r="AB23" s="2351">
        <v>881.52800000000002</v>
      </c>
      <c r="AC23" s="2326">
        <v>2263623</v>
      </c>
      <c r="AD23" s="2326">
        <v>1636799</v>
      </c>
      <c r="AE23" s="2351">
        <v>7101.85</v>
      </c>
      <c r="AF23" s="2326">
        <v>2387496</v>
      </c>
      <c r="AG23" s="2326">
        <v>1692320</v>
      </c>
      <c r="AH23" s="2351">
        <v>1844.16</v>
      </c>
      <c r="AI23" s="2326">
        <v>2462311</v>
      </c>
      <c r="AJ23" s="2326">
        <v>1659340</v>
      </c>
      <c r="AK23" s="2351">
        <v>29953.8</v>
      </c>
      <c r="AL23" s="2326">
        <v>2566124</v>
      </c>
      <c r="AM23" s="2326">
        <v>1897334</v>
      </c>
      <c r="AN23" s="2351">
        <v>18797</v>
      </c>
      <c r="AO23" s="2326">
        <v>2663345</v>
      </c>
      <c r="AP23" s="2326">
        <v>2039841.9</v>
      </c>
      <c r="AQ23" s="2351">
        <v>4409.3999999999996</v>
      </c>
      <c r="AR23" s="2326">
        <v>2746500.5</v>
      </c>
      <c r="AS23" s="2326">
        <v>2128190.0999999996</v>
      </c>
      <c r="AT23" s="2351">
        <v>10450.900000000001</v>
      </c>
    </row>
    <row r="24" spans="1:181" s="959" customFormat="1" ht="14.25" x14ac:dyDescent="0.2">
      <c r="A24" s="233"/>
      <c r="B24" s="233"/>
      <c r="C24" s="268"/>
      <c r="D24" s="3289" t="s">
        <v>419</v>
      </c>
      <c r="E24" s="2326">
        <v>837281</v>
      </c>
      <c r="F24" s="2326">
        <v>456175</v>
      </c>
      <c r="G24" s="2351">
        <v>20711.599999999999</v>
      </c>
      <c r="H24" s="2326">
        <v>857256</v>
      </c>
      <c r="I24" s="2326">
        <v>526305</v>
      </c>
      <c r="J24" s="2351">
        <v>16550.7</v>
      </c>
      <c r="K24" s="2326">
        <v>878343</v>
      </c>
      <c r="L24" s="2326">
        <v>509501</v>
      </c>
      <c r="M24" s="2351">
        <v>20434.900000000001</v>
      </c>
      <c r="N24" s="2326">
        <v>900820</v>
      </c>
      <c r="O24" s="2326">
        <v>496379</v>
      </c>
      <c r="P24" s="2351">
        <v>32843.699999999997</v>
      </c>
      <c r="Q24" s="2326">
        <v>925593</v>
      </c>
      <c r="R24" s="2326">
        <v>501457</v>
      </c>
      <c r="S24" s="2351">
        <v>29651.4</v>
      </c>
      <c r="T24" s="2326">
        <v>949816</v>
      </c>
      <c r="U24" s="2326">
        <v>591658</v>
      </c>
      <c r="V24" s="2351">
        <v>15467</v>
      </c>
      <c r="W24" s="2326">
        <v>975440</v>
      </c>
      <c r="X24" s="2326">
        <v>565208</v>
      </c>
      <c r="Y24" s="2351">
        <v>8041.48</v>
      </c>
      <c r="Z24" s="2326">
        <v>1009618</v>
      </c>
      <c r="AA24" s="2326">
        <v>654524</v>
      </c>
      <c r="AB24" s="2351">
        <v>3798.71</v>
      </c>
      <c r="AC24" s="2326">
        <v>1014249</v>
      </c>
      <c r="AD24" s="2326">
        <v>673436</v>
      </c>
      <c r="AE24" s="2351">
        <v>524.98599999999999</v>
      </c>
      <c r="AF24" s="2326">
        <v>1059809</v>
      </c>
      <c r="AG24" s="2326">
        <v>689491</v>
      </c>
      <c r="AH24" s="2351">
        <v>2358.59</v>
      </c>
      <c r="AI24" s="2326">
        <v>1092631</v>
      </c>
      <c r="AJ24" s="2326">
        <v>785838</v>
      </c>
      <c r="AK24" s="2351">
        <v>2549.89</v>
      </c>
      <c r="AL24" s="2326">
        <v>1137153</v>
      </c>
      <c r="AM24" s="2326">
        <v>796023</v>
      </c>
      <c r="AN24" s="2351">
        <v>2762.8</v>
      </c>
      <c r="AO24" s="2326">
        <v>1176578.5</v>
      </c>
      <c r="AP24" s="2326">
        <v>783329.2</v>
      </c>
      <c r="AQ24" s="2351">
        <v>4788.3</v>
      </c>
      <c r="AR24" s="2326">
        <v>1215381.6000000001</v>
      </c>
      <c r="AS24" s="2326">
        <v>805101.8</v>
      </c>
      <c r="AT24" s="2351">
        <v>3059.1</v>
      </c>
    </row>
    <row r="25" spans="1:181" s="959" customFormat="1" x14ac:dyDescent="0.25">
      <c r="A25" s="233"/>
      <c r="B25" s="233"/>
      <c r="C25" s="268"/>
      <c r="D25" s="3289" t="s">
        <v>420</v>
      </c>
      <c r="E25" s="2326">
        <v>2737213</v>
      </c>
      <c r="F25" s="2326">
        <v>2433631</v>
      </c>
      <c r="G25" s="2351">
        <v>12954.5</v>
      </c>
      <c r="H25" s="2326">
        <v>2846196</v>
      </c>
      <c r="I25" s="2326">
        <v>2542349</v>
      </c>
      <c r="J25" s="2351">
        <v>10184.9</v>
      </c>
      <c r="K25" s="2326">
        <v>2957980</v>
      </c>
      <c r="L25" s="2326">
        <v>2658595</v>
      </c>
      <c r="M25" s="2351">
        <v>6784.14</v>
      </c>
      <c r="N25" s="2326">
        <v>3079518</v>
      </c>
      <c r="O25" s="2326">
        <v>2724754</v>
      </c>
      <c r="P25" s="2351">
        <v>7845.6</v>
      </c>
      <c r="Q25" s="2326">
        <v>3211326</v>
      </c>
      <c r="R25" s="2326">
        <v>2861949</v>
      </c>
      <c r="S25" s="2351">
        <v>5505.8</v>
      </c>
      <c r="T25" s="2326">
        <v>3335024</v>
      </c>
      <c r="U25" s="2326">
        <v>2936846</v>
      </c>
      <c r="V25" s="2351">
        <v>9309.7000000000007</v>
      </c>
      <c r="W25" s="2326">
        <v>3478265</v>
      </c>
      <c r="X25" s="2326">
        <v>3174397</v>
      </c>
      <c r="Y25" s="2351">
        <v>15798.6</v>
      </c>
      <c r="Z25" s="2326">
        <v>3661106</v>
      </c>
      <c r="AA25" s="2326">
        <v>3221358</v>
      </c>
      <c r="AB25" s="2351">
        <v>26590.1</v>
      </c>
      <c r="AC25" s="2326">
        <v>3706577</v>
      </c>
      <c r="AD25" s="2326">
        <v>3378569</v>
      </c>
      <c r="AE25" s="2351">
        <v>18831.8</v>
      </c>
      <c r="AF25" s="2326">
        <v>3933349</v>
      </c>
      <c r="AG25" s="2326">
        <v>3594379</v>
      </c>
      <c r="AH25" s="2351">
        <v>7577.11</v>
      </c>
      <c r="AI25" s="2326">
        <v>4056615</v>
      </c>
      <c r="AJ25" s="2326">
        <v>3693440</v>
      </c>
      <c r="AK25" s="2351">
        <v>32271.8</v>
      </c>
      <c r="AL25" s="2326">
        <v>4312130</v>
      </c>
      <c r="AM25" s="2326">
        <v>3887909</v>
      </c>
      <c r="AN25" s="2351">
        <v>46234.2</v>
      </c>
      <c r="AO25" s="2326">
        <v>4500835.0999999996</v>
      </c>
      <c r="AP25" s="2326">
        <v>4103654.8</v>
      </c>
      <c r="AQ25" s="2351">
        <v>53856.5</v>
      </c>
      <c r="AR25" s="2326">
        <v>4689505.9000000004</v>
      </c>
      <c r="AS25" s="2326">
        <v>4274864.3</v>
      </c>
      <c r="AT25" s="2351">
        <v>49011.9</v>
      </c>
      <c r="AX25" s="2352"/>
    </row>
    <row r="26" spans="1:181" s="959" customFormat="1" x14ac:dyDescent="0.25">
      <c r="A26" s="233"/>
      <c r="B26" s="233"/>
      <c r="C26" s="268"/>
      <c r="D26" s="3289" t="s">
        <v>421</v>
      </c>
      <c r="E26" s="2326">
        <v>773609</v>
      </c>
      <c r="F26" s="2326">
        <v>394040</v>
      </c>
      <c r="G26" s="2351">
        <v>20997.200000000001</v>
      </c>
      <c r="H26" s="2326">
        <v>798549</v>
      </c>
      <c r="I26" s="2326">
        <v>436628</v>
      </c>
      <c r="J26" s="2351">
        <v>16963</v>
      </c>
      <c r="K26" s="2326">
        <v>824344</v>
      </c>
      <c r="L26" s="2326">
        <v>457607</v>
      </c>
      <c r="M26" s="2351">
        <v>19329.900000000001</v>
      </c>
      <c r="N26" s="2326">
        <v>850672</v>
      </c>
      <c r="O26" s="2326">
        <v>410861</v>
      </c>
      <c r="P26" s="2351">
        <v>17424.400000000001</v>
      </c>
      <c r="Q26" s="2326">
        <v>881060</v>
      </c>
      <c r="R26" s="2326">
        <v>468536</v>
      </c>
      <c r="S26" s="2351">
        <v>7675.45</v>
      </c>
      <c r="T26" s="2326">
        <v>906626</v>
      </c>
      <c r="U26" s="2326">
        <v>526879</v>
      </c>
      <c r="V26" s="2351">
        <v>2987.4</v>
      </c>
      <c r="W26" s="2326">
        <v>944315</v>
      </c>
      <c r="X26" s="2326">
        <v>511132</v>
      </c>
      <c r="Y26" s="2351">
        <v>3929.86</v>
      </c>
      <c r="Z26" s="2326">
        <v>980878</v>
      </c>
      <c r="AA26" s="2326">
        <v>514022</v>
      </c>
      <c r="AB26" s="2351">
        <v>8164.95</v>
      </c>
      <c r="AC26" s="2326">
        <v>983770</v>
      </c>
      <c r="AD26" s="2326">
        <v>543188</v>
      </c>
      <c r="AE26" s="2351">
        <v>1366.45</v>
      </c>
      <c r="AF26" s="2326">
        <v>1037984</v>
      </c>
      <c r="AG26" s="2326">
        <v>593697</v>
      </c>
      <c r="AH26" s="2351">
        <v>1326.66</v>
      </c>
      <c r="AI26" s="2326">
        <v>1077039</v>
      </c>
      <c r="AJ26" s="2326">
        <v>670106</v>
      </c>
      <c r="AK26" s="2351">
        <v>0</v>
      </c>
      <c r="AL26" s="2326">
        <v>1126010</v>
      </c>
      <c r="AM26" s="2326">
        <v>706389</v>
      </c>
      <c r="AN26" s="2351">
        <v>0</v>
      </c>
      <c r="AO26" s="2326">
        <v>1167869.2</v>
      </c>
      <c r="AP26" s="2326">
        <v>749750.5</v>
      </c>
      <c r="AQ26" s="2351">
        <v>2042.4</v>
      </c>
      <c r="AR26" s="2326">
        <v>1210824.6000000001</v>
      </c>
      <c r="AS26" s="2326">
        <v>795709.10000000009</v>
      </c>
      <c r="AT26" s="2351">
        <v>618.29999999999995</v>
      </c>
      <c r="AX26" s="2352"/>
    </row>
    <row r="27" spans="1:181" s="959" customFormat="1" x14ac:dyDescent="0.25">
      <c r="A27" s="233"/>
      <c r="B27" s="233"/>
      <c r="C27" s="268"/>
      <c r="D27" s="3289" t="s">
        <v>422</v>
      </c>
      <c r="E27" s="2326">
        <v>1037024</v>
      </c>
      <c r="F27" s="2326">
        <v>280383</v>
      </c>
      <c r="G27" s="2351">
        <v>1375.38</v>
      </c>
      <c r="H27" s="2326">
        <v>1065282</v>
      </c>
      <c r="I27" s="2326">
        <v>279687</v>
      </c>
      <c r="J27" s="2351">
        <v>496.00599999999997</v>
      </c>
      <c r="K27" s="2326">
        <v>1096062</v>
      </c>
      <c r="L27" s="2326">
        <v>379024</v>
      </c>
      <c r="M27" s="2351">
        <v>644.154</v>
      </c>
      <c r="N27" s="2326">
        <v>1126995</v>
      </c>
      <c r="O27" s="2326">
        <v>402904</v>
      </c>
      <c r="P27" s="2351">
        <v>1335.39</v>
      </c>
      <c r="Q27" s="2326">
        <v>1157910</v>
      </c>
      <c r="R27" s="2326">
        <v>393439</v>
      </c>
      <c r="S27" s="2351">
        <v>4622.7700000000004</v>
      </c>
      <c r="T27" s="2326">
        <v>1191477</v>
      </c>
      <c r="U27" s="2326">
        <v>436598</v>
      </c>
      <c r="V27" s="2351">
        <v>2461.3200000000002</v>
      </c>
      <c r="W27" s="2326">
        <v>1225908</v>
      </c>
      <c r="X27" s="2326">
        <v>393115</v>
      </c>
      <c r="Y27" s="2351">
        <v>5728.46</v>
      </c>
      <c r="Z27" s="2326">
        <v>1269657</v>
      </c>
      <c r="AA27" s="2326">
        <v>515753</v>
      </c>
      <c r="AB27" s="2351">
        <v>1673.99</v>
      </c>
      <c r="AC27" s="2326">
        <v>1275648</v>
      </c>
      <c r="AD27" s="2326">
        <v>521229</v>
      </c>
      <c r="AE27" s="2351">
        <v>290.27199999999999</v>
      </c>
      <c r="AF27" s="2326">
        <v>1330679</v>
      </c>
      <c r="AG27" s="2326">
        <v>608921</v>
      </c>
      <c r="AH27" s="2351">
        <v>0</v>
      </c>
      <c r="AI27" s="2326">
        <v>1373087</v>
      </c>
      <c r="AJ27" s="2326">
        <v>678155</v>
      </c>
      <c r="AK27" s="2351">
        <v>516.32299999999998</v>
      </c>
      <c r="AL27" s="2326">
        <v>1430987</v>
      </c>
      <c r="AM27" s="2326">
        <v>715412</v>
      </c>
      <c r="AN27" s="2351">
        <v>8096.32</v>
      </c>
      <c r="AO27" s="2326">
        <v>1483195.7</v>
      </c>
      <c r="AP27" s="2326">
        <v>798674.39999999991</v>
      </c>
      <c r="AQ27" s="2351">
        <v>5223.3</v>
      </c>
      <c r="AR27" s="2326">
        <v>1532370.6</v>
      </c>
      <c r="AS27" s="2326">
        <v>821912.7</v>
      </c>
      <c r="AT27" s="2351">
        <v>2712</v>
      </c>
      <c r="AX27" s="2352"/>
    </row>
    <row r="28" spans="1:181" s="2355" customFormat="1" x14ac:dyDescent="0.25">
      <c r="A28" s="233"/>
      <c r="B28" s="233"/>
      <c r="C28" s="268"/>
      <c r="D28" s="3290" t="s">
        <v>0</v>
      </c>
      <c r="E28" s="2353">
        <v>10814219</v>
      </c>
      <c r="F28" s="2353">
        <v>6735615</v>
      </c>
      <c r="G28" s="2354">
        <v>272668</v>
      </c>
      <c r="H28" s="2353">
        <v>11113079</v>
      </c>
      <c r="I28" s="2353">
        <v>7151254</v>
      </c>
      <c r="J28" s="2354">
        <v>233115</v>
      </c>
      <c r="K28" s="2353">
        <v>11425278</v>
      </c>
      <c r="L28" s="2353">
        <v>7577590</v>
      </c>
      <c r="M28" s="2354">
        <v>227105</v>
      </c>
      <c r="N28" s="2353">
        <v>11753563</v>
      </c>
      <c r="O28" s="2353">
        <v>7860980</v>
      </c>
      <c r="P28" s="2354">
        <v>263694</v>
      </c>
      <c r="Q28" s="2353">
        <v>12106894</v>
      </c>
      <c r="R28" s="2353">
        <v>8277386</v>
      </c>
      <c r="S28" s="2354">
        <v>284791</v>
      </c>
      <c r="T28" s="2353">
        <v>12485206</v>
      </c>
      <c r="U28" s="2353">
        <v>8729585</v>
      </c>
      <c r="V28" s="2354">
        <v>211454</v>
      </c>
      <c r="W28" s="2353">
        <v>12885628</v>
      </c>
      <c r="X28" s="2353">
        <v>8984900</v>
      </c>
      <c r="Y28" s="2354">
        <v>189791</v>
      </c>
      <c r="Z28" s="2353">
        <v>13302549</v>
      </c>
      <c r="AA28" s="2353">
        <v>9634325</v>
      </c>
      <c r="AB28" s="2354">
        <v>145615</v>
      </c>
      <c r="AC28" s="2353">
        <v>13730737</v>
      </c>
      <c r="AD28" s="2353">
        <v>10014372</v>
      </c>
      <c r="AE28" s="2354">
        <v>93126.6</v>
      </c>
      <c r="AF28" s="2353">
        <v>14173334</v>
      </c>
      <c r="AG28" s="2353">
        <v>10598549</v>
      </c>
      <c r="AH28" s="2354">
        <v>73888.5</v>
      </c>
      <c r="AI28" s="2353">
        <v>14631096</v>
      </c>
      <c r="AJ28" s="2353">
        <v>11041137</v>
      </c>
      <c r="AK28" s="2354">
        <v>136782</v>
      </c>
      <c r="AL28" s="2353">
        <v>15106552</v>
      </c>
      <c r="AM28" s="2353">
        <v>11714054</v>
      </c>
      <c r="AN28" s="2354">
        <v>176909</v>
      </c>
      <c r="AO28" s="2353">
        <v>15602250.6</v>
      </c>
      <c r="AP28" s="2353">
        <v>12430718.800000001</v>
      </c>
      <c r="AQ28" s="2354">
        <v>196498</v>
      </c>
      <c r="AR28" s="2353">
        <v>16121989.4</v>
      </c>
      <c r="AS28" s="2353">
        <v>12881883</v>
      </c>
      <c r="AT28" s="2354">
        <f>AT19+AT20+AT21+AT22+AT23+AT24+AT25+AT26+AT27</f>
        <v>179135.5</v>
      </c>
      <c r="AU28" s="959"/>
      <c r="AV28" s="959"/>
      <c r="AW28" s="959"/>
      <c r="AX28" s="2352"/>
      <c r="AY28" s="959"/>
      <c r="AZ28" s="959"/>
      <c r="BA28" s="959"/>
      <c r="BB28" s="959"/>
      <c r="BC28" s="959"/>
      <c r="BD28" s="959"/>
      <c r="BE28" s="959"/>
      <c r="BF28" s="959"/>
      <c r="BG28" s="959"/>
      <c r="BH28" s="959"/>
      <c r="BI28" s="959"/>
      <c r="BJ28" s="959"/>
      <c r="BK28" s="959"/>
      <c r="BL28" s="959"/>
      <c r="BM28" s="959"/>
      <c r="BN28" s="959"/>
      <c r="BO28" s="959"/>
      <c r="BP28" s="959"/>
      <c r="BQ28" s="959"/>
      <c r="BR28" s="959"/>
      <c r="BS28" s="959"/>
      <c r="BT28" s="959"/>
      <c r="BU28" s="959"/>
      <c r="BV28" s="959"/>
      <c r="BW28" s="959"/>
      <c r="BX28" s="959"/>
      <c r="BY28" s="959"/>
      <c r="BZ28" s="959"/>
      <c r="CA28" s="959"/>
      <c r="CB28" s="959"/>
      <c r="CC28" s="959"/>
      <c r="CD28" s="959"/>
      <c r="CE28" s="959"/>
      <c r="CF28" s="959"/>
      <c r="CG28" s="959"/>
      <c r="CH28" s="959"/>
      <c r="CI28" s="959"/>
      <c r="CJ28" s="959"/>
      <c r="CK28" s="959"/>
      <c r="CL28" s="959"/>
      <c r="CM28" s="959"/>
      <c r="CN28" s="959"/>
      <c r="CO28" s="959"/>
      <c r="CP28" s="959"/>
      <c r="CQ28" s="959"/>
      <c r="CR28" s="959"/>
      <c r="CS28" s="959"/>
      <c r="CT28" s="959"/>
      <c r="CU28" s="959"/>
      <c r="CV28" s="959"/>
      <c r="CW28" s="959"/>
      <c r="CX28" s="959"/>
      <c r="CY28" s="959"/>
      <c r="CZ28" s="959"/>
      <c r="DA28" s="959"/>
      <c r="DB28" s="959"/>
      <c r="DC28" s="959"/>
      <c r="DD28" s="959"/>
      <c r="DE28" s="959"/>
      <c r="DF28" s="959"/>
      <c r="DG28" s="959"/>
      <c r="DH28" s="959"/>
      <c r="DI28" s="959"/>
      <c r="DJ28" s="959"/>
      <c r="DK28" s="959"/>
      <c r="DL28" s="959"/>
      <c r="DM28" s="959"/>
      <c r="DN28" s="959"/>
      <c r="DO28" s="959"/>
      <c r="DP28" s="959"/>
      <c r="DQ28" s="959"/>
      <c r="DR28" s="959"/>
      <c r="DS28" s="959"/>
      <c r="DT28" s="959"/>
      <c r="DU28" s="959"/>
      <c r="DV28" s="959"/>
      <c r="DW28" s="959"/>
      <c r="DX28" s="959"/>
      <c r="DY28" s="959"/>
      <c r="DZ28" s="959"/>
      <c r="EA28" s="959"/>
      <c r="EB28" s="959"/>
      <c r="EC28" s="959"/>
      <c r="ED28" s="959"/>
      <c r="EE28" s="959"/>
      <c r="EF28" s="959"/>
      <c r="EG28" s="959"/>
      <c r="EH28" s="959"/>
      <c r="EI28" s="959"/>
      <c r="EJ28" s="959"/>
      <c r="EK28" s="959"/>
      <c r="EL28" s="959"/>
      <c r="EM28" s="959"/>
      <c r="EN28" s="959"/>
      <c r="EO28" s="959"/>
      <c r="EP28" s="959"/>
      <c r="EQ28" s="959"/>
      <c r="ER28" s="959"/>
      <c r="ES28" s="959"/>
      <c r="ET28" s="959"/>
      <c r="EU28" s="959"/>
      <c r="EV28" s="959"/>
      <c r="EW28" s="959"/>
      <c r="EX28" s="959"/>
      <c r="EY28" s="959"/>
      <c r="EZ28" s="959"/>
      <c r="FA28" s="959"/>
      <c r="FB28" s="959"/>
      <c r="FC28" s="959"/>
      <c r="FD28" s="959"/>
      <c r="FE28" s="959"/>
      <c r="FF28" s="959"/>
      <c r="FG28" s="959"/>
      <c r="FH28" s="959"/>
      <c r="FI28" s="959"/>
      <c r="FJ28" s="959"/>
      <c r="FK28" s="959"/>
      <c r="FL28" s="959"/>
      <c r="FM28" s="959"/>
      <c r="FN28" s="959"/>
      <c r="FO28" s="959"/>
      <c r="FP28" s="959"/>
      <c r="FQ28" s="959"/>
      <c r="FR28" s="959"/>
      <c r="FS28" s="959"/>
      <c r="FT28" s="959"/>
      <c r="FU28" s="959"/>
      <c r="FV28" s="959"/>
      <c r="FW28" s="959"/>
      <c r="FX28" s="959"/>
      <c r="FY28" s="959"/>
    </row>
    <row r="29" spans="1:181" x14ac:dyDescent="0.25">
      <c r="A29" s="2333"/>
      <c r="B29" s="2333"/>
      <c r="C29" s="2333"/>
      <c r="D29" s="2356"/>
      <c r="E29" s="2356"/>
      <c r="F29" s="2356"/>
      <c r="G29" s="2356"/>
      <c r="H29" s="887"/>
      <c r="I29" s="887"/>
      <c r="J29" s="887"/>
      <c r="K29" s="887"/>
      <c r="L29" s="887"/>
      <c r="M29" s="887"/>
      <c r="N29" s="887"/>
      <c r="O29" s="887"/>
      <c r="P29" s="887"/>
      <c r="Q29" s="887"/>
      <c r="R29" s="887"/>
      <c r="S29" s="887"/>
      <c r="T29" s="887"/>
      <c r="U29" s="887"/>
      <c r="V29" s="887"/>
      <c r="AC29" s="2357"/>
    </row>
    <row r="30" spans="1:181" x14ac:dyDescent="0.25">
      <c r="A30" s="2333"/>
      <c r="B30" s="2333"/>
      <c r="C30" s="2333"/>
      <c r="D30" s="2356"/>
      <c r="E30" s="2356"/>
      <c r="F30" s="2356"/>
      <c r="G30" s="2356"/>
      <c r="H30" s="887"/>
      <c r="I30" s="887"/>
      <c r="J30" s="887"/>
      <c r="K30" s="887"/>
      <c r="L30" s="887"/>
      <c r="M30" s="887"/>
      <c r="N30" s="887"/>
      <c r="O30" s="887"/>
      <c r="P30" s="887"/>
      <c r="Q30" s="887"/>
      <c r="R30" s="887"/>
      <c r="S30" s="887"/>
      <c r="T30" s="887"/>
      <c r="U30" s="887"/>
      <c r="V30" s="887"/>
      <c r="AC30" s="2357"/>
    </row>
    <row r="31" spans="1:181" x14ac:dyDescent="0.25">
      <c r="A31" s="2333"/>
      <c r="B31" s="2333"/>
      <c r="C31" s="2333"/>
      <c r="D31" s="2356"/>
      <c r="E31" s="2356"/>
      <c r="F31" s="2356"/>
      <c r="G31" s="2356"/>
      <c r="H31" s="887"/>
      <c r="I31" s="887"/>
      <c r="J31" s="887"/>
      <c r="K31" s="887"/>
      <c r="L31" s="887"/>
      <c r="M31" s="887"/>
      <c r="N31" s="887"/>
      <c r="O31" s="887"/>
      <c r="P31" s="887"/>
      <c r="Q31" s="887"/>
      <c r="R31" s="887"/>
      <c r="S31" s="887"/>
      <c r="T31" s="887"/>
      <c r="U31" s="887"/>
      <c r="V31" s="887"/>
      <c r="AC31" s="2357"/>
    </row>
    <row r="32" spans="1:181" x14ac:dyDescent="0.25">
      <c r="A32" s="2333"/>
      <c r="B32" s="2333"/>
      <c r="C32" s="2333"/>
      <c r="D32" s="2356"/>
      <c r="E32" s="2356"/>
      <c r="F32" s="2356"/>
      <c r="G32" s="2356"/>
      <c r="H32" s="887"/>
      <c r="I32" s="887"/>
      <c r="J32" s="887"/>
      <c r="K32" s="887"/>
      <c r="L32" s="887"/>
      <c r="M32" s="887"/>
      <c r="N32" s="887"/>
      <c r="O32" s="887"/>
      <c r="P32" s="887"/>
      <c r="Q32" s="887"/>
      <c r="R32" s="887"/>
      <c r="S32" s="887"/>
      <c r="T32" s="887"/>
      <c r="U32" s="887"/>
      <c r="V32" s="887"/>
      <c r="AC32" s="2357"/>
    </row>
    <row r="33" spans="1:29" x14ac:dyDescent="0.25">
      <c r="A33" s="2333"/>
      <c r="B33" s="2333"/>
      <c r="C33" s="2333"/>
      <c r="D33" s="2356"/>
      <c r="E33" s="2356"/>
      <c r="F33" s="2356"/>
      <c r="G33" s="2356"/>
      <c r="H33" s="887"/>
      <c r="I33" s="887"/>
      <c r="J33" s="887"/>
      <c r="K33" s="887"/>
      <c r="L33" s="887"/>
      <c r="M33" s="887"/>
      <c r="N33" s="887"/>
      <c r="O33" s="887"/>
      <c r="P33" s="887"/>
      <c r="Q33" s="887"/>
      <c r="R33" s="887"/>
      <c r="S33" s="887"/>
      <c r="T33" s="887"/>
      <c r="U33" s="887"/>
      <c r="V33" s="887"/>
      <c r="AC33" s="2357"/>
    </row>
    <row r="34" spans="1:29" x14ac:dyDescent="0.25">
      <c r="A34" s="2333"/>
      <c r="B34" s="2333"/>
      <c r="C34" s="2333"/>
      <c r="D34" s="2356"/>
      <c r="E34" s="2356"/>
      <c r="F34" s="2356"/>
      <c r="G34" s="2356"/>
      <c r="H34" s="887"/>
      <c r="I34" s="887"/>
      <c r="J34" s="887"/>
      <c r="K34" s="887"/>
      <c r="L34" s="887"/>
      <c r="M34" s="887"/>
      <c r="N34" s="887"/>
      <c r="O34" s="887"/>
      <c r="P34" s="887"/>
      <c r="Q34" s="887"/>
      <c r="R34" s="887"/>
      <c r="S34" s="887"/>
      <c r="T34" s="887"/>
      <c r="U34" s="887"/>
      <c r="V34" s="887"/>
      <c r="AC34" s="2357"/>
    </row>
    <row r="35" spans="1:29" x14ac:dyDescent="0.25">
      <c r="A35" s="2333"/>
      <c r="B35" s="2333"/>
      <c r="C35" s="2333"/>
      <c r="D35" s="2356"/>
      <c r="E35" s="2356"/>
      <c r="F35" s="2356"/>
      <c r="G35" s="2356"/>
      <c r="H35" s="887"/>
      <c r="I35" s="887"/>
      <c r="J35" s="887"/>
      <c r="K35" s="887"/>
      <c r="L35" s="887"/>
      <c r="M35" s="887"/>
      <c r="N35" s="887"/>
      <c r="O35" s="887"/>
      <c r="P35" s="887"/>
      <c r="Q35" s="887"/>
      <c r="R35" s="887"/>
      <c r="S35" s="887"/>
      <c r="T35" s="887"/>
      <c r="U35" s="887"/>
      <c r="V35" s="887"/>
      <c r="AC35" s="2357"/>
    </row>
    <row r="36" spans="1:29" x14ac:dyDescent="0.25">
      <c r="A36" s="2333"/>
      <c r="B36" s="2333"/>
      <c r="C36" s="2333"/>
      <c r="D36" s="2356"/>
      <c r="E36" s="2356"/>
      <c r="F36" s="2356"/>
      <c r="G36" s="2356"/>
      <c r="H36" s="887"/>
      <c r="I36" s="887"/>
      <c r="J36" s="887"/>
      <c r="K36" s="887"/>
      <c r="L36" s="887"/>
      <c r="M36" s="887"/>
      <c r="N36" s="887"/>
      <c r="O36" s="887"/>
      <c r="P36" s="887"/>
      <c r="Q36" s="887"/>
      <c r="R36" s="887"/>
      <c r="S36" s="887"/>
      <c r="T36" s="887"/>
      <c r="U36" s="887"/>
      <c r="V36" s="887"/>
      <c r="AC36" s="2357"/>
    </row>
    <row r="37" spans="1:29" x14ac:dyDescent="0.25">
      <c r="A37" s="2333"/>
      <c r="B37" s="2333"/>
      <c r="C37" s="2333"/>
      <c r="D37" s="2356"/>
      <c r="E37" s="2356"/>
      <c r="F37" s="2356"/>
      <c r="G37" s="2356"/>
      <c r="H37" s="887"/>
      <c r="I37" s="887"/>
      <c r="J37" s="887"/>
      <c r="K37" s="887"/>
      <c r="L37" s="887"/>
      <c r="M37" s="887"/>
      <c r="N37" s="887"/>
      <c r="O37" s="887"/>
      <c r="P37" s="887"/>
      <c r="Q37" s="887"/>
      <c r="R37" s="887"/>
      <c r="S37" s="887"/>
      <c r="T37" s="887"/>
      <c r="U37" s="887"/>
      <c r="V37" s="887"/>
      <c r="AC37" s="2357"/>
    </row>
    <row r="38" spans="1:29" x14ac:dyDescent="0.25">
      <c r="A38" s="2333"/>
      <c r="B38" s="2333"/>
      <c r="C38" s="2333"/>
      <c r="D38" s="2356"/>
      <c r="E38" s="2356"/>
      <c r="F38" s="2356"/>
      <c r="G38" s="2356"/>
      <c r="H38" s="887"/>
      <c r="I38" s="887"/>
      <c r="J38" s="887"/>
      <c r="K38" s="887"/>
      <c r="L38" s="887"/>
      <c r="M38" s="887"/>
      <c r="N38" s="887"/>
      <c r="O38" s="887"/>
      <c r="P38" s="887"/>
      <c r="Q38" s="887"/>
      <c r="R38" s="887"/>
      <c r="S38" s="887"/>
      <c r="T38" s="887"/>
      <c r="U38" s="887"/>
      <c r="V38" s="887"/>
      <c r="AC38" s="2357"/>
    </row>
    <row r="39" spans="1:29" x14ac:dyDescent="0.25">
      <c r="A39" s="2333"/>
      <c r="B39" s="2333"/>
      <c r="C39" s="2333"/>
      <c r="D39" s="2356"/>
      <c r="E39" s="2356"/>
      <c r="F39" s="2356"/>
      <c r="G39" s="2356"/>
      <c r="H39" s="887"/>
      <c r="I39" s="887"/>
      <c r="J39" s="887"/>
      <c r="K39" s="887"/>
      <c r="L39" s="887"/>
      <c r="M39" s="887"/>
      <c r="N39" s="887"/>
      <c r="O39" s="887"/>
      <c r="P39" s="887"/>
      <c r="Q39" s="887"/>
      <c r="R39" s="887"/>
      <c r="S39" s="887"/>
      <c r="T39" s="887"/>
      <c r="U39" s="887"/>
      <c r="V39" s="887"/>
      <c r="AC39" s="2357"/>
    </row>
    <row r="40" spans="1:29" x14ac:dyDescent="0.25">
      <c r="A40" s="2333"/>
      <c r="B40" s="2333"/>
      <c r="C40" s="2333"/>
      <c r="D40" s="2356"/>
      <c r="E40" s="2356"/>
      <c r="F40" s="2356"/>
      <c r="G40" s="2356"/>
      <c r="H40" s="887"/>
      <c r="I40" s="887"/>
      <c r="J40" s="887"/>
      <c r="K40" s="887"/>
      <c r="L40" s="887"/>
      <c r="M40" s="887"/>
      <c r="N40" s="887"/>
      <c r="O40" s="887"/>
      <c r="P40" s="887"/>
      <c r="Q40" s="887"/>
      <c r="R40" s="887"/>
      <c r="S40" s="887"/>
      <c r="T40" s="887"/>
      <c r="U40" s="887"/>
      <c r="V40" s="887"/>
      <c r="AC40" s="2357"/>
    </row>
    <row r="41" spans="1:29" x14ac:dyDescent="0.25">
      <c r="A41" s="2333"/>
      <c r="B41" s="2333"/>
      <c r="C41" s="2333"/>
      <c r="D41" s="2356"/>
      <c r="E41" s="2356"/>
      <c r="F41" s="2356"/>
      <c r="G41" s="2356"/>
      <c r="H41" s="887"/>
      <c r="I41" s="887"/>
      <c r="J41" s="887"/>
      <c r="K41" s="887"/>
      <c r="L41" s="887"/>
      <c r="M41" s="887"/>
      <c r="N41" s="887"/>
      <c r="O41" s="887"/>
      <c r="P41" s="887"/>
      <c r="Q41" s="887"/>
      <c r="R41" s="887"/>
      <c r="S41" s="887"/>
      <c r="T41" s="887"/>
      <c r="U41" s="887"/>
      <c r="V41" s="887"/>
      <c r="AC41" s="2357"/>
    </row>
    <row r="42" spans="1:29" x14ac:dyDescent="0.25">
      <c r="A42" s="2333"/>
      <c r="B42" s="2333"/>
      <c r="C42" s="2333"/>
      <c r="D42" s="2356"/>
      <c r="E42" s="2356"/>
      <c r="F42" s="2356"/>
      <c r="G42" s="2356"/>
      <c r="H42" s="887"/>
      <c r="I42" s="887"/>
      <c r="J42" s="887"/>
      <c r="K42" s="887"/>
      <c r="L42" s="887"/>
      <c r="M42" s="887"/>
      <c r="N42" s="887"/>
      <c r="O42" s="887"/>
      <c r="P42" s="887"/>
      <c r="Q42" s="887"/>
      <c r="R42" s="887"/>
      <c r="S42" s="887"/>
      <c r="T42" s="887"/>
      <c r="U42" s="887"/>
      <c r="V42" s="887"/>
      <c r="AC42" s="2357"/>
    </row>
    <row r="43" spans="1:29" x14ac:dyDescent="0.25">
      <c r="A43" s="2333"/>
      <c r="B43" s="2333"/>
      <c r="C43" s="2333"/>
      <c r="D43" s="2356"/>
      <c r="E43" s="2356"/>
      <c r="F43" s="2356"/>
      <c r="G43" s="2356"/>
      <c r="H43" s="887"/>
      <c r="I43" s="887"/>
      <c r="J43" s="887"/>
      <c r="K43" s="887"/>
      <c r="L43" s="887"/>
      <c r="M43" s="887"/>
      <c r="N43" s="887"/>
      <c r="O43" s="887"/>
      <c r="P43" s="887"/>
      <c r="Q43" s="887"/>
      <c r="R43" s="887"/>
      <c r="S43" s="887"/>
      <c r="T43" s="887"/>
      <c r="U43" s="887"/>
      <c r="V43" s="887"/>
      <c r="AC43" s="2357"/>
    </row>
    <row r="44" spans="1:29" x14ac:dyDescent="0.25">
      <c r="A44" s="2333"/>
      <c r="B44" s="2333"/>
      <c r="C44" s="2333"/>
      <c r="D44" s="2356"/>
      <c r="E44" s="2356"/>
      <c r="F44" s="2356"/>
      <c r="G44" s="2356"/>
      <c r="H44" s="887"/>
      <c r="I44" s="887"/>
      <c r="J44" s="887"/>
      <c r="K44" s="887"/>
      <c r="L44" s="887"/>
      <c r="M44" s="887"/>
      <c r="N44" s="887"/>
      <c r="O44" s="887"/>
      <c r="P44" s="887"/>
      <c r="Q44" s="887"/>
      <c r="R44" s="887"/>
      <c r="S44" s="887"/>
      <c r="T44" s="887"/>
      <c r="U44" s="887"/>
      <c r="V44" s="887"/>
      <c r="AC44" s="2357"/>
    </row>
    <row r="45" spans="1:29" x14ac:dyDescent="0.25">
      <c r="A45" s="2333"/>
      <c r="B45" s="2333"/>
      <c r="C45" s="2333"/>
      <c r="D45" s="2356"/>
      <c r="E45" s="2356"/>
      <c r="F45" s="2356"/>
      <c r="G45" s="2356"/>
      <c r="H45" s="887"/>
      <c r="I45" s="887"/>
      <c r="J45" s="887"/>
      <c r="K45" s="887"/>
      <c r="L45" s="887"/>
      <c r="M45" s="887"/>
      <c r="N45" s="887"/>
      <c r="O45" s="887"/>
      <c r="P45" s="887"/>
      <c r="Q45" s="887"/>
      <c r="R45" s="887"/>
      <c r="S45" s="887"/>
      <c r="T45" s="887"/>
      <c r="U45" s="887"/>
      <c r="V45" s="887"/>
      <c r="AC45" s="2357"/>
    </row>
    <row r="46" spans="1:29" x14ac:dyDescent="0.25">
      <c r="A46" s="2333"/>
      <c r="B46" s="2333"/>
      <c r="C46" s="2333"/>
      <c r="D46" s="2356"/>
      <c r="E46" s="2356"/>
      <c r="F46" s="2356"/>
      <c r="G46" s="2356"/>
      <c r="H46" s="887"/>
      <c r="I46" s="887"/>
      <c r="J46" s="887"/>
      <c r="K46" s="887"/>
      <c r="L46" s="887"/>
      <c r="M46" s="887"/>
      <c r="N46" s="887"/>
      <c r="O46" s="887"/>
      <c r="P46" s="887"/>
      <c r="Q46" s="887"/>
      <c r="R46" s="887"/>
      <c r="S46" s="887"/>
      <c r="T46" s="887"/>
      <c r="U46" s="887"/>
      <c r="V46" s="887"/>
      <c r="AC46" s="2357"/>
    </row>
    <row r="47" spans="1:29" x14ac:dyDescent="0.25">
      <c r="A47" s="2333"/>
      <c r="B47" s="2333"/>
      <c r="C47" s="2333"/>
      <c r="D47" s="2356"/>
      <c r="E47" s="2356"/>
      <c r="F47" s="2356"/>
      <c r="G47" s="2356"/>
      <c r="H47" s="887"/>
      <c r="I47" s="887"/>
      <c r="J47" s="887"/>
      <c r="K47" s="887"/>
      <c r="L47" s="887"/>
      <c r="M47" s="887"/>
      <c r="N47" s="887"/>
      <c r="O47" s="887"/>
      <c r="P47" s="887"/>
      <c r="Q47" s="887"/>
      <c r="R47" s="887"/>
      <c r="S47" s="887"/>
      <c r="T47" s="887"/>
      <c r="U47" s="887"/>
      <c r="V47" s="887"/>
      <c r="AC47" s="2357"/>
    </row>
    <row r="48" spans="1:29" x14ac:dyDescent="0.25">
      <c r="A48" s="2333"/>
      <c r="B48" s="2333"/>
      <c r="C48" s="2333"/>
      <c r="D48" s="2356"/>
      <c r="E48" s="2356"/>
      <c r="F48" s="2356"/>
      <c r="G48" s="2356"/>
      <c r="H48" s="887"/>
      <c r="I48" s="887"/>
      <c r="J48" s="887"/>
      <c r="K48" s="887"/>
      <c r="L48" s="887"/>
      <c r="M48" s="887"/>
      <c r="N48" s="887"/>
      <c r="O48" s="887"/>
      <c r="P48" s="887"/>
      <c r="Q48" s="887"/>
      <c r="R48" s="887"/>
      <c r="S48" s="887"/>
      <c r="T48" s="887"/>
      <c r="U48" s="887"/>
      <c r="V48" s="887"/>
      <c r="AC48" s="2357"/>
    </row>
    <row r="49" spans="1:46" x14ac:dyDescent="0.25">
      <c r="A49" s="2333"/>
      <c r="B49" s="2333"/>
      <c r="C49" s="2333"/>
      <c r="D49" s="2356"/>
      <c r="E49" s="2356"/>
      <c r="F49" s="2356"/>
      <c r="G49" s="2356"/>
      <c r="H49" s="887"/>
      <c r="I49" s="887"/>
      <c r="J49" s="887"/>
      <c r="K49" s="887"/>
      <c r="L49" s="887"/>
      <c r="M49" s="887"/>
      <c r="N49" s="887"/>
      <c r="O49" s="887"/>
      <c r="P49" s="887"/>
      <c r="Q49" s="887"/>
      <c r="R49" s="887"/>
      <c r="S49" s="887"/>
      <c r="T49" s="887"/>
      <c r="U49" s="887"/>
      <c r="V49" s="887"/>
      <c r="AC49" s="2357"/>
    </row>
    <row r="50" spans="1:46" x14ac:dyDescent="0.25">
      <c r="A50" s="2333"/>
      <c r="B50" s="2333"/>
      <c r="C50" s="2333"/>
      <c r="D50" s="2356"/>
      <c r="E50" s="2356"/>
      <c r="F50" s="2356"/>
      <c r="G50" s="2356"/>
      <c r="H50" s="887"/>
      <c r="I50" s="887"/>
      <c r="J50" s="887"/>
      <c r="K50" s="887"/>
      <c r="L50" s="887"/>
      <c r="M50" s="887"/>
      <c r="N50" s="887"/>
      <c r="O50" s="887"/>
      <c r="P50" s="887"/>
      <c r="Q50" s="887"/>
      <c r="R50" s="887"/>
      <c r="S50" s="887"/>
      <c r="T50" s="887"/>
      <c r="U50" s="887"/>
      <c r="V50" s="887"/>
      <c r="AC50" s="2357"/>
    </row>
    <row r="51" spans="1:46" ht="14.25" customHeight="1" x14ac:dyDescent="0.2">
      <c r="A51" s="453">
        <v>5</v>
      </c>
      <c r="B51" s="453" t="s">
        <v>78</v>
      </c>
      <c r="C51" s="453"/>
      <c r="D51" s="3553" t="s">
        <v>718</v>
      </c>
      <c r="E51" s="3554"/>
      <c r="F51" s="3554"/>
      <c r="G51" s="3554"/>
      <c r="H51" s="3554"/>
      <c r="I51" s="3554"/>
      <c r="J51" s="3554"/>
      <c r="K51" s="3554"/>
      <c r="L51" s="3554"/>
      <c r="M51" s="3554"/>
      <c r="N51" s="3554"/>
      <c r="O51" s="3554"/>
      <c r="P51" s="3554"/>
      <c r="Q51" s="3554"/>
      <c r="R51" s="3554"/>
      <c r="S51" s="3554"/>
      <c r="T51" s="3554"/>
      <c r="U51" s="3554"/>
      <c r="V51" s="3554"/>
      <c r="W51" s="3554"/>
      <c r="X51" s="3554"/>
      <c r="Y51" s="3554"/>
      <c r="Z51" s="3554"/>
      <c r="AA51" s="3554"/>
      <c r="AB51" s="3554"/>
      <c r="AC51" s="3554"/>
      <c r="AD51" s="3554"/>
      <c r="AE51" s="3554"/>
      <c r="AF51" s="3554"/>
      <c r="AG51" s="3554"/>
      <c r="AH51" s="3554"/>
      <c r="AI51" s="3554"/>
      <c r="AJ51" s="3554"/>
      <c r="AK51" s="3554"/>
      <c r="AL51" s="3554"/>
      <c r="AM51" s="3554"/>
      <c r="AN51" s="3554"/>
      <c r="AO51" s="3554"/>
      <c r="AP51" s="3554"/>
      <c r="AQ51" s="3554"/>
      <c r="AR51" s="3554"/>
      <c r="AS51" s="3554"/>
      <c r="AT51" s="3555"/>
    </row>
    <row r="52" spans="1:46" ht="30" customHeight="1" x14ac:dyDescent="0.2">
      <c r="A52" s="453">
        <v>6</v>
      </c>
      <c r="B52" s="453" t="s">
        <v>80</v>
      </c>
      <c r="C52" s="453"/>
      <c r="D52" s="3553" t="s">
        <v>717</v>
      </c>
      <c r="E52" s="3554"/>
      <c r="F52" s="3554"/>
      <c r="G52" s="3554"/>
      <c r="H52" s="3554"/>
      <c r="I52" s="3554"/>
      <c r="J52" s="3554"/>
      <c r="K52" s="3554"/>
      <c r="L52" s="3554"/>
      <c r="M52" s="3554"/>
      <c r="N52" s="3554"/>
      <c r="O52" s="3554"/>
      <c r="P52" s="3554"/>
      <c r="Q52" s="3554"/>
      <c r="R52" s="3554"/>
      <c r="S52" s="3554"/>
      <c r="T52" s="3554"/>
      <c r="U52" s="3554"/>
      <c r="V52" s="3554"/>
      <c r="W52" s="3554"/>
      <c r="X52" s="3554"/>
      <c r="Y52" s="3554"/>
      <c r="Z52" s="3554"/>
      <c r="AA52" s="3554"/>
      <c r="AB52" s="3554"/>
      <c r="AC52" s="3554"/>
      <c r="AD52" s="3554"/>
      <c r="AE52" s="3554"/>
      <c r="AF52" s="3554"/>
      <c r="AG52" s="3554"/>
      <c r="AH52" s="3554"/>
      <c r="AI52" s="3554"/>
      <c r="AJ52" s="3554"/>
      <c r="AK52" s="3554"/>
      <c r="AL52" s="3554"/>
      <c r="AM52" s="3554"/>
      <c r="AN52" s="3554"/>
      <c r="AO52" s="3554"/>
      <c r="AP52" s="3554"/>
      <c r="AQ52" s="3554"/>
      <c r="AR52" s="3554"/>
      <c r="AS52" s="3554"/>
      <c r="AT52" s="3555"/>
    </row>
    <row r="53" spans="1:46" ht="15" customHeight="1" x14ac:dyDescent="0.2">
      <c r="A53" s="453">
        <v>7</v>
      </c>
      <c r="B53" s="453" t="s">
        <v>20</v>
      </c>
      <c r="C53" s="453"/>
      <c r="D53" s="3553" t="s">
        <v>716</v>
      </c>
      <c r="E53" s="3554"/>
      <c r="F53" s="3554"/>
      <c r="G53" s="3554"/>
      <c r="H53" s="3554"/>
      <c r="I53" s="3554"/>
      <c r="J53" s="3554"/>
      <c r="K53" s="3554"/>
      <c r="L53" s="3554"/>
      <c r="M53" s="3554"/>
      <c r="N53" s="3554"/>
      <c r="O53" s="3554"/>
      <c r="P53" s="3554"/>
      <c r="Q53" s="3554"/>
      <c r="R53" s="3554"/>
      <c r="S53" s="3554"/>
      <c r="T53" s="3554"/>
      <c r="U53" s="3554"/>
      <c r="V53" s="3554"/>
      <c r="W53" s="3554"/>
      <c r="X53" s="3554"/>
      <c r="Y53" s="3554"/>
      <c r="Z53" s="3554"/>
      <c r="AA53" s="3554"/>
      <c r="AB53" s="3554"/>
      <c r="AC53" s="3554"/>
      <c r="AD53" s="3554"/>
      <c r="AE53" s="3554"/>
      <c r="AF53" s="3554"/>
      <c r="AG53" s="3554"/>
      <c r="AH53" s="3554"/>
      <c r="AI53" s="3554"/>
      <c r="AJ53" s="3554"/>
      <c r="AK53" s="3554"/>
      <c r="AL53" s="3554"/>
      <c r="AM53" s="3554"/>
      <c r="AN53" s="3554"/>
      <c r="AO53" s="3554"/>
      <c r="AP53" s="3554"/>
      <c r="AQ53" s="3554"/>
      <c r="AR53" s="3554"/>
      <c r="AS53" s="3554"/>
      <c r="AT53" s="3555"/>
    </row>
    <row r="54" spans="1:46" ht="14.25" customHeight="1" x14ac:dyDescent="0.2">
      <c r="A54" s="2330">
        <v>9</v>
      </c>
      <c r="B54" s="835" t="s">
        <v>157</v>
      </c>
      <c r="D54" s="3553" t="s">
        <v>715</v>
      </c>
      <c r="E54" s="3554"/>
      <c r="F54" s="3554"/>
      <c r="G54" s="3554"/>
      <c r="H54" s="3554"/>
      <c r="I54" s="3554"/>
      <c r="J54" s="3554"/>
      <c r="K54" s="3554"/>
      <c r="L54" s="3554"/>
      <c r="M54" s="3554"/>
      <c r="N54" s="3554"/>
      <c r="O54" s="3554"/>
      <c r="P54" s="3554"/>
      <c r="Q54" s="3554"/>
      <c r="R54" s="3554"/>
      <c r="S54" s="3554"/>
      <c r="T54" s="3554"/>
      <c r="U54" s="3554"/>
      <c r="V54" s="3554"/>
      <c r="W54" s="3554"/>
      <c r="X54" s="3554"/>
      <c r="Y54" s="3554"/>
      <c r="Z54" s="3554"/>
      <c r="AA54" s="3554"/>
      <c r="AB54" s="3554"/>
      <c r="AC54" s="3554"/>
      <c r="AD54" s="3554"/>
      <c r="AE54" s="3554"/>
      <c r="AF54" s="3554"/>
      <c r="AG54" s="3554"/>
      <c r="AH54" s="3554"/>
      <c r="AI54" s="3554"/>
      <c r="AJ54" s="3554"/>
      <c r="AK54" s="3554"/>
      <c r="AL54" s="3554"/>
      <c r="AM54" s="3554"/>
      <c r="AN54" s="3554"/>
      <c r="AO54" s="3554"/>
      <c r="AP54" s="3554"/>
      <c r="AQ54" s="3554"/>
      <c r="AR54" s="3554"/>
      <c r="AS54" s="3554"/>
      <c r="AT54" s="3555"/>
    </row>
  </sheetData>
  <mergeCells count="23">
    <mergeCell ref="D53:AT53"/>
    <mergeCell ref="D54:AT54"/>
    <mergeCell ref="W16:Y16"/>
    <mergeCell ref="E16:G16"/>
    <mergeCell ref="H16:J16"/>
    <mergeCell ref="K16:M16"/>
    <mergeCell ref="N16:P16"/>
    <mergeCell ref="D51:AT51"/>
    <mergeCell ref="D52:AT52"/>
    <mergeCell ref="D2:AT2"/>
    <mergeCell ref="D3:AT3"/>
    <mergeCell ref="D4:AT4"/>
    <mergeCell ref="AF16:AH16"/>
    <mergeCell ref="AI16:AK16"/>
    <mergeCell ref="Q16:S16"/>
    <mergeCell ref="AR16:AT16"/>
    <mergeCell ref="AL16:AN16"/>
    <mergeCell ref="AO16:AQ16"/>
    <mergeCell ref="Z16:AB16"/>
    <mergeCell ref="D10:D11"/>
    <mergeCell ref="D12:E12"/>
    <mergeCell ref="AC16:AE16"/>
    <mergeCell ref="T16:V16"/>
  </mergeCells>
  <pageMargins left="0.74803149606299213" right="0.74803149606299213" top="0.98425196850393704" bottom="0.98425196850393704" header="0.51181102362204722" footer="0.51181102362204722"/>
  <pageSetup paperSize="9" scale="3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A55"/>
  <sheetViews>
    <sheetView showGridLines="0" view="pageBreakPreview" zoomScaleNormal="100" zoomScaleSheetLayoutView="100" workbookViewId="0">
      <selection activeCell="D29" sqref="D29:D31"/>
    </sheetView>
  </sheetViews>
  <sheetFormatPr defaultColWidth="9.140625" defaultRowHeight="15" x14ac:dyDescent="0.25"/>
  <cols>
    <col min="1" max="1" width="3.7109375" style="835" customWidth="1"/>
    <col min="2" max="2" width="14.42578125" style="1663" customWidth="1"/>
    <col min="3" max="3" width="3.7109375" style="1663" customWidth="1"/>
    <col min="4" max="4" width="26.42578125" style="2313" customWidth="1"/>
    <col min="5" max="24" width="9.7109375" style="2313" customWidth="1"/>
    <col min="25" max="40" width="9.7109375" style="892" customWidth="1"/>
    <col min="41" max="43" width="9.140625" style="892"/>
    <col min="44" max="45" width="9.85546875" style="892" bestFit="1" customWidth="1"/>
    <col min="46" max="74" width="9.140625" style="892"/>
    <col min="75" max="16384" width="9.140625" style="2313"/>
  </cols>
  <sheetData>
    <row r="1" spans="1:74" x14ac:dyDescent="0.25">
      <c r="AG1" s="890"/>
      <c r="AH1" s="890"/>
      <c r="AI1" s="890"/>
      <c r="AJ1" s="890"/>
      <c r="AK1" s="890"/>
      <c r="AL1" s="890"/>
      <c r="AM1" s="890"/>
      <c r="AN1" s="890"/>
    </row>
    <row r="2" spans="1:74" s="891" customFormat="1" ht="14.45" customHeight="1" x14ac:dyDescent="0.25">
      <c r="A2" s="835">
        <v>1</v>
      </c>
      <c r="B2" s="835" t="s">
        <v>24</v>
      </c>
      <c r="C2" s="835">
        <f>1+Sanitation!C2</f>
        <v>31</v>
      </c>
      <c r="D2" s="3615" t="s">
        <v>741</v>
      </c>
      <c r="E2" s="3616"/>
      <c r="F2" s="3616"/>
      <c r="G2" s="3616"/>
      <c r="H2" s="3616"/>
      <c r="I2" s="3616"/>
      <c r="J2" s="3616"/>
      <c r="K2" s="3616"/>
      <c r="L2" s="3616"/>
      <c r="M2" s="3616"/>
      <c r="N2" s="3616"/>
      <c r="O2" s="3616"/>
      <c r="P2" s="3616"/>
      <c r="Q2" s="3616"/>
      <c r="R2" s="3616"/>
      <c r="S2" s="3616"/>
      <c r="T2" s="3616"/>
      <c r="U2" s="3616"/>
      <c r="V2" s="3616"/>
      <c r="W2" s="3616"/>
      <c r="X2" s="3616"/>
      <c r="Y2" s="3616"/>
      <c r="Z2" s="3616"/>
      <c r="AA2" s="3616"/>
      <c r="AB2" s="3616"/>
      <c r="AC2" s="3616"/>
      <c r="AD2" s="3616"/>
      <c r="AE2" s="3616"/>
      <c r="AF2" s="3616"/>
      <c r="AG2" s="3616"/>
      <c r="AH2" s="3616"/>
      <c r="AI2" s="3616"/>
      <c r="AJ2" s="3616"/>
      <c r="AK2" s="3616"/>
      <c r="AL2" s="3616"/>
      <c r="AM2" s="3616"/>
      <c r="AN2" s="3616"/>
      <c r="AO2" s="3616"/>
      <c r="AP2" s="3616"/>
      <c r="AQ2" s="3616"/>
      <c r="AR2" s="3616"/>
      <c r="AS2" s="3616"/>
      <c r="AT2" s="3617"/>
      <c r="AU2" s="892"/>
      <c r="AV2" s="892"/>
      <c r="AW2" s="892"/>
      <c r="AX2" s="892"/>
      <c r="AY2" s="892"/>
      <c r="AZ2" s="892"/>
      <c r="BA2" s="892"/>
      <c r="BB2" s="892"/>
      <c r="BC2" s="892"/>
      <c r="BD2" s="892"/>
      <c r="BE2" s="892"/>
      <c r="BF2" s="892"/>
      <c r="BG2" s="892"/>
      <c r="BH2" s="892"/>
      <c r="BI2" s="892"/>
      <c r="BJ2" s="892"/>
      <c r="BK2" s="892"/>
      <c r="BL2" s="892"/>
      <c r="BM2" s="892"/>
      <c r="BN2" s="892"/>
      <c r="BO2" s="892"/>
      <c r="BP2" s="892"/>
      <c r="BQ2" s="892"/>
      <c r="BR2" s="892"/>
      <c r="BS2" s="892"/>
      <c r="BT2" s="892"/>
      <c r="BU2" s="892"/>
      <c r="BV2" s="892"/>
    </row>
    <row r="3" spans="1:74" s="891" customFormat="1" ht="12.75" customHeight="1" x14ac:dyDescent="0.25">
      <c r="A3" s="835">
        <v>2</v>
      </c>
      <c r="B3" s="835" t="s">
        <v>26</v>
      </c>
      <c r="C3" s="835"/>
      <c r="D3" s="3615" t="s">
        <v>713</v>
      </c>
      <c r="E3" s="3616"/>
      <c r="F3" s="3616"/>
      <c r="G3" s="3616"/>
      <c r="H3" s="3616"/>
      <c r="I3" s="3616"/>
      <c r="J3" s="3616"/>
      <c r="K3" s="3616"/>
      <c r="L3" s="3616"/>
      <c r="M3" s="3616"/>
      <c r="N3" s="3616"/>
      <c r="O3" s="3616"/>
      <c r="P3" s="3616"/>
      <c r="Q3" s="3616"/>
      <c r="R3" s="3616"/>
      <c r="S3" s="3616"/>
      <c r="T3" s="3616"/>
      <c r="U3" s="3616"/>
      <c r="V3" s="3616"/>
      <c r="W3" s="3616"/>
      <c r="X3" s="3616"/>
      <c r="Y3" s="3616"/>
      <c r="Z3" s="3616"/>
      <c r="AA3" s="3616"/>
      <c r="AB3" s="3616"/>
      <c r="AC3" s="3616"/>
      <c r="AD3" s="3616"/>
      <c r="AE3" s="3616"/>
      <c r="AF3" s="3616"/>
      <c r="AG3" s="3616"/>
      <c r="AH3" s="3616"/>
      <c r="AI3" s="3616"/>
      <c r="AJ3" s="3616"/>
      <c r="AK3" s="3616"/>
      <c r="AL3" s="3616"/>
      <c r="AM3" s="3616"/>
      <c r="AN3" s="3616"/>
      <c r="AO3" s="3616"/>
      <c r="AP3" s="3616"/>
      <c r="AQ3" s="3616"/>
      <c r="AR3" s="3616"/>
      <c r="AS3" s="3616"/>
      <c r="AT3" s="3617"/>
      <c r="AU3" s="892"/>
      <c r="AV3" s="892"/>
      <c r="AW3" s="892"/>
      <c r="AX3" s="892"/>
      <c r="AY3" s="892"/>
      <c r="AZ3" s="892"/>
      <c r="BA3" s="892"/>
      <c r="BB3" s="892"/>
      <c r="BC3" s="892"/>
      <c r="BD3" s="892"/>
      <c r="BE3" s="892"/>
      <c r="BF3" s="892"/>
      <c r="BG3" s="892"/>
      <c r="BH3" s="892"/>
      <c r="BI3" s="892"/>
      <c r="BJ3" s="892"/>
      <c r="BK3" s="892"/>
      <c r="BL3" s="892"/>
      <c r="BM3" s="892"/>
      <c r="BN3" s="892"/>
      <c r="BO3" s="892"/>
      <c r="BP3" s="892"/>
      <c r="BQ3" s="892"/>
      <c r="BR3" s="892"/>
      <c r="BS3" s="892"/>
      <c r="BT3" s="892"/>
      <c r="BU3" s="892"/>
      <c r="BV3" s="892"/>
    </row>
    <row r="4" spans="1:74" s="891" customFormat="1" ht="12.75" customHeight="1" x14ac:dyDescent="0.25">
      <c r="A4" s="835">
        <v>3</v>
      </c>
      <c r="B4" s="835" t="s">
        <v>28</v>
      </c>
      <c r="C4" s="835"/>
      <c r="D4" s="3615" t="s">
        <v>740</v>
      </c>
      <c r="E4" s="3616"/>
      <c r="F4" s="3616"/>
      <c r="G4" s="3616"/>
      <c r="H4" s="3616"/>
      <c r="I4" s="3616"/>
      <c r="J4" s="3616"/>
      <c r="K4" s="3616"/>
      <c r="L4" s="3616"/>
      <c r="M4" s="3616"/>
      <c r="N4" s="3616"/>
      <c r="O4" s="3616"/>
      <c r="P4" s="3616"/>
      <c r="Q4" s="3616"/>
      <c r="R4" s="3616"/>
      <c r="S4" s="3616"/>
      <c r="T4" s="3616"/>
      <c r="U4" s="3616"/>
      <c r="V4" s="3616"/>
      <c r="W4" s="3616"/>
      <c r="X4" s="3616"/>
      <c r="Y4" s="3616"/>
      <c r="Z4" s="3616"/>
      <c r="AA4" s="3616"/>
      <c r="AB4" s="3616"/>
      <c r="AC4" s="3616"/>
      <c r="AD4" s="3616"/>
      <c r="AE4" s="3616"/>
      <c r="AF4" s="3616"/>
      <c r="AG4" s="3616"/>
      <c r="AH4" s="3616"/>
      <c r="AI4" s="3616"/>
      <c r="AJ4" s="3616"/>
      <c r="AK4" s="3616"/>
      <c r="AL4" s="3616"/>
      <c r="AM4" s="3616"/>
      <c r="AN4" s="3616"/>
      <c r="AO4" s="3616"/>
      <c r="AP4" s="3616"/>
      <c r="AQ4" s="3616"/>
      <c r="AR4" s="3616"/>
      <c r="AS4" s="3616"/>
      <c r="AT4" s="3617"/>
      <c r="AU4" s="892"/>
      <c r="AV4" s="892"/>
      <c r="AW4" s="892"/>
      <c r="AX4" s="892"/>
      <c r="AY4" s="892"/>
      <c r="AZ4" s="892"/>
      <c r="BA4" s="892"/>
      <c r="BB4" s="892"/>
      <c r="BC4" s="892"/>
      <c r="BD4" s="892"/>
      <c r="BE4" s="892"/>
      <c r="BF4" s="892"/>
      <c r="BG4" s="892"/>
      <c r="BH4" s="892"/>
      <c r="BI4" s="892"/>
      <c r="BJ4" s="892"/>
      <c r="BK4" s="892"/>
      <c r="BL4" s="892"/>
      <c r="BM4" s="892"/>
      <c r="BN4" s="892"/>
      <c r="BO4" s="892"/>
      <c r="BP4" s="892"/>
      <c r="BQ4" s="892"/>
      <c r="BR4" s="892"/>
      <c r="BS4" s="892"/>
      <c r="BT4" s="892"/>
      <c r="BU4" s="892"/>
      <c r="BV4" s="892"/>
    </row>
    <row r="5" spans="1:74" s="891" customFormat="1" ht="12.75" customHeight="1" x14ac:dyDescent="0.25">
      <c r="A5" s="835"/>
      <c r="B5" s="835"/>
      <c r="C5" s="835"/>
      <c r="D5" s="3615" t="s">
        <v>739</v>
      </c>
      <c r="E5" s="3616"/>
      <c r="F5" s="3616"/>
      <c r="G5" s="3616"/>
      <c r="H5" s="3616"/>
      <c r="I5" s="3616"/>
      <c r="J5" s="3616"/>
      <c r="K5" s="3616"/>
      <c r="L5" s="3616"/>
      <c r="M5" s="3616"/>
      <c r="N5" s="3616"/>
      <c r="O5" s="3616"/>
      <c r="P5" s="3616"/>
      <c r="Q5" s="3616"/>
      <c r="R5" s="3616"/>
      <c r="S5" s="3616"/>
      <c r="T5" s="3616"/>
      <c r="U5" s="3616"/>
      <c r="V5" s="3616"/>
      <c r="W5" s="3616"/>
      <c r="X5" s="3616"/>
      <c r="Y5" s="3616"/>
      <c r="Z5" s="3616"/>
      <c r="AA5" s="3616"/>
      <c r="AB5" s="3616"/>
      <c r="AC5" s="3616"/>
      <c r="AD5" s="3616"/>
      <c r="AE5" s="3616"/>
      <c r="AF5" s="3616"/>
      <c r="AG5" s="3616"/>
      <c r="AH5" s="3616"/>
      <c r="AI5" s="3616"/>
      <c r="AJ5" s="3616"/>
      <c r="AK5" s="3616"/>
      <c r="AL5" s="3616"/>
      <c r="AM5" s="3616"/>
      <c r="AN5" s="3616"/>
      <c r="AO5" s="3616"/>
      <c r="AP5" s="3616"/>
      <c r="AQ5" s="3616"/>
      <c r="AR5" s="3616"/>
      <c r="AS5" s="3616"/>
      <c r="AT5" s="3617"/>
      <c r="AU5" s="892"/>
      <c r="AV5" s="892"/>
      <c r="AW5" s="892"/>
      <c r="AX5" s="892"/>
      <c r="AY5" s="892"/>
      <c r="AZ5" s="892"/>
      <c r="BA5" s="892"/>
      <c r="BB5" s="892"/>
      <c r="BC5" s="892"/>
      <c r="BD5" s="892"/>
      <c r="BE5" s="892"/>
      <c r="BF5" s="892"/>
      <c r="BG5" s="892"/>
      <c r="BH5" s="892"/>
      <c r="BI5" s="892"/>
      <c r="BJ5" s="892"/>
      <c r="BK5" s="892"/>
      <c r="BL5" s="892"/>
      <c r="BM5" s="892"/>
      <c r="BN5" s="892"/>
      <c r="BO5" s="892"/>
      <c r="BP5" s="892"/>
      <c r="BQ5" s="892"/>
      <c r="BR5" s="892"/>
      <c r="BS5" s="892"/>
      <c r="BT5" s="892"/>
      <c r="BU5" s="892"/>
      <c r="BV5" s="892"/>
    </row>
    <row r="6" spans="1:74" x14ac:dyDescent="0.25">
      <c r="B6" s="835"/>
      <c r="C6" s="835"/>
      <c r="D6" s="1471"/>
      <c r="E6" s="416"/>
      <c r="F6" s="416"/>
      <c r="G6" s="416"/>
      <c r="H6" s="416"/>
      <c r="I6" s="416"/>
      <c r="J6" s="416"/>
      <c r="K6" s="416"/>
      <c r="L6" s="416"/>
      <c r="M6" s="416"/>
      <c r="N6" s="416"/>
      <c r="O6" s="416"/>
      <c r="P6" s="416"/>
      <c r="Q6" s="416"/>
      <c r="R6" s="416"/>
      <c r="S6" s="416"/>
      <c r="T6" s="416"/>
      <c r="U6" s="1698"/>
      <c r="V6" s="1698"/>
      <c r="W6" s="1698"/>
      <c r="AG6" s="890"/>
      <c r="AH6" s="890"/>
      <c r="AI6" s="890"/>
      <c r="AJ6" s="890"/>
      <c r="AK6" s="890"/>
      <c r="AL6" s="890"/>
      <c r="AM6" s="890"/>
      <c r="AN6" s="890"/>
    </row>
    <row r="7" spans="1:74" s="891" customFormat="1" ht="23.25" x14ac:dyDescent="0.35">
      <c r="A7" s="835">
        <v>4</v>
      </c>
      <c r="B7" s="835" t="s">
        <v>1</v>
      </c>
      <c r="C7" s="945"/>
      <c r="D7" s="1253" t="s">
        <v>710</v>
      </c>
      <c r="E7" s="1253" t="s">
        <v>738</v>
      </c>
      <c r="F7" s="1253"/>
      <c r="G7" s="424"/>
      <c r="H7" s="424"/>
      <c r="I7" s="424"/>
      <c r="J7" s="2314"/>
      <c r="K7" s="424"/>
      <c r="L7" s="424"/>
      <c r="M7" s="892"/>
      <c r="N7" s="892"/>
      <c r="O7" s="892"/>
      <c r="P7" s="424"/>
      <c r="Q7" s="424"/>
      <c r="R7" s="424"/>
      <c r="S7" s="424"/>
      <c r="T7" s="424"/>
      <c r="U7" s="892"/>
      <c r="V7" s="892"/>
      <c r="W7" s="892"/>
      <c r="X7" s="892"/>
      <c r="Y7" s="892"/>
      <c r="Z7" s="892"/>
      <c r="AA7" s="892"/>
      <c r="AB7" s="892"/>
      <c r="AC7" s="892"/>
      <c r="AD7" s="892"/>
      <c r="AE7" s="892"/>
      <c r="AF7" s="892"/>
      <c r="AG7" s="890"/>
      <c r="AH7" s="890"/>
      <c r="AI7" s="890"/>
      <c r="AJ7" s="890"/>
      <c r="AK7" s="890"/>
      <c r="AL7" s="890"/>
      <c r="AM7" s="890"/>
      <c r="AN7" s="890"/>
      <c r="AO7" s="892"/>
      <c r="AP7" s="892"/>
      <c r="AQ7" s="892"/>
      <c r="AR7" s="892"/>
      <c r="AS7" s="892"/>
      <c r="AT7" s="892"/>
      <c r="AU7" s="892"/>
      <c r="AV7" s="892"/>
      <c r="AW7" s="892"/>
      <c r="AX7" s="892"/>
      <c r="AY7" s="892"/>
      <c r="AZ7" s="892"/>
      <c r="BA7" s="892"/>
      <c r="BB7" s="892"/>
      <c r="BC7" s="892"/>
      <c r="BD7" s="892"/>
      <c r="BE7" s="892"/>
      <c r="BF7" s="892"/>
      <c r="BG7" s="892"/>
      <c r="BH7" s="892"/>
      <c r="BI7" s="892"/>
      <c r="BJ7" s="892"/>
      <c r="BK7" s="892"/>
      <c r="BL7" s="892"/>
      <c r="BM7" s="892"/>
      <c r="BN7" s="892"/>
      <c r="BO7" s="892"/>
      <c r="BP7" s="892"/>
      <c r="BQ7" s="892"/>
      <c r="BR7" s="892"/>
      <c r="BS7" s="892"/>
      <c r="BT7" s="892"/>
      <c r="BU7" s="892"/>
      <c r="BV7" s="892"/>
    </row>
    <row r="8" spans="1:74" s="935" customFormat="1" ht="14.25" customHeight="1" x14ac:dyDescent="0.25">
      <c r="A8" s="944"/>
      <c r="B8" s="943"/>
      <c r="C8" s="942"/>
      <c r="D8" s="3277"/>
      <c r="E8" s="941">
        <v>2002</v>
      </c>
      <c r="F8" s="941">
        <v>2003</v>
      </c>
      <c r="G8" s="941">
        <v>2004</v>
      </c>
      <c r="H8" s="941">
        <v>2005</v>
      </c>
      <c r="I8" s="941">
        <v>2006</v>
      </c>
      <c r="J8" s="941">
        <v>2007</v>
      </c>
      <c r="K8" s="941">
        <v>2008</v>
      </c>
      <c r="L8" s="941" t="s">
        <v>48</v>
      </c>
      <c r="M8" s="940">
        <v>2010</v>
      </c>
      <c r="N8" s="939">
        <v>2011</v>
      </c>
      <c r="O8" s="938">
        <v>2012</v>
      </c>
      <c r="P8" s="938">
        <v>2013</v>
      </c>
      <c r="Q8" s="938">
        <v>2014</v>
      </c>
      <c r="R8" s="938" t="s">
        <v>106</v>
      </c>
      <c r="S8" s="936"/>
      <c r="T8" s="936"/>
      <c r="U8" s="936"/>
      <c r="V8" s="936"/>
      <c r="W8" s="936"/>
      <c r="X8" s="936"/>
      <c r="Y8" s="936"/>
      <c r="Z8" s="936"/>
      <c r="AA8" s="936"/>
      <c r="AB8" s="936"/>
      <c r="AC8" s="936"/>
      <c r="AD8" s="936"/>
      <c r="AE8" s="936"/>
      <c r="AF8" s="936"/>
      <c r="AG8" s="936"/>
      <c r="AH8" s="937"/>
      <c r="AI8" s="937"/>
      <c r="AJ8" s="937"/>
      <c r="AK8" s="937"/>
      <c r="AL8" s="937"/>
      <c r="AM8" s="937"/>
      <c r="AN8" s="937"/>
      <c r="AO8" s="937"/>
      <c r="AP8" s="936"/>
      <c r="AQ8" s="936"/>
      <c r="AR8" s="936"/>
      <c r="AS8" s="936"/>
      <c r="AT8" s="936"/>
      <c r="AU8" s="936"/>
      <c r="AV8" s="936"/>
      <c r="AW8" s="936"/>
      <c r="AX8" s="936"/>
      <c r="AY8" s="936"/>
      <c r="AZ8" s="936"/>
      <c r="BA8" s="936"/>
      <c r="BB8" s="936"/>
      <c r="BC8" s="936"/>
      <c r="BD8" s="936"/>
      <c r="BE8" s="936"/>
      <c r="BF8" s="936"/>
      <c r="BG8" s="936"/>
      <c r="BH8" s="936"/>
      <c r="BI8" s="936"/>
      <c r="BJ8" s="936"/>
      <c r="BK8" s="936"/>
      <c r="BL8" s="936"/>
      <c r="BM8" s="936"/>
      <c r="BN8" s="936"/>
      <c r="BO8" s="936"/>
      <c r="BP8" s="936"/>
    </row>
    <row r="9" spans="1:74" s="891" customFormat="1" ht="14.45" customHeight="1" x14ac:dyDescent="0.25">
      <c r="A9" s="835"/>
      <c r="B9" s="898"/>
      <c r="C9" s="2315"/>
      <c r="D9" s="3002" t="s">
        <v>735</v>
      </c>
      <c r="E9" s="895">
        <v>10814220</v>
      </c>
      <c r="F9" s="895">
        <v>11113078</v>
      </c>
      <c r="G9" s="895">
        <v>11425278</v>
      </c>
      <c r="H9" s="895">
        <v>11753564</v>
      </c>
      <c r="I9" s="895">
        <v>12106893</v>
      </c>
      <c r="J9" s="895">
        <v>12485207</v>
      </c>
      <c r="K9" s="895">
        <v>12885627</v>
      </c>
      <c r="L9" s="895">
        <v>13302549</v>
      </c>
      <c r="M9" s="895">
        <v>13730738</v>
      </c>
      <c r="N9" s="895">
        <v>14173335</v>
      </c>
      <c r="O9" s="895">
        <v>14631095</v>
      </c>
      <c r="P9" s="895">
        <v>15106553</v>
      </c>
      <c r="Q9" s="895">
        <v>15602251</v>
      </c>
      <c r="R9" s="895">
        <v>16121989.4</v>
      </c>
      <c r="S9" s="892"/>
      <c r="T9" s="892"/>
      <c r="U9" s="892"/>
      <c r="V9" s="892"/>
      <c r="W9" s="892"/>
      <c r="X9" s="892"/>
      <c r="Y9" s="892"/>
      <c r="Z9" s="892"/>
      <c r="AA9" s="892"/>
      <c r="AB9" s="892"/>
      <c r="AC9" s="892"/>
      <c r="AD9" s="892"/>
      <c r="AE9" s="892"/>
      <c r="AF9" s="892"/>
      <c r="AG9" s="892"/>
      <c r="AH9" s="890"/>
      <c r="AI9" s="890"/>
      <c r="AJ9" s="890"/>
      <c r="AK9" s="890"/>
      <c r="AL9" s="890"/>
      <c r="AM9" s="890"/>
      <c r="AN9" s="890"/>
      <c r="AO9" s="890"/>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row>
    <row r="10" spans="1:74" s="891" customFormat="1" x14ac:dyDescent="0.25">
      <c r="A10" s="835"/>
      <c r="B10" s="898"/>
      <c r="C10" s="2315"/>
      <c r="D10" s="3002" t="s">
        <v>734</v>
      </c>
      <c r="E10" s="895">
        <v>8319918</v>
      </c>
      <c r="F10" s="895">
        <v>8721406</v>
      </c>
      <c r="G10" s="895">
        <v>9226374</v>
      </c>
      <c r="H10" s="895">
        <v>9496902</v>
      </c>
      <c r="I10" s="895">
        <v>9741605</v>
      </c>
      <c r="J10" s="895">
        <v>10205387</v>
      </c>
      <c r="K10" s="895">
        <v>10507268</v>
      </c>
      <c r="L10" s="895">
        <v>10990206</v>
      </c>
      <c r="M10" s="895">
        <v>11385699</v>
      </c>
      <c r="N10" s="895">
        <v>11863208</v>
      </c>
      <c r="O10" s="895">
        <v>12382880</v>
      </c>
      <c r="P10" s="895">
        <v>12868860</v>
      </c>
      <c r="Q10" s="895">
        <v>13403107</v>
      </c>
      <c r="R10" s="895">
        <v>13776527.4</v>
      </c>
      <c r="S10" s="892"/>
      <c r="T10" s="892"/>
      <c r="U10" s="892"/>
      <c r="V10" s="892"/>
      <c r="W10" s="892"/>
      <c r="X10" s="892"/>
      <c r="Y10" s="892"/>
      <c r="Z10" s="892"/>
      <c r="AA10" s="892"/>
      <c r="AB10" s="892"/>
      <c r="AC10" s="892"/>
      <c r="AD10" s="892"/>
      <c r="AE10" s="892"/>
      <c r="AF10" s="892"/>
      <c r="AG10" s="892"/>
      <c r="AH10" s="890"/>
      <c r="AI10" s="890"/>
      <c r="AJ10" s="890"/>
      <c r="AK10" s="890"/>
      <c r="AL10" s="890"/>
      <c r="AM10" s="890"/>
      <c r="AN10" s="890"/>
      <c r="AO10" s="890"/>
      <c r="AP10" s="892"/>
      <c r="AQ10" s="892"/>
      <c r="AR10" s="892"/>
      <c r="AS10" s="892"/>
      <c r="AT10" s="892"/>
      <c r="AU10" s="892"/>
      <c r="AV10" s="892"/>
      <c r="AW10" s="892"/>
      <c r="AX10" s="892"/>
      <c r="AY10" s="892"/>
      <c r="AZ10" s="892"/>
      <c r="BA10" s="892"/>
      <c r="BB10" s="892"/>
      <c r="BC10" s="892"/>
      <c r="BD10" s="892"/>
      <c r="BE10" s="892"/>
      <c r="BF10" s="892"/>
      <c r="BG10" s="892"/>
      <c r="BH10" s="892"/>
      <c r="BI10" s="892"/>
      <c r="BJ10" s="892"/>
      <c r="BK10" s="892"/>
      <c r="BL10" s="892"/>
      <c r="BM10" s="892"/>
      <c r="BN10" s="892"/>
      <c r="BO10" s="892"/>
      <c r="BP10" s="892"/>
    </row>
    <row r="11" spans="1:74" s="929" customFormat="1" x14ac:dyDescent="0.25">
      <c r="A11" s="934"/>
      <c r="B11" s="933"/>
      <c r="C11" s="2316"/>
      <c r="D11" s="3278" t="s">
        <v>54</v>
      </c>
      <c r="E11" s="2317">
        <v>77.099999999999994</v>
      </c>
      <c r="F11" s="2317">
        <v>78.7</v>
      </c>
      <c r="G11" s="2317">
        <v>80.900000000000006</v>
      </c>
      <c r="H11" s="2317">
        <v>80.900000000000006</v>
      </c>
      <c r="I11" s="2317">
        <v>80.7</v>
      </c>
      <c r="J11" s="2317">
        <v>82</v>
      </c>
      <c r="K11" s="2317">
        <v>81.900000000000006</v>
      </c>
      <c r="L11" s="2317">
        <v>82.7</v>
      </c>
      <c r="M11" s="2317">
        <v>82.9</v>
      </c>
      <c r="N11" s="2317">
        <v>83.8</v>
      </c>
      <c r="O11" s="2317">
        <v>85.3</v>
      </c>
      <c r="P11" s="2317">
        <v>85.4</v>
      </c>
      <c r="Q11" s="2317">
        <v>86</v>
      </c>
      <c r="R11" s="2317">
        <v>85.5</v>
      </c>
      <c r="S11" s="932"/>
      <c r="T11" s="930"/>
      <c r="U11" s="930"/>
      <c r="V11" s="930"/>
      <c r="W11" s="930"/>
      <c r="X11" s="930"/>
      <c r="Y11" s="930"/>
      <c r="Z11" s="930"/>
      <c r="AA11" s="930"/>
      <c r="AB11" s="930"/>
      <c r="AC11" s="930"/>
      <c r="AD11" s="930"/>
      <c r="AE11" s="930"/>
      <c r="AF11" s="930"/>
      <c r="AG11" s="930"/>
      <c r="AH11" s="931"/>
      <c r="AI11" s="931"/>
      <c r="AJ11" s="931"/>
      <c r="AK11" s="931"/>
      <c r="AL11" s="931"/>
      <c r="AM11" s="931"/>
      <c r="AN11" s="931"/>
      <c r="AO11" s="931"/>
      <c r="AP11" s="930"/>
      <c r="AQ11" s="930"/>
      <c r="AR11" s="930"/>
      <c r="AS11" s="930"/>
      <c r="AT11" s="930"/>
      <c r="AU11" s="930"/>
      <c r="AV11" s="930"/>
      <c r="AW11" s="930"/>
      <c r="AX11" s="930"/>
      <c r="AY11" s="930"/>
      <c r="AZ11" s="930"/>
      <c r="BA11" s="930"/>
      <c r="BB11" s="930"/>
      <c r="BC11" s="930"/>
      <c r="BD11" s="930"/>
      <c r="BE11" s="930"/>
      <c r="BF11" s="930"/>
      <c r="BG11" s="930"/>
      <c r="BH11" s="930"/>
      <c r="BI11" s="930"/>
      <c r="BJ11" s="930"/>
      <c r="BK11" s="930"/>
      <c r="BL11" s="930"/>
      <c r="BM11" s="930"/>
      <c r="BN11" s="930"/>
      <c r="BO11" s="930"/>
      <c r="BP11" s="930"/>
    </row>
    <row r="12" spans="1:74" s="922" customFormat="1" ht="16.899999999999999" customHeight="1" x14ac:dyDescent="0.25">
      <c r="A12" s="928"/>
      <c r="B12" s="927"/>
      <c r="C12" s="2318"/>
      <c r="D12" s="3279" t="s">
        <v>737</v>
      </c>
      <c r="E12" s="926">
        <v>2475032</v>
      </c>
      <c r="F12" s="926">
        <v>2367357</v>
      </c>
      <c r="G12" s="926">
        <v>2181302</v>
      </c>
      <c r="H12" s="926">
        <v>2238815</v>
      </c>
      <c r="I12" s="926">
        <v>2327557</v>
      </c>
      <c r="J12" s="926">
        <v>2240968</v>
      </c>
      <c r="K12" s="926">
        <v>2320584</v>
      </c>
      <c r="L12" s="926">
        <v>2312342</v>
      </c>
      <c r="M12" s="926">
        <v>2345038</v>
      </c>
      <c r="N12" s="926">
        <v>2309659</v>
      </c>
      <c r="O12" s="926">
        <v>2130819</v>
      </c>
      <c r="P12" s="926">
        <v>2207027</v>
      </c>
      <c r="Q12" s="926">
        <v>2175139</v>
      </c>
      <c r="R12" s="926">
        <f>R9-R10</f>
        <v>2345462</v>
      </c>
      <c r="S12" s="925"/>
      <c r="T12" s="923"/>
      <c r="U12" s="923"/>
      <c r="V12" s="923"/>
      <c r="W12" s="923"/>
      <c r="X12" s="923"/>
      <c r="Y12" s="923"/>
      <c r="Z12" s="923"/>
      <c r="AA12" s="923"/>
      <c r="AB12" s="923"/>
      <c r="AC12" s="923"/>
      <c r="AD12" s="923"/>
      <c r="AE12" s="923"/>
      <c r="AF12" s="923"/>
      <c r="AG12" s="923"/>
      <c r="AH12" s="924"/>
      <c r="AI12" s="924"/>
      <c r="AJ12" s="924"/>
      <c r="AK12" s="924"/>
      <c r="AL12" s="924"/>
      <c r="AM12" s="924"/>
      <c r="AN12" s="924"/>
      <c r="AO12" s="924"/>
      <c r="AP12" s="923"/>
      <c r="AQ12" s="923"/>
      <c r="AR12" s="923"/>
      <c r="AS12" s="923"/>
      <c r="AT12" s="923"/>
      <c r="AU12" s="923"/>
      <c r="AV12" s="923"/>
      <c r="AW12" s="923"/>
      <c r="AX12" s="923"/>
      <c r="AY12" s="923"/>
      <c r="AZ12" s="923"/>
      <c r="BA12" s="923"/>
      <c r="BB12" s="923"/>
      <c r="BC12" s="923"/>
      <c r="BD12" s="923"/>
      <c r="BE12" s="923"/>
      <c r="BF12" s="923"/>
      <c r="BG12" s="923"/>
      <c r="BH12" s="923"/>
      <c r="BI12" s="923"/>
      <c r="BJ12" s="923"/>
      <c r="BK12" s="923"/>
      <c r="BL12" s="923"/>
      <c r="BM12" s="923"/>
      <c r="BN12" s="923"/>
      <c r="BO12" s="923"/>
      <c r="BP12" s="923"/>
    </row>
    <row r="13" spans="1:74" s="891" customFormat="1" x14ac:dyDescent="0.25">
      <c r="A13" s="835"/>
      <c r="B13" s="898"/>
      <c r="C13" s="2315"/>
      <c r="D13" s="921"/>
      <c r="E13" s="920"/>
      <c r="F13" s="895"/>
      <c r="G13" s="895"/>
      <c r="H13" s="895"/>
      <c r="I13" s="895"/>
      <c r="J13" s="895"/>
      <c r="K13" s="895"/>
      <c r="L13" s="797"/>
      <c r="M13" s="797"/>
      <c r="N13" s="797"/>
      <c r="O13" s="797"/>
      <c r="P13" s="797"/>
      <c r="Q13" s="797"/>
      <c r="R13" s="797"/>
      <c r="S13" s="797"/>
      <c r="T13" s="919"/>
      <c r="U13" s="919"/>
      <c r="V13" s="797"/>
      <c r="W13" s="797"/>
      <c r="X13" s="797"/>
      <c r="Y13" s="892"/>
      <c r="Z13" s="892"/>
      <c r="AA13" s="892"/>
      <c r="AB13" s="892"/>
      <c r="AC13" s="892"/>
      <c r="AD13" s="892"/>
      <c r="AE13" s="892"/>
      <c r="AF13" s="892"/>
      <c r="AG13" s="890"/>
      <c r="AH13" s="890"/>
      <c r="AI13" s="890"/>
      <c r="AJ13" s="890"/>
      <c r="AK13" s="890"/>
      <c r="AL13" s="890"/>
      <c r="AM13" s="890"/>
      <c r="AN13" s="890"/>
      <c r="AO13" s="892"/>
      <c r="AP13" s="892"/>
      <c r="AQ13" s="892"/>
      <c r="AR13" s="892"/>
      <c r="AS13" s="892"/>
      <c r="AT13" s="892"/>
      <c r="AU13" s="892"/>
      <c r="AV13" s="892"/>
      <c r="AW13" s="892"/>
      <c r="AX13" s="892"/>
      <c r="AY13" s="892"/>
      <c r="AZ13" s="892"/>
      <c r="BA13" s="892"/>
      <c r="BB13" s="892"/>
      <c r="BC13" s="892"/>
      <c r="BD13" s="892"/>
      <c r="BE13" s="892"/>
      <c r="BF13" s="892"/>
      <c r="BG13" s="892"/>
      <c r="BH13" s="892"/>
      <c r="BI13" s="892"/>
      <c r="BJ13" s="892"/>
      <c r="BK13" s="892"/>
      <c r="BL13" s="892"/>
      <c r="BM13" s="892"/>
      <c r="BN13" s="892"/>
      <c r="BO13" s="892"/>
      <c r="BP13" s="892"/>
      <c r="BQ13" s="892"/>
      <c r="BR13" s="892"/>
      <c r="BS13" s="892"/>
      <c r="BT13" s="892"/>
      <c r="BU13" s="892"/>
      <c r="BV13" s="892"/>
    </row>
    <row r="14" spans="1:74" s="891" customFormat="1" x14ac:dyDescent="0.25">
      <c r="A14" s="835"/>
      <c r="B14" s="898"/>
      <c r="C14" s="2315"/>
      <c r="D14" s="921"/>
      <c r="E14" s="920"/>
      <c r="F14" s="895"/>
      <c r="G14" s="895"/>
      <c r="H14" s="895"/>
      <c r="I14" s="895"/>
      <c r="J14" s="895"/>
      <c r="K14" s="895"/>
      <c r="L14" s="797"/>
      <c r="M14" s="797"/>
      <c r="N14" s="797"/>
      <c r="O14" s="797"/>
      <c r="P14" s="797"/>
      <c r="Q14" s="797"/>
      <c r="R14" s="797"/>
      <c r="S14" s="797"/>
      <c r="T14" s="919"/>
      <c r="U14" s="919"/>
      <c r="V14" s="797"/>
      <c r="W14" s="797"/>
      <c r="X14" s="797"/>
      <c r="Y14" s="892"/>
      <c r="Z14" s="892"/>
      <c r="AA14" s="892"/>
      <c r="AB14" s="892"/>
      <c r="AC14" s="892"/>
      <c r="AD14" s="892"/>
      <c r="AE14" s="892"/>
      <c r="AF14" s="892"/>
      <c r="AG14" s="890"/>
      <c r="AH14" s="890"/>
      <c r="AI14" s="890"/>
      <c r="AJ14" s="890"/>
      <c r="AK14" s="890"/>
      <c r="AL14" s="890"/>
      <c r="AM14" s="890"/>
      <c r="AN14" s="890"/>
      <c r="AO14" s="892"/>
      <c r="AP14" s="892"/>
      <c r="AQ14" s="892"/>
      <c r="AR14" s="892"/>
      <c r="AS14" s="892"/>
      <c r="AT14" s="892"/>
      <c r="AU14" s="892"/>
      <c r="AV14" s="892"/>
      <c r="AW14" s="892"/>
      <c r="AX14" s="892"/>
      <c r="AY14" s="892"/>
      <c r="AZ14" s="892"/>
      <c r="BA14" s="892"/>
      <c r="BB14" s="892"/>
      <c r="BC14" s="892"/>
      <c r="BD14" s="892"/>
      <c r="BE14" s="892"/>
      <c r="BF14" s="892"/>
      <c r="BG14" s="892"/>
      <c r="BH14" s="892"/>
      <c r="BI14" s="892"/>
      <c r="BJ14" s="892"/>
      <c r="BK14" s="892"/>
      <c r="BL14" s="892"/>
      <c r="BM14" s="892"/>
      <c r="BN14" s="892"/>
      <c r="BO14" s="892"/>
      <c r="BP14" s="892"/>
      <c r="BQ14" s="892"/>
      <c r="BR14" s="892"/>
      <c r="BS14" s="892"/>
      <c r="BT14" s="892"/>
      <c r="BU14" s="892"/>
      <c r="BV14" s="892"/>
    </row>
    <row r="15" spans="1:74" s="77" customFormat="1" ht="12.75" x14ac:dyDescent="0.2">
      <c r="A15" s="2319"/>
      <c r="B15" s="917"/>
      <c r="D15" s="1253" t="s">
        <v>55</v>
      </c>
      <c r="E15" s="1253" t="s">
        <v>736</v>
      </c>
      <c r="F15" s="2320"/>
      <c r="G15" s="2320"/>
      <c r="H15" s="2321"/>
      <c r="I15" s="2321"/>
      <c r="J15" s="2321"/>
      <c r="K15" s="2321"/>
      <c r="L15" s="2321"/>
      <c r="M15" s="2321"/>
      <c r="N15" s="2321"/>
      <c r="O15" s="2321"/>
      <c r="P15" s="2321"/>
      <c r="Q15" s="2321"/>
      <c r="R15" s="2321"/>
      <c r="S15" s="2321"/>
      <c r="T15" s="2321"/>
      <c r="U15" s="2321"/>
      <c r="V15" s="2321"/>
      <c r="W15" s="2321"/>
      <c r="X15" s="2321"/>
      <c r="Y15" s="906"/>
      <c r="Z15" s="58"/>
      <c r="AA15" s="58"/>
      <c r="AB15" s="58"/>
      <c r="AC15" s="58"/>
      <c r="AD15" s="58"/>
      <c r="AE15" s="58"/>
      <c r="AF15" s="58"/>
      <c r="AG15" s="432"/>
      <c r="AH15" s="432"/>
      <c r="AI15" s="432"/>
      <c r="AJ15" s="432"/>
      <c r="AK15" s="432"/>
      <c r="AL15" s="432"/>
      <c r="AM15" s="432"/>
      <c r="AN15" s="432"/>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row>
    <row r="16" spans="1:74" s="2323" customFormat="1" ht="11.25" x14ac:dyDescent="0.2">
      <c r="A16" s="2322"/>
      <c r="B16" s="918"/>
      <c r="D16" s="3280"/>
      <c r="E16" s="3782">
        <v>2002</v>
      </c>
      <c r="F16" s="3782"/>
      <c r="G16" s="3783"/>
      <c r="H16" s="3782">
        <v>2003</v>
      </c>
      <c r="I16" s="3782"/>
      <c r="J16" s="3783"/>
      <c r="K16" s="3782">
        <v>2004</v>
      </c>
      <c r="L16" s="3782"/>
      <c r="M16" s="3783"/>
      <c r="N16" s="3782">
        <v>2005</v>
      </c>
      <c r="O16" s="3782"/>
      <c r="P16" s="3783"/>
      <c r="Q16" s="3782">
        <v>2006</v>
      </c>
      <c r="R16" s="3782"/>
      <c r="S16" s="3783"/>
      <c r="T16" s="3782">
        <v>2007</v>
      </c>
      <c r="U16" s="3782"/>
      <c r="V16" s="3783"/>
      <c r="W16" s="3782">
        <v>2008</v>
      </c>
      <c r="X16" s="3782"/>
      <c r="Y16" s="3783"/>
      <c r="Z16" s="3782">
        <v>2009</v>
      </c>
      <c r="AA16" s="3782"/>
      <c r="AB16" s="3783"/>
      <c r="AC16" s="3782">
        <v>2010</v>
      </c>
      <c r="AD16" s="3782"/>
      <c r="AE16" s="3783"/>
      <c r="AF16" s="3782">
        <v>2011</v>
      </c>
      <c r="AG16" s="3782"/>
      <c r="AH16" s="3783"/>
      <c r="AI16" s="3782">
        <v>2012</v>
      </c>
      <c r="AJ16" s="3782"/>
      <c r="AK16" s="3783"/>
      <c r="AL16" s="3782">
        <v>2013</v>
      </c>
      <c r="AM16" s="3782"/>
      <c r="AN16" s="3783"/>
      <c r="AO16" s="3782" t="s">
        <v>105</v>
      </c>
      <c r="AP16" s="3782"/>
      <c r="AQ16" s="3783"/>
      <c r="AR16" s="3782" t="s">
        <v>106</v>
      </c>
      <c r="AS16" s="3782"/>
      <c r="AT16" s="3783"/>
    </row>
    <row r="17" spans="1:79" s="58" customFormat="1" ht="38.25" customHeight="1" x14ac:dyDescent="0.2">
      <c r="A17" s="2324"/>
      <c r="B17" s="917"/>
      <c r="C17" s="2325"/>
      <c r="D17" s="3281"/>
      <c r="E17" s="916" t="s">
        <v>735</v>
      </c>
      <c r="F17" s="916" t="s">
        <v>734</v>
      </c>
      <c r="G17" s="915" t="s">
        <v>54</v>
      </c>
      <c r="H17" s="916" t="s">
        <v>735</v>
      </c>
      <c r="I17" s="916" t="s">
        <v>734</v>
      </c>
      <c r="J17" s="915" t="s">
        <v>54</v>
      </c>
      <c r="K17" s="916" t="s">
        <v>735</v>
      </c>
      <c r="L17" s="916" t="s">
        <v>734</v>
      </c>
      <c r="M17" s="915" t="s">
        <v>54</v>
      </c>
      <c r="N17" s="916" t="s">
        <v>735</v>
      </c>
      <c r="O17" s="916" t="s">
        <v>734</v>
      </c>
      <c r="P17" s="915" t="s">
        <v>54</v>
      </c>
      <c r="Q17" s="916" t="s">
        <v>735</v>
      </c>
      <c r="R17" s="916" t="s">
        <v>734</v>
      </c>
      <c r="S17" s="915" t="s">
        <v>54</v>
      </c>
      <c r="T17" s="916" t="s">
        <v>735</v>
      </c>
      <c r="U17" s="916" t="s">
        <v>734</v>
      </c>
      <c r="V17" s="915" t="s">
        <v>54</v>
      </c>
      <c r="W17" s="916" t="s">
        <v>735</v>
      </c>
      <c r="X17" s="916" t="s">
        <v>734</v>
      </c>
      <c r="Y17" s="915" t="s">
        <v>54</v>
      </c>
      <c r="Z17" s="916" t="s">
        <v>735</v>
      </c>
      <c r="AA17" s="916" t="s">
        <v>734</v>
      </c>
      <c r="AB17" s="915" t="s">
        <v>54</v>
      </c>
      <c r="AC17" s="916" t="s">
        <v>735</v>
      </c>
      <c r="AD17" s="916" t="s">
        <v>734</v>
      </c>
      <c r="AE17" s="915" t="s">
        <v>54</v>
      </c>
      <c r="AF17" s="916" t="s">
        <v>735</v>
      </c>
      <c r="AG17" s="916" t="s">
        <v>734</v>
      </c>
      <c r="AH17" s="915" t="s">
        <v>54</v>
      </c>
      <c r="AI17" s="916" t="s">
        <v>735</v>
      </c>
      <c r="AJ17" s="916" t="s">
        <v>734</v>
      </c>
      <c r="AK17" s="915" t="s">
        <v>54</v>
      </c>
      <c r="AL17" s="916" t="s">
        <v>735</v>
      </c>
      <c r="AM17" s="916" t="s">
        <v>734</v>
      </c>
      <c r="AN17" s="915" t="s">
        <v>54</v>
      </c>
      <c r="AO17" s="916" t="s">
        <v>735</v>
      </c>
      <c r="AP17" s="916" t="s">
        <v>734</v>
      </c>
      <c r="AQ17" s="915" t="s">
        <v>54</v>
      </c>
      <c r="AR17" s="916" t="s">
        <v>735</v>
      </c>
      <c r="AS17" s="916" t="s">
        <v>734</v>
      </c>
      <c r="AT17" s="915" t="s">
        <v>54</v>
      </c>
    </row>
    <row r="18" spans="1:79" s="58" customFormat="1" ht="11.25" x14ac:dyDescent="0.2">
      <c r="A18" s="2324"/>
      <c r="B18" s="432"/>
      <c r="D18" s="2948" t="s">
        <v>414</v>
      </c>
      <c r="E18" s="2326">
        <v>1198487</v>
      </c>
      <c r="F18" s="2326">
        <v>1058152</v>
      </c>
      <c r="G18" s="2327">
        <v>88.46</v>
      </c>
      <c r="H18" s="2326">
        <v>1232899</v>
      </c>
      <c r="I18" s="2326">
        <v>1098928</v>
      </c>
      <c r="J18" s="2327">
        <v>89.13</v>
      </c>
      <c r="K18" s="2326">
        <v>1269107</v>
      </c>
      <c r="L18" s="2326">
        <v>1153423</v>
      </c>
      <c r="M18" s="2327">
        <v>90.91</v>
      </c>
      <c r="N18" s="2326">
        <v>1307218</v>
      </c>
      <c r="O18" s="2326">
        <v>1203314</v>
      </c>
      <c r="P18" s="2327">
        <v>92.5</v>
      </c>
      <c r="Q18" s="2326">
        <v>1348200</v>
      </c>
      <c r="R18" s="2326">
        <v>1258633</v>
      </c>
      <c r="S18" s="2327">
        <v>93.39</v>
      </c>
      <c r="T18" s="2326">
        <v>1389092</v>
      </c>
      <c r="U18" s="2326">
        <v>1329108</v>
      </c>
      <c r="V18" s="2327">
        <v>96.19</v>
      </c>
      <c r="W18" s="2326">
        <v>1432376</v>
      </c>
      <c r="X18" s="2326">
        <v>1335315</v>
      </c>
      <c r="Y18" s="2327">
        <v>93.56</v>
      </c>
      <c r="Z18" s="2326">
        <v>1477414</v>
      </c>
      <c r="AA18" s="2326">
        <v>1324057</v>
      </c>
      <c r="AB18" s="2327">
        <v>89.62</v>
      </c>
      <c r="AC18" s="2326">
        <v>1523616</v>
      </c>
      <c r="AD18" s="2326">
        <v>1327143</v>
      </c>
      <c r="AE18" s="2327">
        <v>87.1</v>
      </c>
      <c r="AF18" s="2326">
        <v>1571220</v>
      </c>
      <c r="AG18" s="2326">
        <v>1361105</v>
      </c>
      <c r="AH18" s="2327">
        <v>86.63</v>
      </c>
      <c r="AI18" s="2326">
        <v>1619223</v>
      </c>
      <c r="AJ18" s="2326">
        <v>1460501</v>
      </c>
      <c r="AK18" s="2327">
        <v>90.52</v>
      </c>
      <c r="AL18" s="2326">
        <v>1668808</v>
      </c>
      <c r="AM18" s="2326">
        <v>1483990</v>
      </c>
      <c r="AN18" s="2327">
        <v>89.3</v>
      </c>
      <c r="AO18" s="2326">
        <v>1720395.9</v>
      </c>
      <c r="AP18" s="2326">
        <v>1506429.7</v>
      </c>
      <c r="AQ18" s="2327">
        <v>87.6</v>
      </c>
      <c r="AR18" s="2326">
        <v>1774564.7</v>
      </c>
      <c r="AS18" s="2326">
        <v>1599850.8</v>
      </c>
      <c r="AT18" s="2327">
        <v>90.2</v>
      </c>
    </row>
    <row r="19" spans="1:79" s="906" customFormat="1" ht="11.25" x14ac:dyDescent="0.2">
      <c r="A19" s="914"/>
      <c r="D19" s="2948" t="s">
        <v>415</v>
      </c>
      <c r="E19" s="2326">
        <v>1405347</v>
      </c>
      <c r="F19" s="2326">
        <v>776877</v>
      </c>
      <c r="G19" s="2327">
        <v>55.3</v>
      </c>
      <c r="H19" s="2326">
        <v>1425842</v>
      </c>
      <c r="I19" s="2326">
        <v>822795</v>
      </c>
      <c r="J19" s="2327">
        <v>57.79</v>
      </c>
      <c r="K19" s="2326">
        <v>1445289</v>
      </c>
      <c r="L19" s="2326">
        <v>871458</v>
      </c>
      <c r="M19" s="2327">
        <v>60.37</v>
      </c>
      <c r="N19" s="2326">
        <v>1463648</v>
      </c>
      <c r="O19" s="2326">
        <v>992234</v>
      </c>
      <c r="P19" s="2327">
        <v>67.98</v>
      </c>
      <c r="Q19" s="2326">
        <v>1481843</v>
      </c>
      <c r="R19" s="2326">
        <v>1025707</v>
      </c>
      <c r="S19" s="2327">
        <v>69.47</v>
      </c>
      <c r="T19" s="2326">
        <v>1502508</v>
      </c>
      <c r="U19" s="2326">
        <v>1048015</v>
      </c>
      <c r="V19" s="2327">
        <v>69.83</v>
      </c>
      <c r="W19" s="2326">
        <v>1525049</v>
      </c>
      <c r="X19" s="2326">
        <v>1017780</v>
      </c>
      <c r="Y19" s="2327">
        <v>66.84</v>
      </c>
      <c r="Z19" s="2326">
        <v>1548750</v>
      </c>
      <c r="AA19" s="2326">
        <v>1079299</v>
      </c>
      <c r="AB19" s="2327">
        <v>69.69</v>
      </c>
      <c r="AC19" s="2326">
        <v>1573443</v>
      </c>
      <c r="AD19" s="2326">
        <v>1146054</v>
      </c>
      <c r="AE19" s="2327">
        <v>72.84</v>
      </c>
      <c r="AF19" s="2326">
        <v>1600015</v>
      </c>
      <c r="AG19" s="2326">
        <v>1221970</v>
      </c>
      <c r="AH19" s="2327">
        <v>76.37</v>
      </c>
      <c r="AI19" s="2326">
        <v>1630829</v>
      </c>
      <c r="AJ19" s="2326">
        <v>1303958</v>
      </c>
      <c r="AK19" s="2327">
        <v>80.349999999999994</v>
      </c>
      <c r="AL19" s="2326">
        <v>1662576</v>
      </c>
      <c r="AM19" s="2326">
        <v>1351803</v>
      </c>
      <c r="AN19" s="2327">
        <v>81.33</v>
      </c>
      <c r="AO19" s="2326">
        <v>1694718.3</v>
      </c>
      <c r="AP19" s="2326">
        <v>1414786.6</v>
      </c>
      <c r="AQ19" s="2327">
        <v>83.5</v>
      </c>
      <c r="AR19" s="2326">
        <v>1727197.3</v>
      </c>
      <c r="AS19" s="2326">
        <v>1421869.4</v>
      </c>
      <c r="AT19" s="2327">
        <v>82.3</v>
      </c>
    </row>
    <row r="20" spans="1:79" s="906" customFormat="1" ht="11.25" x14ac:dyDescent="0.2">
      <c r="A20" s="914"/>
      <c r="D20" s="2948" t="s">
        <v>416</v>
      </c>
      <c r="E20" s="2326">
        <v>231048</v>
      </c>
      <c r="F20" s="2326">
        <v>189063</v>
      </c>
      <c r="G20" s="2327">
        <v>81.83</v>
      </c>
      <c r="H20" s="2326">
        <v>236283</v>
      </c>
      <c r="I20" s="2326">
        <v>187496</v>
      </c>
      <c r="J20" s="2327">
        <v>79.44</v>
      </c>
      <c r="K20" s="2326">
        <v>241876</v>
      </c>
      <c r="L20" s="2326">
        <v>200743</v>
      </c>
      <c r="M20" s="2327">
        <v>82.99</v>
      </c>
      <c r="N20" s="2326">
        <v>247800</v>
      </c>
      <c r="O20" s="2326">
        <v>219337</v>
      </c>
      <c r="P20" s="2327">
        <v>88.51</v>
      </c>
      <c r="Q20" s="2326">
        <v>254264</v>
      </c>
      <c r="R20" s="2326">
        <v>222523</v>
      </c>
      <c r="S20" s="2327">
        <v>87.74</v>
      </c>
      <c r="T20" s="2326">
        <v>261222</v>
      </c>
      <c r="U20" s="2326">
        <v>231435</v>
      </c>
      <c r="V20" s="2327">
        <v>88.74</v>
      </c>
      <c r="W20" s="2326">
        <v>268271</v>
      </c>
      <c r="X20" s="2326">
        <v>234599</v>
      </c>
      <c r="Y20" s="2327">
        <v>87.59</v>
      </c>
      <c r="Z20" s="2326">
        <v>275265</v>
      </c>
      <c r="AA20" s="2326">
        <v>246675</v>
      </c>
      <c r="AB20" s="2327">
        <v>89.61</v>
      </c>
      <c r="AC20" s="2326">
        <v>282167</v>
      </c>
      <c r="AD20" s="2326">
        <v>250121</v>
      </c>
      <c r="AE20" s="2327">
        <v>88.64</v>
      </c>
      <c r="AF20" s="2326">
        <v>289141</v>
      </c>
      <c r="AG20" s="2326">
        <v>264324</v>
      </c>
      <c r="AH20" s="2327">
        <v>91.42</v>
      </c>
      <c r="AI20" s="2326">
        <v>296493</v>
      </c>
      <c r="AJ20" s="2326">
        <v>272120</v>
      </c>
      <c r="AK20" s="2327">
        <v>91.87</v>
      </c>
      <c r="AL20" s="2326">
        <v>304036</v>
      </c>
      <c r="AM20" s="2326">
        <v>272134</v>
      </c>
      <c r="AN20" s="2327">
        <v>89.67</v>
      </c>
      <c r="AO20" s="2326">
        <v>311818.3</v>
      </c>
      <c r="AP20" s="2326">
        <v>281507.7</v>
      </c>
      <c r="AQ20" s="2327">
        <v>90.3</v>
      </c>
      <c r="AR20" s="2326">
        <v>320024.7</v>
      </c>
      <c r="AS20" s="2326">
        <v>295738</v>
      </c>
      <c r="AT20" s="2327">
        <v>92.4</v>
      </c>
    </row>
    <row r="21" spans="1:79" s="906" customFormat="1" ht="11.25" x14ac:dyDescent="0.2">
      <c r="A21" s="914"/>
      <c r="D21" s="2948" t="s">
        <v>417</v>
      </c>
      <c r="E21" s="2326">
        <v>686026</v>
      </c>
      <c r="F21" s="2326">
        <v>583776</v>
      </c>
      <c r="G21" s="2327">
        <v>85.14</v>
      </c>
      <c r="H21" s="2326">
        <v>697744</v>
      </c>
      <c r="I21" s="2326">
        <v>586554</v>
      </c>
      <c r="J21" s="2327">
        <v>84.34</v>
      </c>
      <c r="K21" s="2326">
        <v>710129</v>
      </c>
      <c r="L21" s="2326">
        <v>624010</v>
      </c>
      <c r="M21" s="2327">
        <v>88.04</v>
      </c>
      <c r="N21" s="2326">
        <v>723243</v>
      </c>
      <c r="O21" s="2326">
        <v>639869</v>
      </c>
      <c r="P21" s="2327">
        <v>88.5</v>
      </c>
      <c r="Q21" s="2326">
        <v>737798</v>
      </c>
      <c r="R21" s="2326">
        <v>648138</v>
      </c>
      <c r="S21" s="2327">
        <v>88.31</v>
      </c>
      <c r="T21" s="2326">
        <v>755191</v>
      </c>
      <c r="U21" s="2326">
        <v>660334</v>
      </c>
      <c r="V21" s="2327">
        <v>87.91</v>
      </c>
      <c r="W21" s="2326">
        <v>772656</v>
      </c>
      <c r="X21" s="2326">
        <v>690190</v>
      </c>
      <c r="Y21" s="2327">
        <v>89.74</v>
      </c>
      <c r="Z21" s="2326">
        <v>789788</v>
      </c>
      <c r="AA21" s="2326">
        <v>725313</v>
      </c>
      <c r="AB21" s="2327">
        <v>91.84</v>
      </c>
      <c r="AC21" s="2326">
        <v>806459</v>
      </c>
      <c r="AD21" s="2326">
        <v>748002</v>
      </c>
      <c r="AE21" s="2327">
        <v>92.75</v>
      </c>
      <c r="AF21" s="2326">
        <v>823137</v>
      </c>
      <c r="AG21" s="2326">
        <v>772189</v>
      </c>
      <c r="AH21" s="2327">
        <v>93.81</v>
      </c>
      <c r="AI21" s="2326">
        <v>842535</v>
      </c>
      <c r="AJ21" s="2326">
        <v>767340</v>
      </c>
      <c r="AK21" s="2327">
        <v>91.51</v>
      </c>
      <c r="AL21" s="2326">
        <v>862609</v>
      </c>
      <c r="AM21" s="2326">
        <v>789774</v>
      </c>
      <c r="AN21" s="2327">
        <v>91.68</v>
      </c>
      <c r="AO21" s="2326">
        <v>883494.5</v>
      </c>
      <c r="AP21" s="2326">
        <v>814098.7</v>
      </c>
      <c r="AQ21" s="2327">
        <v>92.1</v>
      </c>
      <c r="AR21" s="2326">
        <v>905619.5</v>
      </c>
      <c r="AS21" s="2326">
        <v>805649.2</v>
      </c>
      <c r="AT21" s="2327">
        <v>89</v>
      </c>
    </row>
    <row r="22" spans="1:79" s="906" customFormat="1" ht="11.25" x14ac:dyDescent="0.2">
      <c r="A22" s="914"/>
      <c r="D22" s="2948" t="s">
        <v>418</v>
      </c>
      <c r="E22" s="2326">
        <v>1901707</v>
      </c>
      <c r="F22" s="2326">
        <v>1307702</v>
      </c>
      <c r="G22" s="2327">
        <v>68.92</v>
      </c>
      <c r="H22" s="2326">
        <v>1949925</v>
      </c>
      <c r="I22" s="2326">
        <v>1369842</v>
      </c>
      <c r="J22" s="2327">
        <v>70.55</v>
      </c>
      <c r="K22" s="2326">
        <v>1998839</v>
      </c>
      <c r="L22" s="2326">
        <v>1456310</v>
      </c>
      <c r="M22" s="2327">
        <v>73.02</v>
      </c>
      <c r="N22" s="2326">
        <v>2048793</v>
      </c>
      <c r="O22" s="2326">
        <v>1484585</v>
      </c>
      <c r="P22" s="2327">
        <v>72.56</v>
      </c>
      <c r="Q22" s="2326">
        <v>2100989</v>
      </c>
      <c r="R22" s="2326">
        <v>1566763</v>
      </c>
      <c r="S22" s="2327">
        <v>74.84</v>
      </c>
      <c r="T22" s="2326">
        <v>2160867</v>
      </c>
      <c r="U22" s="2326">
        <v>1632209</v>
      </c>
      <c r="V22" s="2327">
        <v>75.77</v>
      </c>
      <c r="W22" s="2326">
        <v>2224176</v>
      </c>
      <c r="X22" s="2326">
        <v>1626558</v>
      </c>
      <c r="Y22" s="2327">
        <v>73.459999999999994</v>
      </c>
      <c r="Z22" s="2326">
        <v>2290073</v>
      </c>
      <c r="AA22" s="2326">
        <v>1738825</v>
      </c>
      <c r="AB22" s="2327">
        <v>75.930000000000007</v>
      </c>
      <c r="AC22" s="2326">
        <v>2357811</v>
      </c>
      <c r="AD22" s="2326">
        <v>1812269</v>
      </c>
      <c r="AE22" s="2327">
        <v>76.86</v>
      </c>
      <c r="AF22" s="2326">
        <v>2428033</v>
      </c>
      <c r="AG22" s="2326">
        <v>1897558</v>
      </c>
      <c r="AH22" s="2327">
        <v>78.17</v>
      </c>
      <c r="AI22" s="2326">
        <v>2504220</v>
      </c>
      <c r="AJ22" s="2326">
        <v>1970142</v>
      </c>
      <c r="AK22" s="2327">
        <v>79.34</v>
      </c>
      <c r="AL22" s="2326">
        <v>2582620</v>
      </c>
      <c r="AM22" s="2326">
        <v>2061105</v>
      </c>
      <c r="AN22" s="2327">
        <v>79.95</v>
      </c>
      <c r="AO22" s="2326">
        <v>2663345</v>
      </c>
      <c r="AP22" s="2326">
        <v>2189566.1</v>
      </c>
      <c r="AQ22" s="2327">
        <v>82.2</v>
      </c>
      <c r="AR22" s="2326">
        <v>2746500.5</v>
      </c>
      <c r="AS22" s="2326">
        <v>2244179.2000000002</v>
      </c>
      <c r="AT22" s="2327">
        <v>81.7</v>
      </c>
    </row>
    <row r="23" spans="1:79" s="906" customFormat="1" ht="11.25" x14ac:dyDescent="0.2">
      <c r="A23" s="914"/>
      <c r="D23" s="2948" t="s">
        <v>419</v>
      </c>
      <c r="E23" s="2326">
        <v>837281</v>
      </c>
      <c r="F23" s="2326">
        <v>683551</v>
      </c>
      <c r="G23" s="2327">
        <v>81.95</v>
      </c>
      <c r="H23" s="2326">
        <v>857256</v>
      </c>
      <c r="I23" s="2326">
        <v>727990</v>
      </c>
      <c r="J23" s="2327">
        <v>85.42</v>
      </c>
      <c r="K23" s="2326">
        <v>878343</v>
      </c>
      <c r="L23" s="2326">
        <v>780568</v>
      </c>
      <c r="M23" s="2327">
        <v>88.89</v>
      </c>
      <c r="N23" s="2326">
        <v>900820</v>
      </c>
      <c r="O23" s="2326">
        <v>763538</v>
      </c>
      <c r="P23" s="2327">
        <v>84.79</v>
      </c>
      <c r="Q23" s="2326">
        <v>925593</v>
      </c>
      <c r="R23" s="2326">
        <v>791552</v>
      </c>
      <c r="S23" s="2327">
        <v>85.52</v>
      </c>
      <c r="T23" s="2326">
        <v>952034</v>
      </c>
      <c r="U23" s="2326">
        <v>807776</v>
      </c>
      <c r="V23" s="2327">
        <v>84.93</v>
      </c>
      <c r="W23" s="2326">
        <v>980230</v>
      </c>
      <c r="X23" s="2326">
        <v>789232</v>
      </c>
      <c r="Y23" s="2327">
        <v>80.540000000000006</v>
      </c>
      <c r="Z23" s="2326">
        <v>1009618</v>
      </c>
      <c r="AA23" s="2326">
        <v>816410</v>
      </c>
      <c r="AB23" s="2327">
        <v>80.86</v>
      </c>
      <c r="AC23" s="2326">
        <v>1039778</v>
      </c>
      <c r="AD23" s="2326">
        <v>869907</v>
      </c>
      <c r="AE23" s="2327">
        <v>83.66</v>
      </c>
      <c r="AF23" s="2326">
        <v>1071010</v>
      </c>
      <c r="AG23" s="2326">
        <v>923104</v>
      </c>
      <c r="AH23" s="2327">
        <v>86.19</v>
      </c>
      <c r="AI23" s="2326">
        <v>1104665</v>
      </c>
      <c r="AJ23" s="2326">
        <v>935035</v>
      </c>
      <c r="AK23" s="2327">
        <v>85.29</v>
      </c>
      <c r="AL23" s="2326">
        <v>1139806</v>
      </c>
      <c r="AM23" s="2326">
        <v>1006175</v>
      </c>
      <c r="AN23" s="2327">
        <v>88.28</v>
      </c>
      <c r="AO23" s="2326">
        <v>1176578.5</v>
      </c>
      <c r="AP23" s="2326">
        <v>1030536.9</v>
      </c>
      <c r="AQ23" s="2327">
        <v>87.6</v>
      </c>
      <c r="AR23" s="2326">
        <v>1215381.6000000001</v>
      </c>
      <c r="AS23" s="2326">
        <v>1020984.9</v>
      </c>
      <c r="AT23" s="2327">
        <v>84</v>
      </c>
    </row>
    <row r="24" spans="1:79" s="906" customFormat="1" ht="11.25" x14ac:dyDescent="0.2">
      <c r="A24" s="914"/>
      <c r="D24" s="2948" t="s">
        <v>420</v>
      </c>
      <c r="E24" s="2326">
        <v>2743382</v>
      </c>
      <c r="F24" s="2326">
        <v>2381888</v>
      </c>
      <c r="G24" s="2327">
        <v>87.08</v>
      </c>
      <c r="H24" s="2326">
        <v>2848135</v>
      </c>
      <c r="I24" s="2326">
        <v>2480099</v>
      </c>
      <c r="J24" s="2327">
        <v>87.18</v>
      </c>
      <c r="K24" s="2326">
        <v>2960476</v>
      </c>
      <c r="L24" s="2326">
        <v>2607883</v>
      </c>
      <c r="M24" s="2327">
        <v>88.31</v>
      </c>
      <c r="N24" s="2326">
        <v>3082587</v>
      </c>
      <c r="O24" s="2326">
        <v>2567746</v>
      </c>
      <c r="P24" s="2327">
        <v>83.38</v>
      </c>
      <c r="Q24" s="2326">
        <v>3217255</v>
      </c>
      <c r="R24" s="2326">
        <v>2531016</v>
      </c>
      <c r="S24" s="2327">
        <v>79.040000000000006</v>
      </c>
      <c r="T24" s="2326">
        <v>3355733</v>
      </c>
      <c r="U24" s="2326">
        <v>2687554</v>
      </c>
      <c r="V24" s="2327">
        <v>80.38</v>
      </c>
      <c r="W24" s="2326">
        <v>3504208</v>
      </c>
      <c r="X24" s="2326">
        <v>3034098</v>
      </c>
      <c r="Y24" s="2327">
        <v>87.19</v>
      </c>
      <c r="Z24" s="2326">
        <v>3661106</v>
      </c>
      <c r="AA24" s="2326">
        <v>3151674</v>
      </c>
      <c r="AB24" s="2327">
        <v>86.09</v>
      </c>
      <c r="AC24" s="2326">
        <v>3823425</v>
      </c>
      <c r="AD24" s="2326">
        <v>3197309</v>
      </c>
      <c r="AE24" s="2327">
        <v>83.62</v>
      </c>
      <c r="AF24" s="2326">
        <v>3990196</v>
      </c>
      <c r="AG24" s="2326">
        <v>3274054</v>
      </c>
      <c r="AH24" s="2327">
        <v>82.05</v>
      </c>
      <c r="AI24" s="2326">
        <v>4153150</v>
      </c>
      <c r="AJ24" s="2326">
        <v>3479485</v>
      </c>
      <c r="AK24" s="2327">
        <v>84.59</v>
      </c>
      <c r="AL24" s="2326">
        <v>4322601</v>
      </c>
      <c r="AM24" s="2326">
        <v>3604022</v>
      </c>
      <c r="AN24" s="2327">
        <v>83.61</v>
      </c>
      <c r="AO24" s="2326">
        <v>4500835.0999999996</v>
      </c>
      <c r="AP24" s="2326">
        <v>3762880.6</v>
      </c>
      <c r="AQ24" s="2327">
        <v>83.6</v>
      </c>
      <c r="AR24" s="2326">
        <v>4689505.9000000004</v>
      </c>
      <c r="AS24" s="2326">
        <v>3900878.1</v>
      </c>
      <c r="AT24" s="2327">
        <v>83.2</v>
      </c>
    </row>
    <row r="25" spans="1:79" s="906" customFormat="1" ht="11.25" x14ac:dyDescent="0.2">
      <c r="A25" s="914"/>
      <c r="D25" s="2948" t="s">
        <v>421</v>
      </c>
      <c r="E25" s="2326">
        <v>773609</v>
      </c>
      <c r="F25" s="2326">
        <v>586710</v>
      </c>
      <c r="G25" s="2327">
        <v>75.849999999999994</v>
      </c>
      <c r="H25" s="2326">
        <v>798549</v>
      </c>
      <c r="I25" s="2326">
        <v>645850</v>
      </c>
      <c r="J25" s="2327">
        <v>81.05</v>
      </c>
      <c r="K25" s="2326">
        <v>824870</v>
      </c>
      <c r="L25" s="2326">
        <v>688357</v>
      </c>
      <c r="M25" s="2327">
        <v>83.64</v>
      </c>
      <c r="N25" s="2326">
        <v>852459</v>
      </c>
      <c r="O25" s="2326">
        <v>694985</v>
      </c>
      <c r="P25" s="2327">
        <v>81.63</v>
      </c>
      <c r="Q25" s="2326">
        <v>881847</v>
      </c>
      <c r="R25" s="2326">
        <v>732569</v>
      </c>
      <c r="S25" s="2327">
        <v>83.25</v>
      </c>
      <c r="T25" s="2326">
        <v>913807</v>
      </c>
      <c r="U25" s="2326">
        <v>778401</v>
      </c>
      <c r="V25" s="2327">
        <v>85.34</v>
      </c>
      <c r="W25" s="2326">
        <v>946931</v>
      </c>
      <c r="X25" s="2326">
        <v>774594</v>
      </c>
      <c r="Y25" s="2327">
        <v>82.49</v>
      </c>
      <c r="Z25" s="2326">
        <v>980878</v>
      </c>
      <c r="AA25" s="2326">
        <v>837919</v>
      </c>
      <c r="AB25" s="2327">
        <v>85.43</v>
      </c>
      <c r="AC25" s="2326">
        <v>1015414</v>
      </c>
      <c r="AD25" s="2326">
        <v>883513</v>
      </c>
      <c r="AE25" s="2327">
        <v>87.01</v>
      </c>
      <c r="AF25" s="2326">
        <v>1050982</v>
      </c>
      <c r="AG25" s="2326">
        <v>920713</v>
      </c>
      <c r="AH25" s="2327">
        <v>87.6</v>
      </c>
      <c r="AI25" s="2326">
        <v>1088284</v>
      </c>
      <c r="AJ25" s="2326">
        <v>947300</v>
      </c>
      <c r="AK25" s="2327">
        <v>88.39</v>
      </c>
      <c r="AL25" s="2326">
        <v>1127164</v>
      </c>
      <c r="AM25" s="2326">
        <v>1003150</v>
      </c>
      <c r="AN25" s="2327">
        <v>89.34</v>
      </c>
      <c r="AO25" s="2326">
        <v>1167869.2</v>
      </c>
      <c r="AP25" s="2326">
        <v>1048726.2</v>
      </c>
      <c r="AQ25" s="2327">
        <v>89.8</v>
      </c>
      <c r="AR25" s="2326">
        <v>1210824.6000000001</v>
      </c>
      <c r="AS25" s="2326">
        <v>1063290.6000000001</v>
      </c>
      <c r="AT25" s="2327">
        <v>87.8</v>
      </c>
    </row>
    <row r="26" spans="1:79" s="906" customFormat="1" ht="11.25" x14ac:dyDescent="0.2">
      <c r="A26" s="914"/>
      <c r="B26" s="432"/>
      <c r="D26" s="2205" t="s">
        <v>422</v>
      </c>
      <c r="E26" s="2328">
        <v>1037332</v>
      </c>
      <c r="F26" s="2328">
        <v>752199</v>
      </c>
      <c r="G26" s="2329">
        <v>72.53</v>
      </c>
      <c r="H26" s="2328">
        <v>1066446</v>
      </c>
      <c r="I26" s="2328">
        <v>801852</v>
      </c>
      <c r="J26" s="2329">
        <v>75.27</v>
      </c>
      <c r="K26" s="2328">
        <v>1096349</v>
      </c>
      <c r="L26" s="2328">
        <v>843624</v>
      </c>
      <c r="M26" s="2329">
        <v>76.97</v>
      </c>
      <c r="N26" s="2328">
        <v>1126995</v>
      </c>
      <c r="O26" s="2328">
        <v>931294</v>
      </c>
      <c r="P26" s="2329">
        <v>82.64</v>
      </c>
      <c r="Q26" s="2328">
        <v>1159105</v>
      </c>
      <c r="R26" s="2328">
        <v>964703</v>
      </c>
      <c r="S26" s="2329">
        <v>83.44</v>
      </c>
      <c r="T26" s="2328">
        <v>1194752</v>
      </c>
      <c r="U26" s="2328">
        <v>1030555</v>
      </c>
      <c r="V26" s="2329">
        <v>86.54</v>
      </c>
      <c r="W26" s="2328">
        <v>1231731</v>
      </c>
      <c r="X26" s="2328">
        <v>1004902</v>
      </c>
      <c r="Y26" s="2329">
        <v>81.83</v>
      </c>
      <c r="Z26" s="2328">
        <v>1269657</v>
      </c>
      <c r="AA26" s="2328">
        <v>1070034</v>
      </c>
      <c r="AB26" s="2329">
        <v>84.28</v>
      </c>
      <c r="AC26" s="2328">
        <v>1308624</v>
      </c>
      <c r="AD26" s="2328">
        <v>1151381</v>
      </c>
      <c r="AE26" s="2329">
        <v>87.98</v>
      </c>
      <c r="AF26" s="2328">
        <v>1349600</v>
      </c>
      <c r="AG26" s="2328">
        <v>1228191</v>
      </c>
      <c r="AH26" s="2329">
        <v>91</v>
      </c>
      <c r="AI26" s="2328">
        <v>1391697</v>
      </c>
      <c r="AJ26" s="2328">
        <v>1246999</v>
      </c>
      <c r="AK26" s="2329">
        <v>90.5</v>
      </c>
      <c r="AL26" s="2328">
        <v>1436332</v>
      </c>
      <c r="AM26" s="2328">
        <v>1296707</v>
      </c>
      <c r="AN26" s="2329">
        <v>90.31</v>
      </c>
      <c r="AO26" s="2328">
        <v>1483195.7</v>
      </c>
      <c r="AP26" s="2328">
        <v>1366049.8</v>
      </c>
      <c r="AQ26" s="2329">
        <v>92.1</v>
      </c>
      <c r="AR26" s="2328">
        <v>1532370.6</v>
      </c>
      <c r="AS26" s="2328">
        <v>1424087.2</v>
      </c>
      <c r="AT26" s="2329">
        <v>92.9</v>
      </c>
    </row>
    <row r="27" spans="1:79" s="891" customFormat="1" x14ac:dyDescent="0.25">
      <c r="A27" s="835"/>
      <c r="B27" s="898"/>
      <c r="K27" s="897"/>
      <c r="O27" s="897"/>
      <c r="P27" s="895"/>
      <c r="Q27" s="895"/>
      <c r="R27" s="895"/>
      <c r="S27" s="896"/>
      <c r="T27" s="895"/>
      <c r="U27" s="895"/>
      <c r="V27" s="895"/>
      <c r="W27" s="901"/>
      <c r="X27" s="895"/>
      <c r="Y27" s="895"/>
      <c r="Z27" s="895"/>
      <c r="AA27" s="895"/>
      <c r="AC27" s="892"/>
      <c r="AD27" s="892"/>
      <c r="AE27" s="892"/>
      <c r="AF27" s="892"/>
      <c r="AG27" s="890"/>
      <c r="AH27" s="890"/>
      <c r="AI27" s="890"/>
      <c r="AJ27" s="890"/>
      <c r="AK27" s="890"/>
      <c r="AL27" s="890"/>
      <c r="AM27" s="890"/>
      <c r="AN27" s="890"/>
      <c r="AO27" s="892"/>
      <c r="AP27" s="892"/>
      <c r="AQ27" s="892"/>
      <c r="AR27" s="913"/>
      <c r="AS27" s="913"/>
      <c r="AT27" s="912"/>
      <c r="AU27" s="892"/>
      <c r="AV27" s="892"/>
      <c r="AW27" s="892"/>
      <c r="AX27" s="892"/>
      <c r="AY27" s="892"/>
      <c r="AZ27" s="892"/>
      <c r="BA27" s="892"/>
      <c r="BB27" s="892"/>
      <c r="BC27" s="892"/>
      <c r="BD27" s="892"/>
      <c r="BE27" s="892"/>
      <c r="BF27" s="892"/>
      <c r="BG27" s="892"/>
      <c r="BH27" s="892"/>
      <c r="BI27" s="892"/>
      <c r="BJ27" s="892"/>
      <c r="BK27" s="892"/>
      <c r="BL27" s="892"/>
      <c r="BM27" s="892"/>
      <c r="BN27" s="892"/>
      <c r="BO27" s="892"/>
      <c r="BP27" s="892"/>
      <c r="BQ27" s="892"/>
      <c r="BR27" s="892"/>
      <c r="BS27" s="892"/>
      <c r="BT27" s="892"/>
      <c r="BU27" s="892"/>
      <c r="BV27" s="892"/>
      <c r="BW27" s="892"/>
      <c r="BX27" s="892"/>
      <c r="BY27" s="892"/>
      <c r="BZ27" s="892"/>
    </row>
    <row r="28" spans="1:79" s="891" customFormat="1" x14ac:dyDescent="0.25">
      <c r="A28" s="835"/>
      <c r="B28" s="898"/>
      <c r="D28" s="911" t="s">
        <v>262</v>
      </c>
      <c r="E28" s="911" t="s">
        <v>733</v>
      </c>
      <c r="K28" s="897"/>
      <c r="O28" s="897"/>
      <c r="P28" s="895"/>
      <c r="Q28" s="895"/>
      <c r="R28" s="895"/>
      <c r="S28" s="896"/>
      <c r="T28" s="895"/>
      <c r="U28" s="895"/>
      <c r="V28" s="895"/>
      <c r="W28" s="901"/>
      <c r="X28" s="895"/>
      <c r="Y28" s="895"/>
      <c r="Z28" s="895"/>
      <c r="AA28" s="895"/>
      <c r="AC28" s="892"/>
      <c r="AD28" s="892"/>
      <c r="AE28" s="892"/>
      <c r="AF28" s="892"/>
      <c r="AG28" s="890"/>
      <c r="AH28" s="890"/>
      <c r="AI28" s="890"/>
      <c r="AJ28" s="890"/>
      <c r="AK28" s="890"/>
      <c r="AL28" s="890"/>
      <c r="AM28" s="890"/>
      <c r="AN28" s="890"/>
      <c r="AO28" s="892"/>
      <c r="AP28" s="892"/>
      <c r="AQ28" s="892"/>
      <c r="AR28" s="892"/>
      <c r="AS28" s="892"/>
      <c r="AT28" s="892"/>
      <c r="AU28" s="892"/>
      <c r="AV28" s="892"/>
      <c r="AW28" s="892"/>
      <c r="AX28" s="892"/>
      <c r="AY28" s="892"/>
      <c r="AZ28" s="892"/>
      <c r="BA28" s="892"/>
      <c r="BB28" s="892"/>
      <c r="BC28" s="892"/>
      <c r="BD28" s="892"/>
      <c r="BE28" s="892"/>
      <c r="BF28" s="892"/>
      <c r="BG28" s="892"/>
      <c r="BH28" s="892"/>
      <c r="BI28" s="892"/>
      <c r="BJ28" s="892"/>
      <c r="BK28" s="892"/>
      <c r="BL28" s="892"/>
      <c r="BM28" s="892"/>
      <c r="BN28" s="892"/>
      <c r="BO28" s="892"/>
      <c r="BP28" s="892"/>
      <c r="BQ28" s="892"/>
      <c r="BR28" s="892"/>
      <c r="BS28" s="892"/>
      <c r="BT28" s="892"/>
      <c r="BU28" s="892"/>
      <c r="BV28" s="892"/>
      <c r="BW28" s="892"/>
      <c r="BX28" s="892"/>
      <c r="BY28" s="892"/>
      <c r="BZ28" s="892"/>
    </row>
    <row r="29" spans="1:79" s="891" customFormat="1" x14ac:dyDescent="0.25">
      <c r="A29" s="835"/>
      <c r="B29" s="898"/>
      <c r="D29" s="3282"/>
      <c r="E29" s="910" t="s">
        <v>134</v>
      </c>
      <c r="F29" s="909" t="s">
        <v>135</v>
      </c>
      <c r="G29" s="909" t="s">
        <v>136</v>
      </c>
      <c r="H29" s="909" t="s">
        <v>137</v>
      </c>
      <c r="I29" s="909" t="s">
        <v>138</v>
      </c>
      <c r="J29" s="908" t="s">
        <v>139</v>
      </c>
      <c r="K29" s="909" t="s">
        <v>140</v>
      </c>
      <c r="L29" s="909" t="s">
        <v>141</v>
      </c>
      <c r="M29" s="909" t="s">
        <v>142</v>
      </c>
      <c r="N29" s="908" t="s">
        <v>143</v>
      </c>
      <c r="O29" s="907" t="s">
        <v>144</v>
      </c>
      <c r="P29" s="907" t="s">
        <v>145</v>
      </c>
      <c r="Q29" s="895"/>
      <c r="R29" s="895"/>
      <c r="S29" s="895"/>
      <c r="T29" s="896"/>
      <c r="U29" s="895"/>
      <c r="V29" s="895"/>
      <c r="W29" s="895"/>
      <c r="X29" s="901"/>
      <c r="Y29" s="895"/>
      <c r="Z29" s="895"/>
      <c r="AA29" s="895"/>
      <c r="AB29" s="895"/>
      <c r="AD29" s="892"/>
      <c r="AE29" s="892"/>
      <c r="AF29" s="892"/>
      <c r="AG29" s="892"/>
      <c r="AH29" s="890"/>
      <c r="AI29" s="890"/>
      <c r="AJ29" s="890"/>
      <c r="AK29" s="890"/>
      <c r="AL29" s="890"/>
      <c r="AM29" s="890"/>
      <c r="AN29" s="890"/>
      <c r="AO29" s="890"/>
      <c r="AP29" s="892"/>
      <c r="AQ29" s="892"/>
      <c r="AR29" s="892"/>
      <c r="AS29" s="892"/>
      <c r="AT29" s="892"/>
      <c r="AU29" s="892"/>
      <c r="AV29" s="892"/>
      <c r="AW29" s="892"/>
      <c r="AX29" s="892"/>
      <c r="AY29" s="892"/>
      <c r="AZ29" s="892"/>
      <c r="BA29" s="892"/>
      <c r="BB29" s="892"/>
      <c r="BC29" s="892"/>
      <c r="BD29" s="892"/>
      <c r="BE29" s="892"/>
      <c r="BF29" s="892"/>
      <c r="BG29" s="892"/>
      <c r="BH29" s="892"/>
      <c r="BI29" s="892"/>
      <c r="BJ29" s="892"/>
      <c r="BK29" s="892"/>
      <c r="BL29" s="892"/>
      <c r="BM29" s="892"/>
      <c r="BN29" s="892"/>
      <c r="BO29" s="892"/>
      <c r="BP29" s="892"/>
      <c r="BQ29" s="892"/>
      <c r="BR29" s="892"/>
      <c r="BS29" s="892"/>
      <c r="BT29" s="892"/>
      <c r="BU29" s="892"/>
      <c r="BV29" s="892"/>
      <c r="BW29" s="892"/>
      <c r="BX29" s="892"/>
      <c r="BY29" s="892"/>
      <c r="BZ29" s="892"/>
      <c r="CA29" s="892"/>
    </row>
    <row r="30" spans="1:79" s="891" customFormat="1" x14ac:dyDescent="0.25">
      <c r="A30" s="835"/>
      <c r="B30" s="898"/>
      <c r="D30" s="3283" t="s">
        <v>732</v>
      </c>
      <c r="E30" s="905"/>
      <c r="F30" s="904">
        <v>278762</v>
      </c>
      <c r="G30" s="904">
        <v>248451</v>
      </c>
      <c r="H30" s="904">
        <v>241703</v>
      </c>
      <c r="I30" s="904">
        <v>185833</v>
      </c>
      <c r="J30" s="904">
        <v>122711</v>
      </c>
      <c r="K30" s="904">
        <v>295470</v>
      </c>
      <c r="L30" s="904">
        <v>181873</v>
      </c>
      <c r="M30" s="904">
        <v>167322</v>
      </c>
      <c r="N30" s="904">
        <v>202835</v>
      </c>
      <c r="O30" s="904">
        <v>306773</v>
      </c>
      <c r="P30" s="904">
        <v>233455</v>
      </c>
      <c r="Q30" s="895"/>
      <c r="R30" s="895"/>
      <c r="S30" s="895"/>
      <c r="T30" s="896"/>
      <c r="U30" s="895"/>
      <c r="V30" s="895"/>
      <c r="W30" s="895"/>
      <c r="X30" s="901"/>
      <c r="Y30" s="895"/>
      <c r="Z30" s="895"/>
      <c r="AA30" s="895"/>
      <c r="AB30" s="895"/>
      <c r="AD30" s="892"/>
      <c r="AE30" s="892"/>
      <c r="AF30" s="892"/>
      <c r="AG30" s="892"/>
      <c r="AH30" s="890"/>
      <c r="AI30" s="890"/>
      <c r="AJ30" s="890"/>
      <c r="AK30" s="890"/>
      <c r="AL30" s="890"/>
      <c r="AM30" s="890"/>
      <c r="AN30" s="890"/>
      <c r="AO30" s="890"/>
      <c r="AP30" s="892"/>
      <c r="AQ30" s="892"/>
      <c r="AR30" s="892"/>
      <c r="AS30" s="892"/>
      <c r="AT30" s="892"/>
      <c r="AU30" s="892"/>
      <c r="AV30" s="892"/>
      <c r="AW30" s="892"/>
      <c r="AX30" s="892"/>
      <c r="AY30" s="892"/>
      <c r="AZ30" s="892"/>
      <c r="BA30" s="892"/>
      <c r="BB30" s="892"/>
      <c r="BC30" s="892"/>
      <c r="BD30" s="892"/>
      <c r="BE30" s="892"/>
      <c r="BF30" s="892"/>
      <c r="BG30" s="892"/>
      <c r="BH30" s="892"/>
      <c r="BI30" s="892"/>
      <c r="BJ30" s="892"/>
      <c r="BK30" s="892"/>
      <c r="BL30" s="892"/>
      <c r="BM30" s="892"/>
      <c r="BN30" s="892"/>
      <c r="BO30" s="892"/>
      <c r="BP30" s="892"/>
      <c r="BQ30" s="892"/>
      <c r="BR30" s="892"/>
      <c r="BS30" s="892"/>
      <c r="BT30" s="892"/>
      <c r="BU30" s="892"/>
      <c r="BV30" s="892"/>
      <c r="BW30" s="892"/>
      <c r="BX30" s="892"/>
      <c r="BY30" s="892"/>
      <c r="BZ30" s="892"/>
      <c r="CA30" s="892"/>
    </row>
    <row r="31" spans="1:79" s="891" customFormat="1" x14ac:dyDescent="0.25">
      <c r="A31" s="835"/>
      <c r="B31" s="898"/>
      <c r="D31" s="3284" t="s">
        <v>731</v>
      </c>
      <c r="E31" s="902">
        <v>3375298</v>
      </c>
      <c r="F31" s="902">
        <f t="shared" ref="F31:P31" si="0">+E31+F30</f>
        <v>3654060</v>
      </c>
      <c r="G31" s="902">
        <f t="shared" si="0"/>
        <v>3902511</v>
      </c>
      <c r="H31" s="902">
        <f t="shared" si="0"/>
        <v>4144214</v>
      </c>
      <c r="I31" s="902">
        <f t="shared" si="0"/>
        <v>4330047</v>
      </c>
      <c r="J31" s="902">
        <f t="shared" si="0"/>
        <v>4452758</v>
      </c>
      <c r="K31" s="902">
        <f t="shared" si="0"/>
        <v>4748228</v>
      </c>
      <c r="L31" s="902">
        <f t="shared" si="0"/>
        <v>4930101</v>
      </c>
      <c r="M31" s="902">
        <f t="shared" si="0"/>
        <v>5097423</v>
      </c>
      <c r="N31" s="902">
        <f t="shared" si="0"/>
        <v>5300258</v>
      </c>
      <c r="O31" s="902">
        <f t="shared" si="0"/>
        <v>5607031</v>
      </c>
      <c r="P31" s="902">
        <f t="shared" si="0"/>
        <v>5840486</v>
      </c>
      <c r="Q31" s="895"/>
      <c r="R31" s="895"/>
      <c r="S31" s="895"/>
      <c r="T31" s="896"/>
      <c r="U31" s="895"/>
      <c r="V31" s="895"/>
      <c r="W31" s="895"/>
      <c r="X31" s="901"/>
      <c r="Y31" s="895"/>
      <c r="Z31" s="895"/>
      <c r="AA31" s="895"/>
      <c r="AB31" s="895"/>
      <c r="AD31" s="892"/>
      <c r="AE31" s="892"/>
      <c r="AF31" s="892"/>
      <c r="AG31" s="892"/>
      <c r="AH31" s="890"/>
      <c r="AI31" s="890"/>
      <c r="AJ31" s="890"/>
      <c r="AK31" s="890"/>
      <c r="AL31" s="890"/>
      <c r="AM31" s="890"/>
      <c r="AN31" s="890"/>
      <c r="AO31" s="890"/>
      <c r="AP31" s="892"/>
      <c r="AQ31" s="892"/>
      <c r="AR31" s="892"/>
      <c r="AS31" s="892"/>
      <c r="AT31" s="892"/>
      <c r="AU31" s="892"/>
      <c r="AV31" s="892"/>
      <c r="AW31" s="892"/>
      <c r="AX31" s="892"/>
      <c r="AY31" s="892"/>
      <c r="AZ31" s="892"/>
      <c r="BA31" s="892"/>
      <c r="BB31" s="892"/>
      <c r="BC31" s="892"/>
      <c r="BD31" s="892"/>
      <c r="BE31" s="892"/>
      <c r="BF31" s="892"/>
      <c r="BG31" s="892"/>
      <c r="BH31" s="892"/>
      <c r="BI31" s="892"/>
      <c r="BJ31" s="892"/>
      <c r="BK31" s="892"/>
      <c r="BL31" s="892"/>
      <c r="BM31" s="892"/>
      <c r="BN31" s="892"/>
      <c r="BO31" s="892"/>
      <c r="BP31" s="892"/>
      <c r="BQ31" s="892"/>
      <c r="BR31" s="892"/>
      <c r="BS31" s="892"/>
      <c r="BT31" s="892"/>
      <c r="BU31" s="892"/>
      <c r="BV31" s="892"/>
      <c r="BW31" s="892"/>
      <c r="BX31" s="892"/>
      <c r="BY31" s="892"/>
      <c r="BZ31" s="892"/>
      <c r="CA31" s="892"/>
    </row>
    <row r="32" spans="1:79" s="891" customFormat="1" x14ac:dyDescent="0.25">
      <c r="A32" s="835"/>
      <c r="B32" s="898"/>
      <c r="K32" s="897"/>
      <c r="O32" s="897"/>
      <c r="P32" s="895"/>
      <c r="Q32" s="895"/>
      <c r="R32" s="895"/>
      <c r="S32" s="896"/>
      <c r="T32" s="895"/>
      <c r="U32" s="895"/>
      <c r="V32" s="895"/>
      <c r="W32" s="901"/>
      <c r="X32" s="895"/>
      <c r="Y32" s="895"/>
      <c r="Z32" s="895"/>
      <c r="AA32" s="895"/>
      <c r="AC32" s="892"/>
      <c r="AD32" s="892"/>
      <c r="AE32" s="892"/>
      <c r="AF32" s="892"/>
      <c r="AG32" s="890"/>
      <c r="AH32" s="890"/>
      <c r="AI32" s="890"/>
      <c r="AJ32" s="890"/>
      <c r="AK32" s="890"/>
      <c r="AL32" s="890"/>
      <c r="AM32" s="890"/>
      <c r="AN32" s="890"/>
      <c r="AO32" s="892"/>
      <c r="AP32" s="892"/>
      <c r="AQ32" s="892"/>
      <c r="AR32" s="892"/>
      <c r="AS32" s="892"/>
      <c r="AT32" s="892"/>
      <c r="AU32" s="892"/>
      <c r="AV32" s="892"/>
      <c r="AW32" s="892"/>
      <c r="AX32" s="892"/>
      <c r="AY32" s="892"/>
      <c r="AZ32" s="892"/>
      <c r="BA32" s="892"/>
      <c r="BB32" s="892"/>
      <c r="BC32" s="892"/>
      <c r="BD32" s="892"/>
      <c r="BE32" s="892"/>
      <c r="BF32" s="892"/>
      <c r="BG32" s="892"/>
      <c r="BH32" s="892"/>
      <c r="BI32" s="892"/>
      <c r="BJ32" s="892"/>
      <c r="BK32" s="892"/>
      <c r="BL32" s="892"/>
      <c r="BM32" s="892"/>
      <c r="BN32" s="892"/>
      <c r="BO32" s="892"/>
      <c r="BP32" s="892"/>
      <c r="BQ32" s="892"/>
      <c r="BR32" s="892"/>
      <c r="BS32" s="892"/>
      <c r="BT32" s="892"/>
      <c r="BU32" s="892"/>
      <c r="BV32" s="892"/>
      <c r="BW32" s="892"/>
      <c r="BX32" s="892"/>
      <c r="BY32" s="892"/>
      <c r="BZ32" s="892"/>
    </row>
    <row r="33" spans="1:78" s="891" customFormat="1" x14ac:dyDescent="0.25">
      <c r="A33" s="835"/>
      <c r="B33" s="898"/>
      <c r="K33" s="897"/>
      <c r="O33" s="897"/>
      <c r="P33" s="895"/>
      <c r="Q33" s="895"/>
      <c r="R33" s="895"/>
      <c r="S33" s="896"/>
      <c r="T33" s="895"/>
      <c r="U33" s="895"/>
      <c r="V33" s="895"/>
      <c r="W33" s="901"/>
      <c r="X33" s="895"/>
      <c r="Y33" s="895"/>
      <c r="Z33" s="895"/>
      <c r="AA33" s="895"/>
      <c r="AC33" s="892"/>
      <c r="AD33" s="892"/>
      <c r="AE33" s="892"/>
      <c r="AF33" s="892"/>
      <c r="AG33" s="890"/>
      <c r="AH33" s="890"/>
      <c r="AI33" s="890"/>
      <c r="AJ33" s="890"/>
      <c r="AK33" s="890"/>
      <c r="AL33" s="890"/>
      <c r="AM33" s="890"/>
      <c r="AN33" s="890"/>
      <c r="AO33" s="892"/>
      <c r="AP33" s="892"/>
      <c r="AQ33" s="892"/>
      <c r="AR33" s="892"/>
      <c r="AS33" s="892"/>
      <c r="AT33" s="892"/>
      <c r="AU33" s="892"/>
      <c r="AV33" s="892"/>
      <c r="AW33" s="892"/>
      <c r="AX33" s="892"/>
      <c r="AY33" s="892"/>
      <c r="AZ33" s="892"/>
      <c r="BA33" s="892"/>
      <c r="BB33" s="892"/>
      <c r="BC33" s="892"/>
      <c r="BD33" s="892"/>
      <c r="BE33" s="892"/>
      <c r="BF33" s="892"/>
      <c r="BG33" s="892"/>
      <c r="BH33" s="892"/>
      <c r="BI33" s="892"/>
      <c r="BJ33" s="892"/>
      <c r="BK33" s="892"/>
      <c r="BL33" s="892"/>
      <c r="BM33" s="892"/>
      <c r="BN33" s="892"/>
      <c r="BO33" s="892"/>
      <c r="BP33" s="892"/>
      <c r="BQ33" s="892"/>
      <c r="BR33" s="892"/>
      <c r="BS33" s="892"/>
      <c r="BT33" s="892"/>
      <c r="BU33" s="892"/>
      <c r="BV33" s="892"/>
      <c r="BW33" s="892"/>
      <c r="BX33" s="892"/>
      <c r="BY33" s="892"/>
      <c r="BZ33" s="892"/>
    </row>
    <row r="34" spans="1:78" s="891" customFormat="1" x14ac:dyDescent="0.25">
      <c r="A34" s="835"/>
      <c r="B34" s="898"/>
      <c r="G34" s="897"/>
      <c r="K34" s="897"/>
      <c r="L34" s="895"/>
      <c r="M34" s="895"/>
      <c r="N34" s="895"/>
      <c r="O34" s="896"/>
      <c r="P34" s="895"/>
      <c r="Q34" s="895"/>
      <c r="R34" s="895"/>
      <c r="S34" s="895"/>
      <c r="T34" s="895"/>
      <c r="U34" s="895"/>
      <c r="V34" s="895"/>
      <c r="W34" s="895"/>
      <c r="X34" s="892"/>
      <c r="Y34" s="900"/>
      <c r="Z34" s="900"/>
      <c r="AA34" s="892"/>
      <c r="AB34" s="892"/>
      <c r="AC34" s="892"/>
      <c r="AD34" s="892"/>
      <c r="AE34" s="892"/>
      <c r="AF34" s="892"/>
      <c r="AG34" s="890"/>
      <c r="AH34" s="890"/>
      <c r="AI34" s="890"/>
      <c r="AJ34" s="890"/>
      <c r="AK34" s="890"/>
      <c r="AL34" s="890"/>
      <c r="AM34" s="890"/>
      <c r="AN34" s="890"/>
      <c r="AO34" s="892"/>
      <c r="AP34" s="892"/>
      <c r="AQ34" s="892"/>
      <c r="AR34" s="892"/>
      <c r="AS34" s="892"/>
      <c r="AT34" s="892"/>
      <c r="AU34" s="892"/>
      <c r="AV34" s="892"/>
      <c r="AW34" s="892"/>
      <c r="AX34" s="892"/>
      <c r="AY34" s="892"/>
      <c r="AZ34" s="892"/>
      <c r="BA34" s="892"/>
      <c r="BB34" s="892"/>
      <c r="BC34" s="892"/>
      <c r="BD34" s="892"/>
      <c r="BE34" s="892"/>
      <c r="BF34" s="892"/>
      <c r="BG34" s="892"/>
      <c r="BH34" s="892"/>
      <c r="BI34" s="892"/>
      <c r="BJ34" s="892"/>
      <c r="BK34" s="892"/>
      <c r="BL34" s="892"/>
      <c r="BM34" s="892"/>
      <c r="BN34" s="892"/>
      <c r="BO34" s="892"/>
      <c r="BP34" s="892"/>
      <c r="BQ34" s="892"/>
      <c r="BR34" s="892"/>
      <c r="BS34" s="892"/>
      <c r="BT34" s="892"/>
      <c r="BU34" s="892"/>
      <c r="BV34" s="892"/>
    </row>
    <row r="35" spans="1:78" s="891" customFormat="1" x14ac:dyDescent="0.25">
      <c r="A35" s="835"/>
      <c r="B35" s="898"/>
      <c r="G35" s="897"/>
      <c r="K35" s="897"/>
      <c r="L35" s="895"/>
      <c r="M35" s="895"/>
      <c r="N35" s="895"/>
      <c r="O35" s="896"/>
      <c r="P35" s="895"/>
      <c r="Q35" s="895"/>
      <c r="R35" s="895"/>
      <c r="S35" s="895"/>
      <c r="T35" s="895"/>
      <c r="U35" s="895"/>
      <c r="V35" s="895"/>
      <c r="W35" s="895"/>
      <c r="X35" s="899"/>
      <c r="Y35" s="900"/>
      <c r="Z35" s="900"/>
      <c r="AA35" s="892"/>
      <c r="AB35" s="899"/>
      <c r="AC35" s="892"/>
      <c r="AD35" s="899"/>
      <c r="AE35" s="892"/>
      <c r="AF35" s="892"/>
      <c r="AG35" s="890"/>
      <c r="AH35" s="890"/>
      <c r="AI35" s="890"/>
      <c r="AJ35" s="890"/>
      <c r="AK35" s="890"/>
      <c r="AL35" s="890"/>
      <c r="AM35" s="890"/>
      <c r="AN35" s="890"/>
      <c r="AO35" s="892"/>
      <c r="AP35" s="892"/>
      <c r="AQ35" s="892"/>
      <c r="AR35" s="892"/>
      <c r="AS35" s="892"/>
      <c r="AT35" s="892"/>
      <c r="AU35" s="892"/>
      <c r="AV35" s="892"/>
      <c r="AW35" s="892"/>
      <c r="AX35" s="892"/>
      <c r="AY35" s="892"/>
      <c r="AZ35" s="892"/>
      <c r="BA35" s="892"/>
      <c r="BB35" s="892"/>
      <c r="BC35" s="892"/>
      <c r="BD35" s="892"/>
      <c r="BE35" s="892"/>
      <c r="BF35" s="892"/>
      <c r="BG35" s="892"/>
      <c r="BH35" s="892"/>
      <c r="BI35" s="892"/>
      <c r="BJ35" s="892"/>
      <c r="BK35" s="892"/>
      <c r="BL35" s="892"/>
      <c r="BM35" s="892"/>
      <c r="BN35" s="892"/>
      <c r="BO35" s="892"/>
      <c r="BP35" s="892"/>
      <c r="BQ35" s="892"/>
      <c r="BR35" s="892"/>
      <c r="BS35" s="892"/>
      <c r="BT35" s="892"/>
      <c r="BU35" s="892"/>
      <c r="BV35" s="892"/>
    </row>
    <row r="36" spans="1:78" s="891" customFormat="1" x14ac:dyDescent="0.25">
      <c r="A36" s="835"/>
      <c r="B36" s="898"/>
      <c r="G36" s="897"/>
      <c r="K36" s="897"/>
      <c r="L36" s="895"/>
      <c r="M36" s="895"/>
      <c r="N36" s="895"/>
      <c r="O36" s="896"/>
      <c r="P36" s="895"/>
      <c r="Q36" s="895"/>
      <c r="R36" s="895"/>
      <c r="S36" s="895"/>
      <c r="T36" s="895"/>
      <c r="U36" s="895"/>
      <c r="V36" s="895"/>
      <c r="W36" s="895"/>
      <c r="Y36" s="892"/>
      <c r="Z36" s="892"/>
      <c r="AA36" s="892"/>
      <c r="AB36" s="899"/>
      <c r="AC36" s="892"/>
      <c r="AD36" s="899"/>
      <c r="AE36" s="892"/>
      <c r="AF36" s="892"/>
      <c r="AG36" s="890"/>
      <c r="AH36" s="890"/>
      <c r="AI36" s="890"/>
      <c r="AJ36" s="890"/>
      <c r="AK36" s="890"/>
      <c r="AL36" s="890"/>
      <c r="AM36" s="890"/>
      <c r="AN36" s="890"/>
      <c r="AO36" s="892"/>
      <c r="AP36" s="892"/>
      <c r="AQ36" s="892"/>
      <c r="AR36" s="892"/>
      <c r="AS36" s="892"/>
      <c r="AT36" s="892"/>
      <c r="AU36" s="892"/>
      <c r="AV36" s="892"/>
      <c r="AW36" s="892"/>
      <c r="AX36" s="892"/>
      <c r="AY36" s="892"/>
      <c r="AZ36" s="892"/>
      <c r="BA36" s="892"/>
      <c r="BB36" s="892"/>
      <c r="BC36" s="892"/>
      <c r="BD36" s="892"/>
      <c r="BE36" s="892"/>
      <c r="BF36" s="892"/>
      <c r="BG36" s="892"/>
      <c r="BH36" s="892"/>
      <c r="BI36" s="892"/>
      <c r="BJ36" s="892"/>
      <c r="BK36" s="892"/>
      <c r="BL36" s="892"/>
      <c r="BM36" s="892"/>
      <c r="BN36" s="892"/>
      <c r="BO36" s="892"/>
      <c r="BP36" s="892"/>
      <c r="BQ36" s="892"/>
      <c r="BR36" s="892"/>
      <c r="BS36" s="892"/>
      <c r="BT36" s="892"/>
      <c r="BU36" s="892"/>
      <c r="BV36" s="892"/>
    </row>
    <row r="37" spans="1:78" s="891" customFormat="1" x14ac:dyDescent="0.25">
      <c r="A37" s="835"/>
      <c r="B37" s="898"/>
      <c r="G37" s="897"/>
      <c r="K37" s="897"/>
      <c r="L37" s="895"/>
      <c r="M37" s="895"/>
      <c r="N37" s="895"/>
      <c r="O37" s="896"/>
      <c r="P37" s="895"/>
      <c r="Q37" s="895"/>
      <c r="R37" s="895"/>
      <c r="S37" s="895"/>
      <c r="T37" s="895"/>
      <c r="U37" s="895"/>
      <c r="V37" s="895"/>
      <c r="W37" s="895"/>
      <c r="Y37" s="892"/>
      <c r="Z37" s="892"/>
      <c r="AA37" s="892"/>
      <c r="AB37" s="899"/>
      <c r="AC37" s="892"/>
      <c r="AD37" s="899"/>
      <c r="AE37" s="892"/>
      <c r="AF37" s="892"/>
      <c r="AG37" s="890"/>
      <c r="AH37" s="890"/>
      <c r="AI37" s="890"/>
      <c r="AJ37" s="890"/>
      <c r="AK37" s="890"/>
      <c r="AL37" s="890"/>
      <c r="AM37" s="890"/>
      <c r="AN37" s="890"/>
      <c r="AO37" s="892"/>
      <c r="AP37" s="892"/>
      <c r="AQ37" s="892"/>
      <c r="AR37" s="892"/>
      <c r="AS37" s="892"/>
      <c r="AT37" s="892"/>
      <c r="AU37" s="892"/>
      <c r="AV37" s="892"/>
      <c r="AW37" s="892"/>
      <c r="AX37" s="892"/>
      <c r="AY37" s="892"/>
      <c r="AZ37" s="892"/>
      <c r="BA37" s="892"/>
      <c r="BB37" s="892"/>
      <c r="BC37" s="892"/>
      <c r="BD37" s="892"/>
      <c r="BE37" s="892"/>
      <c r="BF37" s="892"/>
      <c r="BG37" s="892"/>
      <c r="BH37" s="892"/>
      <c r="BI37" s="892"/>
      <c r="BJ37" s="892"/>
      <c r="BK37" s="892"/>
      <c r="BL37" s="892"/>
      <c r="BM37" s="892"/>
      <c r="BN37" s="892"/>
      <c r="BO37" s="892"/>
      <c r="BP37" s="892"/>
      <c r="BQ37" s="892"/>
      <c r="BR37" s="892"/>
      <c r="BS37" s="892"/>
      <c r="BT37" s="892"/>
      <c r="BU37" s="892"/>
      <c r="BV37" s="892"/>
    </row>
    <row r="38" spans="1:78" s="891" customFormat="1" x14ac:dyDescent="0.25">
      <c r="A38" s="835"/>
      <c r="B38" s="898"/>
      <c r="G38" s="897"/>
      <c r="K38" s="897"/>
      <c r="L38" s="895"/>
      <c r="M38" s="895"/>
      <c r="N38" s="895"/>
      <c r="O38" s="896"/>
      <c r="P38" s="895"/>
      <c r="Q38" s="895"/>
      <c r="R38" s="895"/>
      <c r="S38" s="895"/>
      <c r="T38" s="895"/>
      <c r="U38" s="895"/>
      <c r="V38" s="895"/>
      <c r="W38" s="895"/>
      <c r="Y38" s="892"/>
      <c r="Z38" s="892"/>
      <c r="AA38" s="892"/>
      <c r="AB38" s="899"/>
      <c r="AC38" s="892"/>
      <c r="AD38" s="899"/>
      <c r="AE38" s="892"/>
      <c r="AF38" s="892"/>
      <c r="AG38" s="890"/>
      <c r="AH38" s="890"/>
      <c r="AI38" s="890"/>
      <c r="AJ38" s="890"/>
      <c r="AK38" s="890"/>
      <c r="AL38" s="890"/>
      <c r="AM38" s="890"/>
      <c r="AN38" s="890"/>
      <c r="AO38" s="892"/>
      <c r="AP38" s="892"/>
      <c r="AQ38" s="892"/>
      <c r="AR38" s="892"/>
      <c r="AS38" s="892"/>
      <c r="AT38" s="892"/>
      <c r="AU38" s="892"/>
      <c r="AV38" s="892"/>
      <c r="AW38" s="892"/>
      <c r="AX38" s="892"/>
      <c r="AY38" s="892"/>
      <c r="AZ38" s="892"/>
      <c r="BA38" s="892"/>
      <c r="BB38" s="892"/>
      <c r="BC38" s="892"/>
      <c r="BD38" s="892"/>
      <c r="BE38" s="892"/>
      <c r="BF38" s="892"/>
      <c r="BG38" s="892"/>
      <c r="BH38" s="892"/>
      <c r="BI38" s="892"/>
      <c r="BJ38" s="892"/>
      <c r="BK38" s="892"/>
      <c r="BL38" s="892"/>
      <c r="BM38" s="892"/>
      <c r="BN38" s="892"/>
      <c r="BO38" s="892"/>
      <c r="BP38" s="892"/>
      <c r="BQ38" s="892"/>
      <c r="BR38" s="892"/>
      <c r="BS38" s="892"/>
      <c r="BT38" s="892"/>
      <c r="BU38" s="892"/>
      <c r="BV38" s="892"/>
    </row>
    <row r="39" spans="1:78" s="891" customFormat="1" x14ac:dyDescent="0.25">
      <c r="A39" s="835"/>
      <c r="B39" s="898"/>
      <c r="G39" s="897"/>
      <c r="K39" s="897"/>
      <c r="L39" s="895"/>
      <c r="M39" s="895"/>
      <c r="N39" s="895"/>
      <c r="O39" s="896"/>
      <c r="P39" s="895"/>
      <c r="Q39" s="895"/>
      <c r="R39" s="895"/>
      <c r="S39" s="895"/>
      <c r="T39" s="895"/>
      <c r="U39" s="895"/>
      <c r="V39" s="895"/>
      <c r="W39" s="895"/>
      <c r="Y39" s="892"/>
      <c r="Z39" s="892"/>
      <c r="AA39" s="892"/>
      <c r="AB39" s="899"/>
      <c r="AC39" s="892"/>
      <c r="AD39" s="899"/>
      <c r="AE39" s="892"/>
      <c r="AF39" s="892"/>
      <c r="AG39" s="890"/>
      <c r="AH39" s="890"/>
      <c r="AI39" s="890"/>
      <c r="AJ39" s="890"/>
      <c r="AK39" s="890"/>
      <c r="AL39" s="890"/>
      <c r="AM39" s="890"/>
      <c r="AN39" s="890"/>
      <c r="AO39" s="892"/>
      <c r="AP39" s="892"/>
      <c r="AQ39" s="892"/>
      <c r="AR39" s="892"/>
      <c r="AS39" s="892"/>
      <c r="AT39" s="892"/>
      <c r="AU39" s="892"/>
      <c r="AV39" s="892"/>
      <c r="AW39" s="892"/>
      <c r="AX39" s="892"/>
      <c r="AY39" s="892"/>
      <c r="AZ39" s="892"/>
      <c r="BA39" s="892"/>
      <c r="BB39" s="892"/>
      <c r="BC39" s="892"/>
      <c r="BD39" s="892"/>
      <c r="BE39" s="892"/>
      <c r="BF39" s="892"/>
      <c r="BG39" s="892"/>
      <c r="BH39" s="892"/>
      <c r="BI39" s="892"/>
      <c r="BJ39" s="892"/>
      <c r="BK39" s="892"/>
      <c r="BL39" s="892"/>
      <c r="BM39" s="892"/>
      <c r="BN39" s="892"/>
      <c r="BO39" s="892"/>
      <c r="BP39" s="892"/>
      <c r="BQ39" s="892"/>
      <c r="BR39" s="892"/>
      <c r="BS39" s="892"/>
      <c r="BT39" s="892"/>
      <c r="BU39" s="892"/>
      <c r="BV39" s="892"/>
    </row>
    <row r="40" spans="1:78" s="891" customFormat="1" x14ac:dyDescent="0.25">
      <c r="A40" s="835"/>
      <c r="B40" s="898"/>
      <c r="G40" s="897"/>
      <c r="K40" s="897"/>
      <c r="L40" s="895"/>
      <c r="M40" s="895"/>
      <c r="N40" s="895"/>
      <c r="O40" s="896"/>
      <c r="P40" s="895"/>
      <c r="Q40" s="895"/>
      <c r="R40" s="895"/>
      <c r="S40" s="895"/>
      <c r="T40" s="895"/>
      <c r="U40" s="895"/>
      <c r="V40" s="895"/>
      <c r="W40" s="895"/>
      <c r="Y40" s="892"/>
      <c r="Z40" s="892"/>
      <c r="AA40" s="892"/>
      <c r="AB40" s="899"/>
      <c r="AC40" s="892"/>
      <c r="AD40" s="899"/>
      <c r="AE40" s="892"/>
      <c r="AF40" s="892"/>
      <c r="AG40" s="890"/>
      <c r="AH40" s="890"/>
      <c r="AI40" s="890"/>
      <c r="AJ40" s="890"/>
      <c r="AK40" s="890"/>
      <c r="AL40" s="890"/>
      <c r="AM40" s="890"/>
      <c r="AN40" s="890"/>
      <c r="AO40" s="892"/>
      <c r="AP40" s="892"/>
      <c r="AQ40" s="892"/>
      <c r="AR40" s="892"/>
      <c r="AS40" s="892"/>
      <c r="AT40" s="892"/>
      <c r="AU40" s="892"/>
      <c r="AV40" s="892"/>
      <c r="AW40" s="892"/>
      <c r="AX40" s="892"/>
      <c r="AY40" s="892"/>
      <c r="AZ40" s="892"/>
      <c r="BA40" s="892"/>
      <c r="BB40" s="892"/>
      <c r="BC40" s="892"/>
      <c r="BD40" s="892"/>
      <c r="BE40" s="892"/>
      <c r="BF40" s="892"/>
      <c r="BG40" s="892"/>
      <c r="BH40" s="892"/>
      <c r="BI40" s="892"/>
      <c r="BJ40" s="892"/>
      <c r="BK40" s="892"/>
      <c r="BL40" s="892"/>
      <c r="BM40" s="892"/>
      <c r="BN40" s="892"/>
      <c r="BO40" s="892"/>
      <c r="BP40" s="892"/>
      <c r="BQ40" s="892"/>
      <c r="BR40" s="892"/>
      <c r="BS40" s="892"/>
      <c r="BT40" s="892"/>
      <c r="BU40" s="892"/>
      <c r="BV40" s="892"/>
    </row>
    <row r="41" spans="1:78" s="891" customFormat="1" x14ac:dyDescent="0.25">
      <c r="A41" s="835"/>
      <c r="B41" s="898"/>
      <c r="G41" s="897"/>
      <c r="K41" s="897"/>
      <c r="L41" s="895"/>
      <c r="M41" s="895"/>
      <c r="N41" s="895"/>
      <c r="O41" s="896"/>
      <c r="P41" s="895"/>
      <c r="Q41" s="895"/>
      <c r="R41" s="895"/>
      <c r="S41" s="895"/>
      <c r="T41" s="895"/>
      <c r="U41" s="895"/>
      <c r="V41" s="895"/>
      <c r="W41" s="895"/>
      <c r="Y41" s="892"/>
      <c r="Z41" s="892"/>
      <c r="AA41" s="892"/>
      <c r="AB41" s="899"/>
      <c r="AC41" s="892"/>
      <c r="AD41" s="899"/>
      <c r="AE41" s="892"/>
      <c r="AF41" s="892"/>
      <c r="AG41" s="890"/>
      <c r="AH41" s="890"/>
      <c r="AI41" s="890"/>
      <c r="AJ41" s="890"/>
      <c r="AK41" s="890"/>
      <c r="AL41" s="890"/>
      <c r="AM41" s="890"/>
      <c r="AN41" s="890"/>
      <c r="AO41" s="892"/>
      <c r="AP41" s="892"/>
      <c r="AQ41" s="892"/>
      <c r="AR41" s="892"/>
      <c r="AS41" s="892"/>
      <c r="AT41" s="892"/>
      <c r="AU41" s="892"/>
      <c r="AV41" s="892"/>
      <c r="AW41" s="892"/>
      <c r="AX41" s="892"/>
      <c r="AY41" s="892"/>
      <c r="AZ41" s="892"/>
      <c r="BA41" s="892"/>
      <c r="BB41" s="892"/>
      <c r="BC41" s="892"/>
      <c r="BD41" s="892"/>
      <c r="BE41" s="892"/>
      <c r="BF41" s="892"/>
      <c r="BG41" s="892"/>
      <c r="BH41" s="892"/>
      <c r="BI41" s="892"/>
      <c r="BJ41" s="892"/>
      <c r="BK41" s="892"/>
      <c r="BL41" s="892"/>
      <c r="BM41" s="892"/>
      <c r="BN41" s="892"/>
      <c r="BO41" s="892"/>
      <c r="BP41" s="892"/>
      <c r="BQ41" s="892"/>
      <c r="BR41" s="892"/>
      <c r="BS41" s="892"/>
      <c r="BT41" s="892"/>
      <c r="BU41" s="892"/>
      <c r="BV41" s="892"/>
    </row>
    <row r="42" spans="1:78" s="891" customFormat="1" x14ac:dyDescent="0.25">
      <c r="A42" s="835"/>
      <c r="B42" s="898"/>
      <c r="D42" s="628" t="s">
        <v>730</v>
      </c>
      <c r="G42" s="897"/>
      <c r="K42" s="897"/>
      <c r="L42" s="895"/>
      <c r="M42" s="895"/>
      <c r="N42" s="895"/>
      <c r="O42" s="896"/>
      <c r="P42" s="895"/>
      <c r="Q42" s="895"/>
      <c r="R42" s="895"/>
      <c r="S42" s="895"/>
      <c r="T42" s="895"/>
      <c r="U42" s="895"/>
      <c r="V42" s="895"/>
      <c r="W42" s="895"/>
      <c r="Y42" s="892"/>
      <c r="Z42" s="892"/>
      <c r="AA42" s="892"/>
      <c r="AB42" s="899"/>
      <c r="AC42" s="892"/>
      <c r="AD42" s="899"/>
      <c r="AE42" s="892"/>
      <c r="AF42" s="892"/>
      <c r="AG42" s="890"/>
      <c r="AH42" s="890"/>
      <c r="AI42" s="890"/>
      <c r="AJ42" s="890"/>
      <c r="AK42" s="890"/>
      <c r="AL42" s="890"/>
      <c r="AM42" s="890"/>
      <c r="AN42" s="890"/>
      <c r="AO42" s="892"/>
      <c r="AP42" s="892"/>
      <c r="AQ42" s="892"/>
      <c r="AR42" s="892"/>
      <c r="AS42" s="892"/>
      <c r="AT42" s="892"/>
      <c r="AU42" s="892"/>
      <c r="AV42" s="892"/>
      <c r="AW42" s="892"/>
      <c r="AX42" s="892"/>
      <c r="AY42" s="892"/>
      <c r="AZ42" s="892"/>
      <c r="BA42" s="892"/>
      <c r="BB42" s="892"/>
      <c r="BC42" s="892"/>
      <c r="BD42" s="892"/>
      <c r="BE42" s="892"/>
      <c r="BF42" s="892"/>
      <c r="BG42" s="892"/>
      <c r="BH42" s="892"/>
      <c r="BI42" s="892"/>
      <c r="BJ42" s="892"/>
      <c r="BK42" s="892"/>
      <c r="BL42" s="892"/>
      <c r="BM42" s="892"/>
      <c r="BN42" s="892"/>
      <c r="BO42" s="892"/>
      <c r="BP42" s="892"/>
      <c r="BQ42" s="892"/>
      <c r="BR42" s="892"/>
      <c r="BS42" s="892"/>
      <c r="BT42" s="892"/>
      <c r="BU42" s="892"/>
      <c r="BV42" s="892"/>
    </row>
    <row r="43" spans="1:78" s="891" customFormat="1" x14ac:dyDescent="0.25">
      <c r="A43" s="835"/>
      <c r="B43" s="898"/>
      <c r="G43" s="897"/>
      <c r="K43" s="897"/>
      <c r="L43" s="895"/>
      <c r="M43" s="895"/>
      <c r="N43" s="895"/>
      <c r="O43" s="896"/>
      <c r="P43" s="895"/>
      <c r="Q43" s="895"/>
      <c r="R43" s="895"/>
      <c r="S43" s="895"/>
      <c r="T43" s="895"/>
      <c r="U43" s="895"/>
      <c r="V43" s="895"/>
      <c r="W43" s="895"/>
      <c r="Y43" s="892"/>
      <c r="Z43" s="892"/>
      <c r="AA43" s="892"/>
      <c r="AB43" s="899"/>
      <c r="AC43" s="892"/>
      <c r="AD43" s="899"/>
      <c r="AE43" s="892"/>
      <c r="AF43" s="892"/>
      <c r="AG43" s="890"/>
      <c r="AH43" s="890"/>
      <c r="AI43" s="890"/>
      <c r="AJ43" s="890"/>
      <c r="AK43" s="890"/>
      <c r="AL43" s="890"/>
      <c r="AM43" s="890"/>
      <c r="AN43" s="890"/>
      <c r="AO43" s="892"/>
      <c r="AP43" s="892"/>
      <c r="AQ43" s="892"/>
      <c r="AR43" s="892"/>
      <c r="AS43" s="892"/>
      <c r="AT43" s="892"/>
      <c r="AU43" s="892"/>
      <c r="AV43" s="892"/>
      <c r="AW43" s="892"/>
      <c r="AX43" s="892"/>
      <c r="AY43" s="892"/>
      <c r="AZ43" s="892"/>
      <c r="BA43" s="892"/>
      <c r="BB43" s="892"/>
      <c r="BC43" s="892"/>
      <c r="BD43" s="892"/>
      <c r="BE43" s="892"/>
      <c r="BF43" s="892"/>
      <c r="BG43" s="892"/>
      <c r="BH43" s="892"/>
      <c r="BI43" s="892"/>
      <c r="BJ43" s="892"/>
      <c r="BK43" s="892"/>
      <c r="BL43" s="892"/>
      <c r="BM43" s="892"/>
      <c r="BN43" s="892"/>
      <c r="BO43" s="892"/>
      <c r="BP43" s="892"/>
      <c r="BQ43" s="892"/>
      <c r="BR43" s="892"/>
      <c r="BS43" s="892"/>
      <c r="BT43" s="892"/>
      <c r="BU43" s="892"/>
      <c r="BV43" s="892"/>
    </row>
    <row r="44" spans="1:78" s="891" customFormat="1" x14ac:dyDescent="0.25">
      <c r="A44" s="835"/>
      <c r="B44" s="898"/>
      <c r="G44" s="897"/>
      <c r="K44" s="897"/>
      <c r="L44" s="895"/>
      <c r="M44" s="895"/>
      <c r="N44" s="895"/>
      <c r="O44" s="896"/>
      <c r="P44" s="895"/>
      <c r="Q44" s="895"/>
      <c r="R44" s="895"/>
      <c r="S44" s="895"/>
      <c r="T44" s="895"/>
      <c r="U44" s="895"/>
      <c r="V44" s="895"/>
      <c r="W44" s="895"/>
      <c r="Y44" s="892"/>
      <c r="Z44" s="892"/>
      <c r="AA44" s="892"/>
      <c r="AB44" s="899"/>
      <c r="AC44" s="892"/>
      <c r="AD44" s="899"/>
      <c r="AE44" s="892"/>
      <c r="AF44" s="892"/>
      <c r="AG44" s="890"/>
      <c r="AH44" s="890"/>
      <c r="AI44" s="890"/>
      <c r="AJ44" s="890"/>
      <c r="AK44" s="890"/>
      <c r="AL44" s="890"/>
      <c r="AM44" s="890"/>
      <c r="AN44" s="890"/>
      <c r="AO44" s="892"/>
      <c r="AP44" s="892"/>
      <c r="AQ44" s="892"/>
      <c r="AR44" s="892"/>
      <c r="AS44" s="892"/>
      <c r="AT44" s="892"/>
      <c r="AU44" s="892"/>
      <c r="AV44" s="892"/>
      <c r="AW44" s="892"/>
      <c r="AX44" s="892"/>
      <c r="AY44" s="892"/>
      <c r="AZ44" s="892"/>
      <c r="BA44" s="892"/>
      <c r="BB44" s="892"/>
      <c r="BC44" s="892"/>
      <c r="BD44" s="892"/>
      <c r="BE44" s="892"/>
      <c r="BF44" s="892"/>
      <c r="BG44" s="892"/>
      <c r="BH44" s="892"/>
      <c r="BI44" s="892"/>
      <c r="BJ44" s="892"/>
      <c r="BK44" s="892"/>
      <c r="BL44" s="892"/>
      <c r="BM44" s="892"/>
      <c r="BN44" s="892"/>
      <c r="BO44" s="892"/>
      <c r="BP44" s="892"/>
      <c r="BQ44" s="892"/>
      <c r="BR44" s="892"/>
      <c r="BS44" s="892"/>
      <c r="BT44" s="892"/>
      <c r="BU44" s="892"/>
      <c r="BV44" s="892"/>
    </row>
    <row r="45" spans="1:78" s="891" customFormat="1" x14ac:dyDescent="0.25">
      <c r="A45" s="835"/>
      <c r="B45" s="898"/>
      <c r="G45" s="897"/>
      <c r="K45" s="897"/>
      <c r="L45" s="895"/>
      <c r="M45" s="895"/>
      <c r="N45" s="895"/>
      <c r="O45" s="896"/>
      <c r="P45" s="895"/>
      <c r="Q45" s="895"/>
      <c r="R45" s="895"/>
      <c r="S45" s="895"/>
      <c r="T45" s="895"/>
      <c r="U45" s="895"/>
      <c r="V45" s="895"/>
      <c r="W45" s="895"/>
      <c r="Y45" s="892"/>
      <c r="Z45" s="892"/>
      <c r="AA45" s="892"/>
      <c r="AB45" s="899"/>
      <c r="AC45" s="892"/>
      <c r="AD45" s="892"/>
      <c r="AE45" s="892"/>
      <c r="AF45" s="892"/>
      <c r="AG45" s="890"/>
      <c r="AH45" s="890"/>
      <c r="AI45" s="890"/>
      <c r="AJ45" s="890"/>
      <c r="AK45" s="890"/>
      <c r="AL45" s="890"/>
      <c r="AM45" s="890"/>
      <c r="AN45" s="890"/>
      <c r="AO45" s="892"/>
      <c r="AP45" s="892"/>
      <c r="AQ45" s="892"/>
      <c r="AR45" s="892"/>
      <c r="AS45" s="892"/>
      <c r="AT45" s="892"/>
      <c r="AU45" s="892"/>
      <c r="AV45" s="892"/>
      <c r="AW45" s="892"/>
      <c r="AX45" s="892"/>
      <c r="AY45" s="892"/>
      <c r="AZ45" s="892"/>
      <c r="BA45" s="892"/>
      <c r="BB45" s="892"/>
      <c r="BC45" s="892"/>
      <c r="BD45" s="892"/>
      <c r="BE45" s="892"/>
      <c r="BF45" s="892"/>
      <c r="BG45" s="892"/>
      <c r="BH45" s="892"/>
      <c r="BI45" s="892"/>
      <c r="BJ45" s="892"/>
      <c r="BK45" s="892"/>
      <c r="BL45" s="892"/>
      <c r="BM45" s="892"/>
      <c r="BN45" s="892"/>
      <c r="BO45" s="892"/>
      <c r="BP45" s="892"/>
      <c r="BQ45" s="892"/>
      <c r="BR45" s="892"/>
      <c r="BS45" s="892"/>
      <c r="BT45" s="892"/>
      <c r="BU45" s="892"/>
      <c r="BV45" s="892"/>
    </row>
    <row r="46" spans="1:78" s="891" customFormat="1" x14ac:dyDescent="0.25">
      <c r="A46" s="835"/>
      <c r="B46" s="898"/>
      <c r="G46" s="897"/>
      <c r="K46" s="897"/>
      <c r="L46" s="895"/>
      <c r="M46" s="895"/>
      <c r="N46" s="895"/>
      <c r="O46" s="896"/>
      <c r="P46" s="895"/>
      <c r="Q46" s="895"/>
      <c r="R46" s="895"/>
      <c r="S46" s="895"/>
      <c r="T46" s="895"/>
      <c r="U46" s="895"/>
      <c r="V46" s="895"/>
      <c r="W46" s="895"/>
      <c r="Y46" s="892"/>
      <c r="Z46" s="892"/>
      <c r="AA46" s="892"/>
      <c r="AB46" s="899"/>
      <c r="AC46" s="892"/>
      <c r="AD46" s="892"/>
      <c r="AE46" s="892"/>
      <c r="AF46" s="892"/>
      <c r="AG46" s="890"/>
      <c r="AH46" s="890"/>
      <c r="AI46" s="890"/>
      <c r="AJ46" s="890"/>
      <c r="AK46" s="890"/>
      <c r="AL46" s="890"/>
      <c r="AM46" s="890"/>
      <c r="AN46" s="890"/>
      <c r="AO46" s="892"/>
      <c r="AP46" s="892"/>
      <c r="AQ46" s="892"/>
      <c r="AR46" s="892"/>
      <c r="AS46" s="892"/>
      <c r="AT46" s="892"/>
      <c r="AU46" s="892"/>
      <c r="AV46" s="892"/>
      <c r="AW46" s="892"/>
      <c r="AX46" s="892"/>
      <c r="AY46" s="892"/>
      <c r="AZ46" s="892"/>
      <c r="BA46" s="892"/>
      <c r="BB46" s="892"/>
      <c r="BC46" s="892"/>
      <c r="BD46" s="892"/>
      <c r="BE46" s="892"/>
      <c r="BF46" s="892"/>
      <c r="BG46" s="892"/>
      <c r="BH46" s="892"/>
      <c r="BI46" s="892"/>
      <c r="BJ46" s="892"/>
      <c r="BK46" s="892"/>
      <c r="BL46" s="892"/>
      <c r="BM46" s="892"/>
      <c r="BN46" s="892"/>
      <c r="BO46" s="892"/>
      <c r="BP46" s="892"/>
      <c r="BQ46" s="892"/>
      <c r="BR46" s="892"/>
      <c r="BS46" s="892"/>
      <c r="BT46" s="892"/>
      <c r="BU46" s="892"/>
      <c r="BV46" s="892"/>
    </row>
    <row r="47" spans="1:78" s="891" customFormat="1" x14ac:dyDescent="0.25">
      <c r="A47" s="835"/>
      <c r="B47" s="898"/>
      <c r="G47" s="897"/>
      <c r="K47" s="897"/>
      <c r="L47" s="895"/>
      <c r="M47" s="895"/>
      <c r="N47" s="895"/>
      <c r="O47" s="896"/>
      <c r="P47" s="895"/>
      <c r="Q47" s="895"/>
      <c r="R47" s="895"/>
      <c r="S47" s="895"/>
      <c r="T47" s="895"/>
      <c r="U47" s="895"/>
      <c r="V47" s="895"/>
      <c r="W47" s="895"/>
      <c r="Y47" s="892"/>
      <c r="Z47" s="892"/>
      <c r="AA47" s="892"/>
      <c r="AB47" s="892"/>
      <c r="AC47" s="892"/>
      <c r="AD47" s="892"/>
      <c r="AE47" s="892"/>
      <c r="AF47" s="892"/>
      <c r="AG47" s="890"/>
      <c r="AH47" s="890"/>
      <c r="AI47" s="890"/>
      <c r="AJ47" s="890"/>
      <c r="AK47" s="890"/>
      <c r="AL47" s="890"/>
      <c r="AM47" s="890"/>
      <c r="AN47" s="890"/>
      <c r="AO47" s="892"/>
      <c r="AP47" s="892"/>
      <c r="AQ47" s="892"/>
      <c r="AR47" s="892"/>
      <c r="AS47" s="892"/>
      <c r="AT47" s="892"/>
      <c r="AU47" s="892"/>
      <c r="AV47" s="892"/>
      <c r="AW47" s="892"/>
      <c r="AX47" s="892"/>
      <c r="AY47" s="892"/>
      <c r="AZ47" s="892"/>
      <c r="BA47" s="892"/>
      <c r="BB47" s="892"/>
      <c r="BC47" s="892"/>
      <c r="BD47" s="892"/>
      <c r="BE47" s="892"/>
      <c r="BF47" s="892"/>
      <c r="BG47" s="892"/>
      <c r="BH47" s="892"/>
      <c r="BI47" s="892"/>
      <c r="BJ47" s="892"/>
      <c r="BK47" s="892"/>
      <c r="BL47" s="892"/>
      <c r="BM47" s="892"/>
      <c r="BN47" s="892"/>
      <c r="BO47" s="892"/>
      <c r="BP47" s="892"/>
      <c r="BQ47" s="892"/>
      <c r="BR47" s="892"/>
      <c r="BS47" s="892"/>
      <c r="BT47" s="892"/>
      <c r="BU47" s="892"/>
      <c r="BV47" s="892"/>
    </row>
    <row r="48" spans="1:78" s="891" customFormat="1" x14ac:dyDescent="0.25">
      <c r="A48" s="835"/>
      <c r="B48" s="898"/>
      <c r="G48" s="897"/>
      <c r="K48" s="897"/>
      <c r="L48" s="895"/>
      <c r="M48" s="895"/>
      <c r="N48" s="895"/>
      <c r="O48" s="896"/>
      <c r="P48" s="895"/>
      <c r="Q48" s="895"/>
      <c r="R48" s="895"/>
      <c r="S48" s="895"/>
      <c r="T48" s="895"/>
      <c r="U48" s="895"/>
      <c r="V48" s="895"/>
      <c r="W48" s="895"/>
      <c r="Y48" s="892"/>
      <c r="Z48" s="892"/>
      <c r="AA48" s="892"/>
      <c r="AB48" s="892"/>
      <c r="AC48" s="892"/>
      <c r="AD48" s="892"/>
      <c r="AE48" s="892"/>
      <c r="AF48" s="892"/>
      <c r="AG48" s="890"/>
      <c r="AH48" s="890"/>
      <c r="AI48" s="890"/>
      <c r="AJ48" s="890"/>
      <c r="AK48" s="890"/>
      <c r="AL48" s="890"/>
      <c r="AM48" s="890"/>
      <c r="AN48" s="890"/>
      <c r="AO48" s="892"/>
      <c r="AP48" s="892"/>
      <c r="AQ48" s="892"/>
      <c r="AR48" s="892"/>
      <c r="AS48" s="892"/>
      <c r="AT48" s="892"/>
      <c r="AU48" s="892"/>
      <c r="AV48" s="892"/>
      <c r="AW48" s="892"/>
      <c r="AX48" s="892"/>
      <c r="AY48" s="892"/>
      <c r="AZ48" s="892"/>
      <c r="BA48" s="892"/>
      <c r="BB48" s="892"/>
      <c r="BC48" s="892"/>
      <c r="BD48" s="892"/>
      <c r="BE48" s="892"/>
      <c r="BF48" s="892"/>
      <c r="BG48" s="892"/>
      <c r="BH48" s="892"/>
      <c r="BI48" s="892"/>
      <c r="BJ48" s="892"/>
      <c r="BK48" s="892"/>
      <c r="BL48" s="892"/>
      <c r="BM48" s="892"/>
      <c r="BN48" s="892"/>
      <c r="BO48" s="892"/>
      <c r="BP48" s="892"/>
      <c r="BQ48" s="892"/>
      <c r="BR48" s="892"/>
      <c r="BS48" s="892"/>
      <c r="BT48" s="892"/>
      <c r="BU48" s="892"/>
      <c r="BV48" s="892"/>
    </row>
    <row r="49" spans="1:74" s="891" customFormat="1" x14ac:dyDescent="0.25">
      <c r="A49" s="835"/>
      <c r="B49" s="898"/>
      <c r="G49" s="897"/>
      <c r="K49" s="897"/>
      <c r="L49" s="895"/>
      <c r="M49" s="895"/>
      <c r="N49" s="895"/>
      <c r="O49" s="896"/>
      <c r="P49" s="895"/>
      <c r="Q49" s="895"/>
      <c r="R49" s="895"/>
      <c r="S49" s="895"/>
      <c r="T49" s="895"/>
      <c r="U49" s="895"/>
      <c r="V49" s="895"/>
      <c r="W49" s="895"/>
      <c r="Y49" s="892"/>
      <c r="Z49" s="892"/>
      <c r="AA49" s="892"/>
      <c r="AB49" s="892"/>
      <c r="AC49" s="892"/>
      <c r="AD49" s="892"/>
      <c r="AE49" s="892"/>
      <c r="AF49" s="892"/>
      <c r="AG49" s="890"/>
      <c r="AH49" s="890"/>
      <c r="AI49" s="890"/>
      <c r="AJ49" s="890"/>
      <c r="AK49" s="890"/>
      <c r="AL49" s="890"/>
      <c r="AM49" s="890"/>
      <c r="AN49" s="890"/>
      <c r="AO49" s="892"/>
      <c r="AP49" s="892"/>
      <c r="AQ49" s="892"/>
      <c r="AR49" s="892"/>
      <c r="AS49" s="892"/>
      <c r="AT49" s="892"/>
      <c r="AU49" s="892"/>
      <c r="AV49" s="892"/>
      <c r="AW49" s="892"/>
      <c r="AX49" s="892"/>
      <c r="AY49" s="892"/>
      <c r="AZ49" s="892"/>
      <c r="BA49" s="892"/>
      <c r="BB49" s="892"/>
      <c r="BC49" s="892"/>
      <c r="BD49" s="892"/>
      <c r="BE49" s="892"/>
      <c r="BF49" s="892"/>
      <c r="BG49" s="892"/>
      <c r="BH49" s="892"/>
      <c r="BI49" s="892"/>
      <c r="BJ49" s="892"/>
      <c r="BK49" s="892"/>
      <c r="BL49" s="892"/>
      <c r="BM49" s="892"/>
      <c r="BN49" s="892"/>
      <c r="BO49" s="892"/>
      <c r="BP49" s="892"/>
      <c r="BQ49" s="892"/>
      <c r="BR49" s="892"/>
      <c r="BS49" s="892"/>
      <c r="BT49" s="892"/>
      <c r="BU49" s="892"/>
      <c r="BV49" s="892"/>
    </row>
    <row r="50" spans="1:74" s="893" customFormat="1" ht="15" customHeight="1" x14ac:dyDescent="0.2">
      <c r="A50" s="835">
        <v>5</v>
      </c>
      <c r="B50" s="418" t="s">
        <v>78</v>
      </c>
      <c r="C50" s="418"/>
      <c r="D50" s="3615" t="s">
        <v>729</v>
      </c>
      <c r="E50" s="3616"/>
      <c r="F50" s="3616"/>
      <c r="G50" s="3616"/>
      <c r="H50" s="3616"/>
      <c r="I50" s="3616"/>
      <c r="J50" s="3616"/>
      <c r="K50" s="3616"/>
      <c r="L50" s="3616"/>
      <c r="M50" s="3616"/>
      <c r="N50" s="3616"/>
      <c r="O50" s="3616"/>
      <c r="P50" s="3616"/>
      <c r="Q50" s="3616"/>
      <c r="R50" s="3616"/>
      <c r="S50" s="3616"/>
      <c r="T50" s="3616"/>
      <c r="U50" s="3616"/>
      <c r="V50" s="3616"/>
      <c r="W50" s="3616"/>
      <c r="X50" s="3616"/>
      <c r="Y50" s="3616"/>
      <c r="Z50" s="3616"/>
      <c r="AA50" s="3616"/>
      <c r="AB50" s="3616"/>
      <c r="AC50" s="3616"/>
      <c r="AD50" s="3616"/>
      <c r="AE50" s="3616"/>
      <c r="AF50" s="3616"/>
      <c r="AG50" s="3616"/>
      <c r="AH50" s="3616"/>
      <c r="AI50" s="3616"/>
      <c r="AJ50" s="3616"/>
      <c r="AK50" s="3616"/>
      <c r="AL50" s="3616"/>
      <c r="AM50" s="3616"/>
      <c r="AN50" s="3616"/>
      <c r="AO50" s="3616"/>
      <c r="AP50" s="3616"/>
      <c r="AQ50" s="3616"/>
      <c r="AR50" s="3616"/>
      <c r="AS50" s="3616"/>
      <c r="AT50" s="3617"/>
      <c r="AU50" s="894"/>
      <c r="AV50" s="894"/>
      <c r="AW50" s="894"/>
      <c r="AX50" s="894"/>
      <c r="AY50" s="894"/>
      <c r="AZ50" s="894"/>
      <c r="BA50" s="894"/>
      <c r="BB50" s="894"/>
      <c r="BC50" s="894"/>
      <c r="BD50" s="894"/>
      <c r="BE50" s="894"/>
      <c r="BF50" s="894"/>
      <c r="BG50" s="894"/>
      <c r="BH50" s="894"/>
      <c r="BI50" s="894"/>
      <c r="BJ50" s="894"/>
      <c r="BK50" s="894"/>
      <c r="BL50" s="894"/>
      <c r="BM50" s="894"/>
      <c r="BN50" s="894"/>
      <c r="BO50" s="894"/>
      <c r="BP50" s="894"/>
      <c r="BQ50" s="894"/>
      <c r="BR50" s="894"/>
      <c r="BS50" s="894"/>
      <c r="BT50" s="894"/>
      <c r="BU50" s="894"/>
      <c r="BV50" s="894"/>
    </row>
    <row r="51" spans="1:74" s="893" customFormat="1" ht="30" customHeight="1" x14ac:dyDescent="0.2">
      <c r="A51" s="963">
        <v>6</v>
      </c>
      <c r="B51" s="963" t="s">
        <v>80</v>
      </c>
      <c r="C51" s="963"/>
      <c r="D51" s="3615" t="s">
        <v>728</v>
      </c>
      <c r="E51" s="3616"/>
      <c r="F51" s="3616"/>
      <c r="G51" s="3616"/>
      <c r="H51" s="3616"/>
      <c r="I51" s="3616"/>
      <c r="J51" s="3616"/>
      <c r="K51" s="3616"/>
      <c r="L51" s="3616"/>
      <c r="M51" s="3616"/>
      <c r="N51" s="3616"/>
      <c r="O51" s="3616"/>
      <c r="P51" s="3616"/>
      <c r="Q51" s="3616"/>
      <c r="R51" s="3616"/>
      <c r="S51" s="3616"/>
      <c r="T51" s="3616"/>
      <c r="U51" s="3616"/>
      <c r="V51" s="3616"/>
      <c r="W51" s="3616"/>
      <c r="X51" s="3616"/>
      <c r="Y51" s="3616"/>
      <c r="Z51" s="3616"/>
      <c r="AA51" s="3616"/>
      <c r="AB51" s="3616"/>
      <c r="AC51" s="3616"/>
      <c r="AD51" s="3616"/>
      <c r="AE51" s="3616"/>
      <c r="AF51" s="3616"/>
      <c r="AG51" s="3616"/>
      <c r="AH51" s="3616"/>
      <c r="AI51" s="3616"/>
      <c r="AJ51" s="3616"/>
      <c r="AK51" s="3616"/>
      <c r="AL51" s="3616"/>
      <c r="AM51" s="3616"/>
      <c r="AN51" s="3616"/>
      <c r="AO51" s="3616"/>
      <c r="AP51" s="3616"/>
      <c r="AQ51" s="3616"/>
      <c r="AR51" s="3616"/>
      <c r="AS51" s="3616"/>
      <c r="AT51" s="3617"/>
      <c r="AU51" s="894"/>
      <c r="AV51" s="894"/>
      <c r="AW51" s="894"/>
      <c r="AX51" s="894"/>
      <c r="AY51" s="894"/>
      <c r="AZ51" s="894"/>
      <c r="BA51" s="894"/>
      <c r="BB51" s="894"/>
      <c r="BC51" s="894"/>
      <c r="BD51" s="894"/>
      <c r="BE51" s="894"/>
      <c r="BF51" s="894"/>
      <c r="BG51" s="894"/>
      <c r="BH51" s="894"/>
      <c r="BI51" s="894"/>
      <c r="BJ51" s="894"/>
      <c r="BK51" s="894"/>
      <c r="BL51" s="894"/>
      <c r="BM51" s="894"/>
      <c r="BN51" s="894"/>
      <c r="BO51" s="894"/>
      <c r="BP51" s="894"/>
      <c r="BQ51" s="894"/>
      <c r="BR51" s="894"/>
      <c r="BS51" s="894"/>
      <c r="BT51" s="894"/>
      <c r="BU51" s="894"/>
      <c r="BV51" s="894"/>
    </row>
    <row r="52" spans="1:74" s="891" customFormat="1" ht="39" customHeight="1" x14ac:dyDescent="0.25">
      <c r="A52" s="835">
        <v>7</v>
      </c>
      <c r="B52" s="835" t="s">
        <v>20</v>
      </c>
      <c r="C52" s="835"/>
      <c r="D52" s="3615" t="s">
        <v>727</v>
      </c>
      <c r="E52" s="3616"/>
      <c r="F52" s="3616"/>
      <c r="G52" s="3616"/>
      <c r="H52" s="3616"/>
      <c r="I52" s="3616"/>
      <c r="J52" s="3616"/>
      <c r="K52" s="3616"/>
      <c r="L52" s="3616"/>
      <c r="M52" s="3616"/>
      <c r="N52" s="3616"/>
      <c r="O52" s="3616"/>
      <c r="P52" s="3616"/>
      <c r="Q52" s="3616"/>
      <c r="R52" s="3616"/>
      <c r="S52" s="3616"/>
      <c r="T52" s="3616"/>
      <c r="U52" s="3616"/>
      <c r="V52" s="3616"/>
      <c r="W52" s="3616"/>
      <c r="X52" s="3616"/>
      <c r="Y52" s="3616"/>
      <c r="Z52" s="3616"/>
      <c r="AA52" s="3616"/>
      <c r="AB52" s="3616"/>
      <c r="AC52" s="3616"/>
      <c r="AD52" s="3616"/>
      <c r="AE52" s="3616"/>
      <c r="AF52" s="3616"/>
      <c r="AG52" s="3616"/>
      <c r="AH52" s="3616"/>
      <c r="AI52" s="3616"/>
      <c r="AJ52" s="3616"/>
      <c r="AK52" s="3616"/>
      <c r="AL52" s="3616"/>
      <c r="AM52" s="3616"/>
      <c r="AN52" s="3616"/>
      <c r="AO52" s="3616"/>
      <c r="AP52" s="3616"/>
      <c r="AQ52" s="3616"/>
      <c r="AR52" s="3616"/>
      <c r="AS52" s="3616"/>
      <c r="AT52" s="3617"/>
      <c r="AU52" s="892"/>
      <c r="AV52" s="892"/>
      <c r="AW52" s="892"/>
      <c r="AX52" s="892"/>
      <c r="AY52" s="892"/>
      <c r="AZ52" s="892"/>
      <c r="BA52" s="892"/>
      <c r="BB52" s="892"/>
      <c r="BC52" s="892"/>
      <c r="BD52" s="892"/>
      <c r="BE52" s="892"/>
      <c r="BF52" s="892"/>
      <c r="BG52" s="892"/>
      <c r="BH52" s="892"/>
      <c r="BI52" s="892"/>
      <c r="BJ52" s="892"/>
      <c r="BK52" s="892"/>
      <c r="BL52" s="892"/>
      <c r="BM52" s="892"/>
      <c r="BN52" s="892"/>
      <c r="BO52" s="892"/>
      <c r="BP52" s="892"/>
      <c r="BQ52" s="892"/>
      <c r="BR52" s="892"/>
      <c r="BS52" s="892"/>
      <c r="BT52" s="892"/>
      <c r="BU52" s="892"/>
      <c r="BV52" s="892"/>
    </row>
    <row r="53" spans="1:74" ht="51" customHeight="1" x14ac:dyDescent="0.25">
      <c r="A53" s="2330">
        <v>8</v>
      </c>
      <c r="B53" s="835" t="s">
        <v>157</v>
      </c>
      <c r="D53" s="3615" t="s">
        <v>726</v>
      </c>
      <c r="E53" s="3616"/>
      <c r="F53" s="3616"/>
      <c r="G53" s="3616"/>
      <c r="H53" s="3616"/>
      <c r="I53" s="3616"/>
      <c r="J53" s="3616"/>
      <c r="K53" s="3616"/>
      <c r="L53" s="3616"/>
      <c r="M53" s="3616"/>
      <c r="N53" s="3616"/>
      <c r="O53" s="3616"/>
      <c r="P53" s="3616"/>
      <c r="Q53" s="3616"/>
      <c r="R53" s="3616"/>
      <c r="S53" s="3616"/>
      <c r="T53" s="3616"/>
      <c r="U53" s="3616"/>
      <c r="V53" s="3616"/>
      <c r="W53" s="3616"/>
      <c r="X53" s="3616"/>
      <c r="Y53" s="3616"/>
      <c r="Z53" s="3616"/>
      <c r="AA53" s="3616"/>
      <c r="AB53" s="3616"/>
      <c r="AC53" s="3616"/>
      <c r="AD53" s="3616"/>
      <c r="AE53" s="3616"/>
      <c r="AF53" s="3616"/>
      <c r="AG53" s="3616"/>
      <c r="AH53" s="3616"/>
      <c r="AI53" s="3616"/>
      <c r="AJ53" s="3616"/>
      <c r="AK53" s="3616"/>
      <c r="AL53" s="3616"/>
      <c r="AM53" s="3616"/>
      <c r="AN53" s="3616"/>
      <c r="AO53" s="3616"/>
      <c r="AP53" s="3616"/>
      <c r="AQ53" s="3616"/>
      <c r="AR53" s="3616"/>
      <c r="AS53" s="3616"/>
      <c r="AT53" s="3617"/>
    </row>
    <row r="54" spans="1:74" ht="13.15" customHeight="1" x14ac:dyDescent="0.25">
      <c r="D54" s="3784"/>
      <c r="E54" s="3585"/>
      <c r="F54" s="3585"/>
      <c r="G54" s="3585"/>
      <c r="H54" s="3585"/>
      <c r="I54" s="3585"/>
      <c r="J54" s="3585"/>
      <c r="K54" s="3585"/>
      <c r="L54" s="3585"/>
      <c r="M54" s="3585"/>
      <c r="N54" s="3585"/>
      <c r="O54" s="3585"/>
      <c r="P54" s="3585"/>
      <c r="Q54" s="3585"/>
      <c r="R54" s="3585"/>
      <c r="S54" s="3585"/>
      <c r="T54" s="3585"/>
      <c r="U54" s="3785"/>
      <c r="V54" s="3785"/>
      <c r="W54" s="3785"/>
      <c r="X54" s="3785"/>
      <c r="AG54" s="890"/>
      <c r="AH54" s="890"/>
      <c r="AI54" s="890"/>
      <c r="AJ54" s="890"/>
      <c r="AK54" s="890"/>
      <c r="AL54" s="890"/>
      <c r="AM54" s="890"/>
      <c r="AN54" s="890"/>
    </row>
    <row r="55" spans="1:74" x14ac:dyDescent="0.25">
      <c r="AG55" s="890"/>
      <c r="AH55" s="890"/>
      <c r="AI55" s="890"/>
      <c r="AJ55" s="890"/>
      <c r="AK55" s="890"/>
      <c r="AL55" s="890"/>
      <c r="AM55" s="890"/>
      <c r="AN55" s="890"/>
    </row>
  </sheetData>
  <mergeCells count="23">
    <mergeCell ref="D54:X54"/>
    <mergeCell ref="AI16:AK16"/>
    <mergeCell ref="Q16:S16"/>
    <mergeCell ref="T16:V16"/>
    <mergeCell ref="D50:AT50"/>
    <mergeCell ref="D51:AT51"/>
    <mergeCell ref="D52:AT52"/>
    <mergeCell ref="D53:AT53"/>
    <mergeCell ref="E16:G16"/>
    <mergeCell ref="H16:J16"/>
    <mergeCell ref="K16:M16"/>
    <mergeCell ref="N16:P16"/>
    <mergeCell ref="D2:AT2"/>
    <mergeCell ref="D3:AT3"/>
    <mergeCell ref="D4:AT4"/>
    <mergeCell ref="D5:AT5"/>
    <mergeCell ref="AL16:AN16"/>
    <mergeCell ref="W16:Y16"/>
    <mergeCell ref="Z16:AB16"/>
    <mergeCell ref="AC16:AE16"/>
    <mergeCell ref="AR16:AT16"/>
    <mergeCell ref="AO16:AQ16"/>
    <mergeCell ref="AF16:AH16"/>
  </mergeCells>
  <pageMargins left="0.74803149606299213" right="0.74803149606299213" top="0.98425196850393704" bottom="0.98425196850393704" header="0.51181102362204722" footer="0.51181102362204722"/>
  <pageSetup paperSize="9" scale="28"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O62"/>
  <sheetViews>
    <sheetView showGridLines="0" view="pageBreakPreview" zoomScaleNormal="100" zoomScaleSheetLayoutView="100" workbookViewId="0">
      <selection activeCell="D7" sqref="D7:D9"/>
    </sheetView>
  </sheetViews>
  <sheetFormatPr defaultColWidth="9.140625" defaultRowHeight="15" x14ac:dyDescent="0.2"/>
  <cols>
    <col min="1" max="1" width="3.7109375" style="2126" customWidth="1"/>
    <col min="2" max="2" width="14.42578125" style="866" customWidth="1"/>
    <col min="3" max="3" width="3.7109375" style="866" customWidth="1"/>
    <col min="4" max="4" width="11.42578125" style="865" customWidth="1"/>
    <col min="5" max="6" width="10.7109375" style="865" customWidth="1"/>
    <col min="7" max="7" width="15.7109375" style="865" customWidth="1"/>
    <col min="8" max="8" width="15.42578125" style="865" customWidth="1"/>
    <col min="9" max="9" width="14.85546875" style="865" customWidth="1"/>
    <col min="10" max="10" width="15.85546875" style="865" customWidth="1"/>
    <col min="11" max="12" width="14" style="865" customWidth="1"/>
    <col min="13" max="14" width="14.42578125" style="865" customWidth="1"/>
    <col min="15" max="15" width="14.5703125" style="865" customWidth="1"/>
    <col min="16" max="24" width="12.7109375" style="865" customWidth="1"/>
    <col min="25" max="16384" width="9.140625" style="865"/>
  </cols>
  <sheetData>
    <row r="1" spans="1:41" x14ac:dyDescent="0.2">
      <c r="A1" s="1170"/>
      <c r="B1" s="886"/>
      <c r="C1" s="886"/>
    </row>
    <row r="2" spans="1:41" ht="14.25" customHeight="1" x14ac:dyDescent="0.2">
      <c r="A2" s="453">
        <v>1</v>
      </c>
      <c r="B2" s="453" t="s">
        <v>24</v>
      </c>
      <c r="C2" s="453">
        <f>1+[10]Electricity!C2</f>
        <v>32</v>
      </c>
      <c r="D2" s="3562" t="s">
        <v>834</v>
      </c>
      <c r="E2" s="3563"/>
      <c r="F2" s="3563"/>
      <c r="G2" s="3563"/>
      <c r="H2" s="3563"/>
      <c r="I2" s="3563"/>
      <c r="J2" s="3563"/>
      <c r="K2" s="3563"/>
      <c r="L2" s="3563"/>
      <c r="M2" s="3563"/>
      <c r="N2" s="3563"/>
      <c r="O2" s="3563"/>
      <c r="P2" s="3563"/>
      <c r="Q2" s="3563"/>
      <c r="R2" s="3563"/>
      <c r="S2" s="3563"/>
      <c r="T2" s="3563"/>
      <c r="U2" s="3563"/>
      <c r="V2" s="3563"/>
      <c r="W2" s="3563"/>
      <c r="X2" s="3563"/>
      <c r="Y2" s="3563"/>
      <c r="Z2" s="3564"/>
    </row>
    <row r="3" spans="1:41" ht="13.9" customHeight="1" x14ac:dyDescent="0.2">
      <c r="A3" s="453">
        <v>2</v>
      </c>
      <c r="B3" s="453" t="s">
        <v>26</v>
      </c>
      <c r="C3" s="453"/>
      <c r="D3" s="3562" t="s">
        <v>833</v>
      </c>
      <c r="E3" s="3563"/>
      <c r="F3" s="3563"/>
      <c r="G3" s="3563"/>
      <c r="H3" s="3563"/>
      <c r="I3" s="3563"/>
      <c r="J3" s="3563"/>
      <c r="K3" s="3563"/>
      <c r="L3" s="3563"/>
      <c r="M3" s="3563"/>
      <c r="N3" s="3563"/>
      <c r="O3" s="3563"/>
      <c r="P3" s="3563"/>
      <c r="Q3" s="3563"/>
      <c r="R3" s="3563"/>
      <c r="S3" s="3563"/>
      <c r="T3" s="3563"/>
      <c r="U3" s="3563"/>
      <c r="V3" s="3563"/>
      <c r="W3" s="3563"/>
      <c r="X3" s="3563"/>
      <c r="Y3" s="3563"/>
      <c r="Z3" s="3564"/>
    </row>
    <row r="4" spans="1:41" ht="14.25" customHeight="1" x14ac:dyDescent="0.2">
      <c r="A4" s="453">
        <v>3</v>
      </c>
      <c r="B4" s="453" t="s">
        <v>28</v>
      </c>
      <c r="C4" s="453"/>
      <c r="D4" s="3562" t="s">
        <v>832</v>
      </c>
      <c r="E4" s="3563"/>
      <c r="F4" s="3563"/>
      <c r="G4" s="3563"/>
      <c r="H4" s="3563"/>
      <c r="I4" s="3563"/>
      <c r="J4" s="3563"/>
      <c r="K4" s="3563"/>
      <c r="L4" s="3563"/>
      <c r="M4" s="3563"/>
      <c r="N4" s="3563"/>
      <c r="O4" s="3563"/>
      <c r="P4" s="3563"/>
      <c r="Q4" s="3563"/>
      <c r="R4" s="3563"/>
      <c r="S4" s="3563"/>
      <c r="T4" s="3563"/>
      <c r="U4" s="3563"/>
      <c r="V4" s="3563"/>
      <c r="W4" s="3563"/>
      <c r="X4" s="3563"/>
      <c r="Y4" s="3563"/>
      <c r="Z4" s="3564"/>
    </row>
    <row r="5" spans="1:41" x14ac:dyDescent="0.25">
      <c r="A5" s="453"/>
      <c r="B5" s="453"/>
      <c r="C5" s="453"/>
      <c r="D5" s="1471"/>
      <c r="E5" s="1471"/>
      <c r="F5" s="1471"/>
      <c r="G5" s="1471"/>
      <c r="H5" s="1471"/>
      <c r="I5" s="1471"/>
      <c r="J5" s="1471"/>
      <c r="K5" s="1471"/>
      <c r="L5" s="1471"/>
      <c r="M5" s="1471"/>
      <c r="N5" s="1471"/>
      <c r="O5" s="1471"/>
      <c r="P5" s="1471"/>
      <c r="Q5" s="1471"/>
      <c r="R5" s="1471"/>
      <c r="S5" s="1471"/>
      <c r="T5" s="962"/>
      <c r="U5" s="962"/>
      <c r="V5" s="962"/>
      <c r="W5" s="962"/>
      <c r="X5" s="962"/>
    </row>
    <row r="6" spans="1:41" ht="18" customHeight="1" x14ac:dyDescent="0.25">
      <c r="A6" s="453">
        <v>4</v>
      </c>
      <c r="B6" s="650" t="s">
        <v>1</v>
      </c>
      <c r="C6" s="650"/>
      <c r="D6" s="614" t="s">
        <v>31</v>
      </c>
      <c r="E6" s="2291" t="s">
        <v>831</v>
      </c>
      <c r="F6" s="1007"/>
      <c r="G6" s="1007"/>
      <c r="H6" s="2292"/>
      <c r="I6" s="2292"/>
      <c r="J6" s="2292"/>
      <c r="K6" s="2292"/>
      <c r="L6" s="2292"/>
      <c r="M6" s="2292"/>
      <c r="N6" s="2292"/>
      <c r="O6" s="2292"/>
      <c r="P6" s="2292"/>
      <c r="Q6" s="2293"/>
      <c r="R6" s="2293"/>
      <c r="S6" s="2293"/>
      <c r="T6" s="2294"/>
      <c r="U6" s="2294"/>
      <c r="V6" s="2294"/>
      <c r="W6" s="2294"/>
      <c r="X6" s="2294"/>
    </row>
    <row r="7" spans="1:41" ht="14.25" x14ac:dyDescent="0.2">
      <c r="A7" s="453"/>
      <c r="B7" s="650"/>
      <c r="C7" s="650"/>
      <c r="D7" s="3276"/>
      <c r="E7" s="198" t="s">
        <v>125</v>
      </c>
      <c r="F7" s="198" t="s">
        <v>126</v>
      </c>
      <c r="G7" s="198" t="s">
        <v>127</v>
      </c>
      <c r="H7" s="198" t="s">
        <v>128</v>
      </c>
      <c r="I7" s="198" t="s">
        <v>129</v>
      </c>
      <c r="J7" s="198" t="s">
        <v>130</v>
      </c>
      <c r="K7" s="198" t="s">
        <v>131</v>
      </c>
      <c r="L7" s="198" t="s">
        <v>132</v>
      </c>
      <c r="M7" s="198" t="s">
        <v>133</v>
      </c>
      <c r="N7" s="198" t="s">
        <v>134</v>
      </c>
      <c r="O7" s="199" t="s">
        <v>135</v>
      </c>
      <c r="P7" s="199" t="s">
        <v>136</v>
      </c>
      <c r="Q7" s="199" t="s">
        <v>137</v>
      </c>
      <c r="R7" s="199" t="s">
        <v>138</v>
      </c>
      <c r="S7" s="199" t="s">
        <v>139</v>
      </c>
      <c r="T7" s="199" t="s">
        <v>140</v>
      </c>
      <c r="U7" s="199" t="s">
        <v>141</v>
      </c>
      <c r="V7" s="199" t="s">
        <v>142</v>
      </c>
      <c r="W7" s="199" t="s">
        <v>143</v>
      </c>
      <c r="X7" s="199" t="s">
        <v>144</v>
      </c>
      <c r="Y7" s="199" t="s">
        <v>145</v>
      </c>
      <c r="Z7" s="2764" t="s">
        <v>334</v>
      </c>
    </row>
    <row r="8" spans="1:41" ht="22.5" x14ac:dyDescent="0.2">
      <c r="A8" s="453"/>
      <c r="B8" s="650"/>
      <c r="C8" s="650"/>
      <c r="D8" s="2955" t="s">
        <v>830</v>
      </c>
      <c r="E8" s="2295">
        <v>0</v>
      </c>
      <c r="F8" s="960">
        <v>1</v>
      </c>
      <c r="G8" s="960">
        <v>3</v>
      </c>
      <c r="H8" s="960">
        <v>208</v>
      </c>
      <c r="I8" s="960">
        <v>408</v>
      </c>
      <c r="J8" s="960">
        <v>3916</v>
      </c>
      <c r="K8" s="960">
        <v>12094</v>
      </c>
      <c r="L8" s="960">
        <v>29877</v>
      </c>
      <c r="M8" s="960">
        <v>36488</v>
      </c>
      <c r="N8" s="960">
        <v>48825</v>
      </c>
      <c r="O8" s="960">
        <v>59345</v>
      </c>
      <c r="P8" s="960">
        <v>71645</v>
      </c>
      <c r="Q8" s="960">
        <v>74417</v>
      </c>
      <c r="R8" s="960">
        <v>74747</v>
      </c>
      <c r="S8" s="960">
        <v>75400</v>
      </c>
      <c r="T8" s="960">
        <v>75844</v>
      </c>
      <c r="U8" s="960">
        <v>76228</v>
      </c>
      <c r="V8" s="960">
        <v>76705</v>
      </c>
      <c r="W8" s="960">
        <v>77334</v>
      </c>
      <c r="X8" s="960">
        <v>77622</v>
      </c>
      <c r="Y8" s="960">
        <v>78100</v>
      </c>
      <c r="Z8" s="2765">
        <v>78750</v>
      </c>
      <c r="AA8" s="959"/>
      <c r="AB8" s="959"/>
      <c r="AC8" s="959"/>
      <c r="AD8" s="959"/>
      <c r="AE8" s="959"/>
      <c r="AF8" s="959"/>
      <c r="AG8" s="959"/>
      <c r="AH8" s="959"/>
      <c r="AI8" s="959"/>
      <c r="AJ8" s="959"/>
      <c r="AK8" s="959"/>
      <c r="AL8" s="959"/>
      <c r="AM8" s="959"/>
      <c r="AN8" s="959"/>
      <c r="AO8" s="959"/>
    </row>
    <row r="9" spans="1:41" ht="33.75" x14ac:dyDescent="0.2">
      <c r="A9" s="453"/>
      <c r="B9" s="650"/>
      <c r="C9" s="650"/>
      <c r="D9" s="3124" t="s">
        <v>829</v>
      </c>
      <c r="E9" s="2296"/>
      <c r="F9" s="958"/>
      <c r="G9" s="958"/>
      <c r="H9" s="958"/>
      <c r="I9" s="958"/>
      <c r="J9" s="958"/>
      <c r="K9" s="958"/>
      <c r="L9" s="958"/>
      <c r="M9" s="958"/>
      <c r="N9" s="958"/>
      <c r="O9" s="958"/>
      <c r="P9" s="958"/>
      <c r="Q9" s="958"/>
      <c r="R9" s="958"/>
      <c r="S9" s="958"/>
      <c r="T9" s="958"/>
      <c r="U9" s="958">
        <v>1495</v>
      </c>
      <c r="V9" s="958">
        <v>1835</v>
      </c>
      <c r="W9" s="958">
        <v>2211</v>
      </c>
      <c r="X9" s="958">
        <v>2503</v>
      </c>
      <c r="Y9" s="958">
        <v>2875</v>
      </c>
      <c r="Z9" s="2766">
        <v>3435</v>
      </c>
    </row>
    <row r="10" spans="1:41" ht="14.25" x14ac:dyDescent="0.2">
      <c r="A10" s="453"/>
      <c r="B10" s="650"/>
      <c r="C10" s="650"/>
      <c r="D10" s="798"/>
      <c r="E10" s="957"/>
      <c r="F10" s="957"/>
      <c r="G10" s="957"/>
      <c r="H10" s="957"/>
      <c r="I10" s="957"/>
      <c r="J10" s="956"/>
      <c r="K10" s="956"/>
      <c r="L10" s="956"/>
      <c r="M10" s="956"/>
      <c r="N10" s="956"/>
      <c r="O10" s="956"/>
      <c r="P10" s="956"/>
      <c r="Q10" s="956"/>
      <c r="R10" s="956"/>
      <c r="S10" s="956"/>
      <c r="T10" s="956"/>
      <c r="U10" s="956"/>
      <c r="V10" s="956"/>
      <c r="W10" s="956"/>
      <c r="X10" s="956"/>
    </row>
    <row r="11" spans="1:41" s="77" customFormat="1" ht="15" customHeight="1" x14ac:dyDescent="0.2">
      <c r="A11" s="126"/>
      <c r="B11" s="955"/>
      <c r="C11" s="955"/>
      <c r="D11" s="2297" t="s">
        <v>828</v>
      </c>
      <c r="E11" s="2297" t="s">
        <v>827</v>
      </c>
      <c r="F11" s="2298"/>
      <c r="G11" s="2298"/>
      <c r="H11" s="2299"/>
      <c r="I11" s="2297"/>
      <c r="J11" s="2298"/>
      <c r="K11" s="2298"/>
      <c r="L11" s="2298"/>
      <c r="M11" s="2300"/>
      <c r="N11" s="2300"/>
      <c r="O11" s="2300"/>
      <c r="P11" s="1007"/>
      <c r="Q11" s="1007"/>
      <c r="R11" s="604"/>
      <c r="S11" s="604"/>
      <c r="T11" s="2301"/>
      <c r="U11" s="2301"/>
      <c r="V11" s="2301"/>
      <c r="W11" s="2301"/>
      <c r="X11" s="2301"/>
      <c r="Y11" s="58"/>
      <c r="Z11" s="58"/>
      <c r="AA11" s="58"/>
      <c r="AB11" s="58"/>
      <c r="AC11" s="58"/>
      <c r="AD11" s="58"/>
      <c r="AE11" s="58"/>
      <c r="AF11" s="58"/>
      <c r="AG11" s="58"/>
    </row>
    <row r="12" spans="1:41" s="77" customFormat="1" ht="15" customHeight="1" x14ac:dyDescent="0.2">
      <c r="A12" s="953"/>
      <c r="B12" s="128"/>
      <c r="C12" s="128"/>
      <c r="D12" s="2302"/>
      <c r="E12" s="2303"/>
      <c r="F12" s="2303"/>
      <c r="G12" s="2303"/>
      <c r="H12" s="2303"/>
      <c r="I12" s="2303"/>
      <c r="J12" s="2303"/>
      <c r="K12" s="3786" t="s">
        <v>826</v>
      </c>
      <c r="L12" s="3787"/>
      <c r="M12" s="3787"/>
      <c r="N12" s="3788"/>
      <c r="O12" s="2304"/>
      <c r="P12" s="2305"/>
      <c r="Q12" s="2305"/>
      <c r="R12" s="2305"/>
      <c r="S12" s="2305"/>
      <c r="T12" s="954"/>
      <c r="U12" s="954"/>
      <c r="V12" s="954"/>
      <c r="W12" s="954"/>
      <c r="X12" s="954"/>
      <c r="Y12" s="2301"/>
      <c r="Z12" s="2301"/>
      <c r="AA12" s="2301"/>
      <c r="AB12" s="58"/>
      <c r="AC12" s="58"/>
      <c r="AD12" s="58"/>
      <c r="AE12" s="58"/>
      <c r="AF12" s="58"/>
      <c r="AG12" s="58"/>
    </row>
    <row r="13" spans="1:41" s="77" customFormat="1" ht="22.5" x14ac:dyDescent="0.2">
      <c r="A13" s="953"/>
      <c r="B13" s="2306"/>
      <c r="C13" s="2306"/>
      <c r="D13" s="2307" t="s">
        <v>413</v>
      </c>
      <c r="E13" s="2307" t="s">
        <v>825</v>
      </c>
      <c r="F13" s="2307" t="s">
        <v>14</v>
      </c>
      <c r="G13" s="2307" t="s">
        <v>824</v>
      </c>
      <c r="H13" s="2307" t="s">
        <v>823</v>
      </c>
      <c r="I13" s="2307" t="s">
        <v>822</v>
      </c>
      <c r="J13" s="2308" t="s">
        <v>821</v>
      </c>
      <c r="K13" s="2307" t="s">
        <v>820</v>
      </c>
      <c r="L13" s="2307" t="s">
        <v>819</v>
      </c>
      <c r="M13" s="2307" t="s">
        <v>818</v>
      </c>
      <c r="N13" s="2307" t="s">
        <v>817</v>
      </c>
      <c r="O13" s="2307" t="s">
        <v>753</v>
      </c>
      <c r="P13" s="1007"/>
      <c r="Q13" s="1007"/>
      <c r="R13" s="1007"/>
      <c r="S13" s="1007"/>
      <c r="T13" s="960"/>
      <c r="U13" s="2301"/>
      <c r="V13" s="2301"/>
      <c r="W13" s="2301"/>
      <c r="X13" s="2301"/>
      <c r="Y13" s="2301"/>
      <c r="Z13" s="2301"/>
      <c r="AA13" s="2301"/>
      <c r="AB13" s="58"/>
      <c r="AC13" s="58"/>
      <c r="AD13" s="58"/>
      <c r="AE13" s="58"/>
      <c r="AF13" s="58"/>
      <c r="AG13" s="58"/>
    </row>
    <row r="14" spans="1:41" s="77" customFormat="1" ht="11.25" x14ac:dyDescent="0.2">
      <c r="A14" s="953"/>
      <c r="B14" s="2306"/>
      <c r="C14" s="2306"/>
      <c r="D14" s="2309" t="s">
        <v>415</v>
      </c>
      <c r="E14" s="952">
        <v>16626</v>
      </c>
      <c r="F14" s="952">
        <v>74650</v>
      </c>
      <c r="G14" s="952">
        <v>299120</v>
      </c>
      <c r="H14" s="952">
        <v>142515</v>
      </c>
      <c r="I14" s="952" t="s">
        <v>816</v>
      </c>
      <c r="J14" s="952" t="s">
        <v>815</v>
      </c>
      <c r="K14" s="952" t="s">
        <v>814</v>
      </c>
      <c r="L14" s="952" t="s">
        <v>813</v>
      </c>
      <c r="M14" s="952" t="s">
        <v>812</v>
      </c>
      <c r="N14" s="952" t="s">
        <v>811</v>
      </c>
      <c r="O14" s="952" t="s">
        <v>810</v>
      </c>
      <c r="P14" s="1007"/>
      <c r="Q14" s="1007"/>
      <c r="R14" s="604"/>
      <c r="S14" s="604"/>
      <c r="T14" s="2301"/>
      <c r="U14" s="2301"/>
      <c r="V14" s="2301"/>
      <c r="W14" s="2301"/>
      <c r="X14" s="2301"/>
      <c r="Y14" s="2301"/>
      <c r="Z14" s="2301"/>
      <c r="AA14" s="2301"/>
      <c r="AB14" s="58"/>
      <c r="AC14" s="58"/>
      <c r="AD14" s="58"/>
      <c r="AE14" s="58"/>
      <c r="AF14" s="58"/>
      <c r="AG14" s="58"/>
    </row>
    <row r="15" spans="1:41" s="77" customFormat="1" ht="11.25" x14ac:dyDescent="0.2">
      <c r="A15" s="1173"/>
      <c r="B15" s="2111"/>
      <c r="C15" s="2111"/>
      <c r="D15" s="2309" t="s">
        <v>417</v>
      </c>
      <c r="E15" s="952">
        <v>2692</v>
      </c>
      <c r="F15" s="952">
        <v>8060</v>
      </c>
      <c r="G15" s="952">
        <v>50942</v>
      </c>
      <c r="H15" s="952">
        <v>55207</v>
      </c>
      <c r="I15" s="952" t="s">
        <v>809</v>
      </c>
      <c r="J15" s="952" t="s">
        <v>808</v>
      </c>
      <c r="K15" s="952" t="s">
        <v>807</v>
      </c>
      <c r="L15" s="952" t="s">
        <v>806</v>
      </c>
      <c r="M15" s="952" t="s">
        <v>805</v>
      </c>
      <c r="N15" s="952" t="s">
        <v>804</v>
      </c>
      <c r="O15" s="952" t="s">
        <v>803</v>
      </c>
      <c r="P15" s="1883"/>
      <c r="Q15" s="1883"/>
      <c r="R15" s="117"/>
      <c r="S15" s="117"/>
    </row>
    <row r="16" spans="1:41" s="77" customFormat="1" ht="11.25" x14ac:dyDescent="0.2">
      <c r="A16" s="953"/>
      <c r="B16" s="953"/>
      <c r="C16" s="953"/>
      <c r="D16" s="2309" t="s">
        <v>420</v>
      </c>
      <c r="E16" s="952">
        <v>13333</v>
      </c>
      <c r="F16" s="952">
        <v>15466</v>
      </c>
      <c r="G16" s="952">
        <v>69445</v>
      </c>
      <c r="H16" s="952">
        <v>13393</v>
      </c>
      <c r="I16" s="952" t="s">
        <v>802</v>
      </c>
      <c r="J16" s="952" t="s">
        <v>801</v>
      </c>
      <c r="K16" s="952" t="s">
        <v>800</v>
      </c>
      <c r="L16" s="952" t="s">
        <v>799</v>
      </c>
      <c r="M16" s="952" t="s">
        <v>798</v>
      </c>
      <c r="N16" s="952" t="s">
        <v>797</v>
      </c>
      <c r="O16" s="952" t="s">
        <v>796</v>
      </c>
      <c r="P16" s="374"/>
      <c r="Q16" s="374"/>
      <c r="R16" s="133"/>
      <c r="S16" s="133"/>
    </row>
    <row r="17" spans="1:19" s="77" customFormat="1" ht="11.25" x14ac:dyDescent="0.2">
      <c r="A17" s="3789"/>
      <c r="B17" s="3789"/>
      <c r="C17" s="3789"/>
      <c r="D17" s="2309" t="s">
        <v>418</v>
      </c>
      <c r="E17" s="952">
        <v>15280</v>
      </c>
      <c r="F17" s="952">
        <v>88891</v>
      </c>
      <c r="G17" s="952">
        <v>525210</v>
      </c>
      <c r="H17" s="952">
        <v>821297</v>
      </c>
      <c r="I17" s="952" t="s">
        <v>795</v>
      </c>
      <c r="J17" s="952" t="s">
        <v>794</v>
      </c>
      <c r="K17" s="952" t="s">
        <v>793</v>
      </c>
      <c r="L17" s="952" t="s">
        <v>792</v>
      </c>
      <c r="M17" s="952" t="s">
        <v>791</v>
      </c>
      <c r="N17" s="952" t="s">
        <v>790</v>
      </c>
      <c r="O17" s="952" t="s">
        <v>789</v>
      </c>
      <c r="P17" s="1883"/>
      <c r="Q17" s="2310"/>
      <c r="R17" s="117"/>
      <c r="S17" s="117"/>
    </row>
    <row r="18" spans="1:19" s="77" customFormat="1" ht="11.25" x14ac:dyDescent="0.2">
      <c r="A18" s="181"/>
      <c r="B18" s="181"/>
      <c r="C18" s="181"/>
      <c r="D18" s="2309" t="s">
        <v>422</v>
      </c>
      <c r="E18" s="952">
        <v>3902</v>
      </c>
      <c r="F18" s="952">
        <v>56486</v>
      </c>
      <c r="G18" s="952">
        <v>277809</v>
      </c>
      <c r="H18" s="952">
        <v>684148</v>
      </c>
      <c r="I18" s="952" t="s">
        <v>788</v>
      </c>
      <c r="J18" s="952" t="s">
        <v>787</v>
      </c>
      <c r="K18" s="952" t="s">
        <v>786</v>
      </c>
      <c r="L18" s="952" t="s">
        <v>785</v>
      </c>
      <c r="M18" s="952" t="s">
        <v>784</v>
      </c>
      <c r="N18" s="952" t="s">
        <v>783</v>
      </c>
      <c r="O18" s="952" t="s">
        <v>782</v>
      </c>
      <c r="P18" s="1883"/>
      <c r="Q18" s="1883"/>
      <c r="R18" s="117"/>
      <c r="S18" s="117"/>
    </row>
    <row r="19" spans="1:19" s="77" customFormat="1" ht="11.25" x14ac:dyDescent="0.2">
      <c r="A19" s="128"/>
      <c r="B19" s="128"/>
      <c r="C19" s="128"/>
      <c r="D19" s="2309" t="s">
        <v>421</v>
      </c>
      <c r="E19" s="952">
        <v>2922</v>
      </c>
      <c r="F19" s="952">
        <v>56730</v>
      </c>
      <c r="G19" s="952">
        <v>278663</v>
      </c>
      <c r="H19" s="952">
        <v>505228</v>
      </c>
      <c r="I19" s="952" t="s">
        <v>781</v>
      </c>
      <c r="J19" s="952" t="s">
        <v>780</v>
      </c>
      <c r="K19" s="952" t="s">
        <v>779</v>
      </c>
      <c r="L19" s="952" t="s">
        <v>778</v>
      </c>
      <c r="M19" s="952" t="s">
        <v>777</v>
      </c>
      <c r="N19" s="952" t="s">
        <v>776</v>
      </c>
      <c r="O19" s="952" t="s">
        <v>775</v>
      </c>
      <c r="P19" s="1883"/>
      <c r="Q19" s="1883"/>
      <c r="R19" s="117"/>
      <c r="S19" s="117"/>
    </row>
    <row r="20" spans="1:19" s="77" customFormat="1" ht="11.25" x14ac:dyDescent="0.2">
      <c r="A20" s="128"/>
      <c r="B20" s="128"/>
      <c r="C20" s="128"/>
      <c r="D20" s="2309" t="s">
        <v>419</v>
      </c>
      <c r="E20" s="952">
        <v>3762</v>
      </c>
      <c r="F20" s="952">
        <v>24357</v>
      </c>
      <c r="G20" s="952">
        <v>128725</v>
      </c>
      <c r="H20" s="952">
        <v>651033</v>
      </c>
      <c r="I20" s="952" t="s">
        <v>774</v>
      </c>
      <c r="J20" s="952" t="s">
        <v>773</v>
      </c>
      <c r="K20" s="952" t="s">
        <v>772</v>
      </c>
      <c r="L20" s="952" t="s">
        <v>771</v>
      </c>
      <c r="M20" s="952" t="s">
        <v>770</v>
      </c>
      <c r="N20" s="952" t="s">
        <v>769</v>
      </c>
      <c r="O20" s="952" t="s">
        <v>768</v>
      </c>
      <c r="P20" s="1883"/>
      <c r="Q20" s="1883"/>
      <c r="R20" s="117"/>
      <c r="S20" s="117"/>
    </row>
    <row r="21" spans="1:19" s="77" customFormat="1" ht="11.25" x14ac:dyDescent="0.2">
      <c r="A21" s="128"/>
      <c r="B21" s="128"/>
      <c r="C21" s="128"/>
      <c r="D21" s="2309" t="s">
        <v>416</v>
      </c>
      <c r="E21" s="952">
        <v>3822</v>
      </c>
      <c r="F21" s="952">
        <v>43199</v>
      </c>
      <c r="G21" s="952">
        <v>212413</v>
      </c>
      <c r="H21" s="952">
        <v>444186</v>
      </c>
      <c r="I21" s="952" t="s">
        <v>767</v>
      </c>
      <c r="J21" s="952" t="s">
        <v>766</v>
      </c>
      <c r="K21" s="952" t="s">
        <v>765</v>
      </c>
      <c r="L21" s="952" t="s">
        <v>764</v>
      </c>
      <c r="M21" s="952" t="s">
        <v>763</v>
      </c>
      <c r="N21" s="952" t="s">
        <v>762</v>
      </c>
      <c r="O21" s="952" t="s">
        <v>761</v>
      </c>
      <c r="P21" s="1883"/>
      <c r="Q21" s="1883"/>
      <c r="R21" s="117"/>
      <c r="S21" s="117"/>
    </row>
    <row r="22" spans="1:19" s="77" customFormat="1" ht="11.25" x14ac:dyDescent="0.2">
      <c r="A22" s="128"/>
      <c r="B22" s="128"/>
      <c r="C22" s="128"/>
      <c r="D22" s="2309" t="s">
        <v>414</v>
      </c>
      <c r="E22" s="952">
        <v>16411</v>
      </c>
      <c r="F22" s="952">
        <v>31277</v>
      </c>
      <c r="G22" s="952">
        <v>138839</v>
      </c>
      <c r="H22" s="952">
        <v>10977</v>
      </c>
      <c r="I22" s="952" t="s">
        <v>760</v>
      </c>
      <c r="J22" s="952" t="s">
        <v>759</v>
      </c>
      <c r="K22" s="952" t="s">
        <v>758</v>
      </c>
      <c r="L22" s="952" t="s">
        <v>757</v>
      </c>
      <c r="M22" s="952" t="s">
        <v>756</v>
      </c>
      <c r="N22" s="952" t="s">
        <v>755</v>
      </c>
      <c r="O22" s="952" t="s">
        <v>754</v>
      </c>
      <c r="P22" s="1883"/>
      <c r="Q22" s="1883"/>
      <c r="R22" s="117"/>
      <c r="S22" s="117"/>
    </row>
    <row r="23" spans="1:19" s="77" customFormat="1" ht="11.25" x14ac:dyDescent="0.2">
      <c r="A23" s="128"/>
      <c r="B23" s="128"/>
      <c r="C23" s="128"/>
      <c r="D23" s="2311" t="s">
        <v>753</v>
      </c>
      <c r="E23" s="951">
        <v>78750</v>
      </c>
      <c r="F23" s="951">
        <v>399116</v>
      </c>
      <c r="G23" s="951">
        <v>1981166</v>
      </c>
      <c r="H23" s="951">
        <v>3327984</v>
      </c>
      <c r="I23" s="951" t="s">
        <v>752</v>
      </c>
      <c r="J23" s="951" t="s">
        <v>751</v>
      </c>
      <c r="K23" s="951" t="s">
        <v>750</v>
      </c>
      <c r="L23" s="951" t="s">
        <v>749</v>
      </c>
      <c r="M23" s="951" t="s">
        <v>748</v>
      </c>
      <c r="N23" s="951" t="s">
        <v>747</v>
      </c>
      <c r="O23" s="951" t="s">
        <v>746</v>
      </c>
      <c r="P23" s="2312"/>
      <c r="Q23" s="1883"/>
      <c r="R23" s="117"/>
      <c r="S23" s="117"/>
    </row>
    <row r="24" spans="1:19" s="77" customFormat="1" ht="11.25" x14ac:dyDescent="0.2">
      <c r="A24" s="128"/>
      <c r="B24" s="128"/>
      <c r="C24" s="128"/>
      <c r="D24" s="614"/>
      <c r="E24" s="950"/>
      <c r="F24" s="950"/>
      <c r="G24" s="950"/>
      <c r="H24" s="950"/>
      <c r="I24" s="949"/>
      <c r="J24" s="949"/>
      <c r="K24" s="949"/>
      <c r="L24" s="949"/>
      <c r="M24" s="949"/>
      <c r="N24" s="949"/>
      <c r="O24" s="949"/>
      <c r="P24" s="1883"/>
      <c r="Q24" s="1883"/>
      <c r="R24" s="117"/>
      <c r="S24" s="117"/>
    </row>
    <row r="25" spans="1:19" s="77" customFormat="1" ht="11.25" x14ac:dyDescent="0.2">
      <c r="A25" s="128"/>
      <c r="B25" s="128"/>
      <c r="C25" s="128"/>
      <c r="D25" s="614"/>
      <c r="E25" s="950"/>
      <c r="F25" s="950"/>
      <c r="G25" s="950"/>
      <c r="H25" s="950"/>
      <c r="I25" s="949"/>
      <c r="J25" s="949"/>
      <c r="K25" s="949"/>
      <c r="L25" s="949"/>
      <c r="M25" s="949"/>
      <c r="N25" s="949"/>
      <c r="O25" s="948"/>
      <c r="P25" s="1883"/>
      <c r="Q25" s="1883"/>
      <c r="R25" s="117"/>
      <c r="S25" s="117"/>
    </row>
    <row r="26" spans="1:19" s="77" customFormat="1" ht="11.25" x14ac:dyDescent="0.2">
      <c r="A26" s="128"/>
      <c r="B26" s="128"/>
      <c r="C26" s="128"/>
      <c r="D26" s="614"/>
      <c r="E26" s="950"/>
      <c r="F26" s="950"/>
      <c r="G26" s="950"/>
      <c r="H26" s="950"/>
      <c r="I26" s="949"/>
      <c r="J26" s="949"/>
      <c r="K26" s="949"/>
      <c r="L26" s="949"/>
      <c r="M26" s="949"/>
      <c r="N26" s="949"/>
      <c r="O26" s="948"/>
      <c r="P26" s="1883"/>
      <c r="Q26" s="1883"/>
      <c r="R26" s="117"/>
      <c r="S26" s="117"/>
    </row>
    <row r="27" spans="1:19" s="77" customFormat="1" ht="11.25" x14ac:dyDescent="0.2">
      <c r="A27" s="128"/>
      <c r="B27" s="128"/>
      <c r="C27" s="128"/>
      <c r="D27" s="614"/>
      <c r="E27" s="950"/>
      <c r="F27" s="950"/>
      <c r="G27" s="950"/>
      <c r="H27" s="950"/>
      <c r="I27" s="949"/>
      <c r="J27" s="949"/>
      <c r="K27" s="949"/>
      <c r="L27" s="949"/>
      <c r="M27" s="949"/>
      <c r="N27" s="949"/>
      <c r="O27" s="948"/>
      <c r="P27" s="1883"/>
      <c r="Q27" s="1883"/>
      <c r="R27" s="117"/>
      <c r="S27" s="117"/>
    </row>
    <row r="28" spans="1:19" s="77" customFormat="1" ht="11.25" x14ac:dyDescent="0.2">
      <c r="A28" s="128"/>
      <c r="B28" s="128"/>
      <c r="C28" s="128"/>
      <c r="D28" s="614"/>
      <c r="E28" s="950"/>
      <c r="F28" s="950"/>
      <c r="G28" s="950"/>
      <c r="H28" s="950"/>
      <c r="I28" s="949"/>
      <c r="J28" s="949"/>
      <c r="K28" s="949"/>
      <c r="L28" s="949"/>
      <c r="M28" s="949"/>
      <c r="N28" s="949"/>
      <c r="O28" s="948"/>
      <c r="P28" s="1883"/>
      <c r="Q28" s="1883"/>
      <c r="R28" s="117"/>
      <c r="S28" s="117"/>
    </row>
    <row r="29" spans="1:19" s="77" customFormat="1" ht="11.25" x14ac:dyDescent="0.2">
      <c r="A29" s="128"/>
      <c r="B29" s="128"/>
      <c r="C29" s="128"/>
      <c r="D29" s="614"/>
      <c r="E29" s="950"/>
      <c r="F29" s="950"/>
      <c r="G29" s="950"/>
      <c r="H29" s="950"/>
      <c r="I29" s="949"/>
      <c r="J29" s="949"/>
      <c r="K29" s="949"/>
      <c r="L29" s="949"/>
      <c r="M29" s="949"/>
      <c r="N29" s="949"/>
      <c r="O29" s="948"/>
      <c r="P29" s="1883"/>
      <c r="Q29" s="1883"/>
      <c r="R29" s="117"/>
      <c r="S29" s="117"/>
    </row>
    <row r="30" spans="1:19" s="77" customFormat="1" ht="11.25" x14ac:dyDescent="0.2">
      <c r="A30" s="128"/>
      <c r="B30" s="128"/>
      <c r="C30" s="128"/>
      <c r="D30" s="614"/>
      <c r="E30" s="950"/>
      <c r="F30" s="950"/>
      <c r="G30" s="950"/>
      <c r="H30" s="950"/>
      <c r="I30" s="949"/>
      <c r="J30" s="949"/>
      <c r="K30" s="949"/>
      <c r="L30" s="949"/>
      <c r="M30" s="949"/>
      <c r="N30" s="949"/>
      <c r="O30" s="948"/>
      <c r="P30" s="1883"/>
      <c r="Q30" s="1883"/>
      <c r="R30" s="117"/>
      <c r="S30" s="117"/>
    </row>
    <row r="31" spans="1:19" s="77" customFormat="1" ht="11.25" x14ac:dyDescent="0.2">
      <c r="A31" s="128"/>
      <c r="B31" s="128"/>
      <c r="C31" s="128"/>
      <c r="D31" s="614"/>
      <c r="E31" s="950"/>
      <c r="F31" s="950"/>
      <c r="G31" s="950"/>
      <c r="H31" s="950"/>
      <c r="I31" s="949"/>
      <c r="J31" s="949"/>
      <c r="K31" s="949"/>
      <c r="L31" s="949"/>
      <c r="M31" s="949"/>
      <c r="N31" s="949"/>
      <c r="O31" s="948"/>
      <c r="P31" s="1883"/>
      <c r="Q31" s="1883"/>
      <c r="R31" s="117"/>
      <c r="S31" s="117"/>
    </row>
    <row r="32" spans="1:19" s="77" customFormat="1" ht="11.25" x14ac:dyDescent="0.2">
      <c r="A32" s="128"/>
      <c r="B32" s="128"/>
      <c r="C32" s="128"/>
      <c r="D32" s="614"/>
      <c r="E32" s="950"/>
      <c r="F32" s="950"/>
      <c r="G32" s="950"/>
      <c r="H32" s="950"/>
      <c r="I32" s="949"/>
      <c r="J32" s="949"/>
      <c r="K32" s="949"/>
      <c r="L32" s="949"/>
      <c r="M32" s="949"/>
      <c r="N32" s="949"/>
      <c r="O32" s="948"/>
      <c r="P32" s="1883"/>
      <c r="Q32" s="1883"/>
      <c r="R32" s="117"/>
      <c r="S32" s="117"/>
    </row>
    <row r="33" spans="1:19" s="77" customFormat="1" ht="11.25" x14ac:dyDescent="0.2">
      <c r="A33" s="128"/>
      <c r="B33" s="128"/>
      <c r="C33" s="128"/>
      <c r="D33" s="614"/>
      <c r="E33" s="950"/>
      <c r="F33" s="950"/>
      <c r="G33" s="950"/>
      <c r="H33" s="950"/>
      <c r="I33" s="949"/>
      <c r="J33" s="949"/>
      <c r="K33" s="949"/>
      <c r="L33" s="949"/>
      <c r="M33" s="949"/>
      <c r="N33" s="949"/>
      <c r="O33" s="948"/>
      <c r="P33" s="1883"/>
      <c r="Q33" s="1883"/>
      <c r="R33" s="117"/>
      <c r="S33" s="117"/>
    </row>
    <row r="34" spans="1:19" s="77" customFormat="1" ht="11.25" x14ac:dyDescent="0.2">
      <c r="A34" s="128"/>
      <c r="B34" s="128"/>
      <c r="C34" s="128"/>
      <c r="D34" s="614"/>
      <c r="E34" s="950"/>
      <c r="F34" s="950"/>
      <c r="G34" s="950"/>
      <c r="H34" s="950"/>
      <c r="I34" s="949"/>
      <c r="J34" s="949"/>
      <c r="K34" s="949"/>
      <c r="L34" s="949"/>
      <c r="M34" s="949"/>
      <c r="N34" s="949"/>
      <c r="O34" s="948"/>
      <c r="P34" s="1883"/>
      <c r="Q34" s="1883"/>
      <c r="R34" s="117"/>
      <c r="S34" s="117"/>
    </row>
    <row r="35" spans="1:19" s="77" customFormat="1" ht="11.25" x14ac:dyDescent="0.2">
      <c r="A35" s="128"/>
      <c r="B35" s="128"/>
      <c r="C35" s="128"/>
      <c r="D35" s="614"/>
      <c r="E35" s="950"/>
      <c r="F35" s="950"/>
      <c r="G35" s="950"/>
      <c r="H35" s="950"/>
      <c r="I35" s="949"/>
      <c r="J35" s="949"/>
      <c r="K35" s="949"/>
      <c r="L35" s="949"/>
      <c r="M35" s="949"/>
      <c r="N35" s="949"/>
      <c r="O35" s="948"/>
      <c r="P35" s="1883"/>
      <c r="Q35" s="1883"/>
      <c r="R35" s="117"/>
      <c r="S35" s="117"/>
    </row>
    <row r="36" spans="1:19" s="77" customFormat="1" ht="11.25" x14ac:dyDescent="0.2">
      <c r="A36" s="128"/>
      <c r="B36" s="128"/>
      <c r="C36" s="128"/>
      <c r="D36" s="614"/>
      <c r="E36" s="950"/>
      <c r="F36" s="950"/>
      <c r="G36" s="950"/>
      <c r="H36" s="950"/>
      <c r="I36" s="949"/>
      <c r="J36" s="949"/>
      <c r="K36" s="949"/>
      <c r="L36" s="949"/>
      <c r="M36" s="949"/>
      <c r="N36" s="949"/>
      <c r="O36" s="948"/>
      <c r="P36" s="1883"/>
      <c r="Q36" s="1883"/>
      <c r="R36" s="117"/>
      <c r="S36" s="117"/>
    </row>
    <row r="37" spans="1:19" s="77" customFormat="1" ht="11.25" x14ac:dyDescent="0.2">
      <c r="A37" s="128"/>
      <c r="B37" s="128"/>
      <c r="C37" s="128"/>
      <c r="D37" s="614"/>
      <c r="E37" s="950"/>
      <c r="F37" s="950"/>
      <c r="G37" s="950"/>
      <c r="H37" s="950"/>
      <c r="I37" s="949"/>
      <c r="J37" s="949"/>
      <c r="K37" s="949"/>
      <c r="L37" s="949"/>
      <c r="M37" s="949"/>
      <c r="N37" s="949"/>
      <c r="O37" s="948"/>
      <c r="P37" s="1883"/>
      <c r="Q37" s="1883"/>
      <c r="R37" s="117"/>
      <c r="S37" s="117"/>
    </row>
    <row r="38" spans="1:19" s="77" customFormat="1" ht="11.25" x14ac:dyDescent="0.2">
      <c r="A38" s="128"/>
      <c r="B38" s="128"/>
      <c r="C38" s="128"/>
      <c r="D38" s="614"/>
      <c r="E38" s="950"/>
      <c r="F38" s="950"/>
      <c r="G38" s="950"/>
      <c r="H38" s="950"/>
      <c r="I38" s="949"/>
      <c r="J38" s="949"/>
      <c r="K38" s="949"/>
      <c r="L38" s="949"/>
      <c r="M38" s="949"/>
      <c r="N38" s="949"/>
      <c r="O38" s="948"/>
      <c r="P38" s="1883"/>
      <c r="Q38" s="1883"/>
      <c r="R38" s="117"/>
      <c r="S38" s="117"/>
    </row>
    <row r="39" spans="1:19" s="77" customFormat="1" ht="11.25" x14ac:dyDescent="0.2">
      <c r="A39" s="128"/>
      <c r="B39" s="128"/>
      <c r="C39" s="128"/>
      <c r="D39" s="614"/>
      <c r="E39" s="950"/>
      <c r="F39" s="950"/>
      <c r="G39" s="950"/>
      <c r="H39" s="950"/>
      <c r="I39" s="949"/>
      <c r="J39" s="949"/>
      <c r="K39" s="949"/>
      <c r="L39" s="949"/>
      <c r="M39" s="949"/>
      <c r="N39" s="949"/>
      <c r="O39" s="948"/>
      <c r="P39" s="1883"/>
      <c r="Q39" s="1883"/>
      <c r="R39" s="117"/>
      <c r="S39" s="117"/>
    </row>
    <row r="40" spans="1:19" s="77" customFormat="1" ht="11.25" x14ac:dyDescent="0.2">
      <c r="A40" s="128"/>
      <c r="B40" s="128"/>
      <c r="C40" s="128"/>
      <c r="D40" s="614"/>
      <c r="E40" s="950"/>
      <c r="F40" s="950"/>
      <c r="G40" s="950"/>
      <c r="H40" s="950"/>
      <c r="I40" s="949"/>
      <c r="J40" s="949"/>
      <c r="K40" s="949"/>
      <c r="L40" s="949"/>
      <c r="M40" s="949"/>
      <c r="N40" s="949"/>
      <c r="O40" s="948"/>
      <c r="P40" s="1883"/>
      <c r="Q40" s="1883"/>
      <c r="R40" s="117"/>
      <c r="S40" s="117"/>
    </row>
    <row r="41" spans="1:19" s="77" customFormat="1" ht="11.25" x14ac:dyDescent="0.2">
      <c r="A41" s="128"/>
      <c r="B41" s="128"/>
      <c r="C41" s="128"/>
      <c r="D41" s="614"/>
      <c r="E41" s="950"/>
      <c r="F41" s="950"/>
      <c r="G41" s="950"/>
      <c r="H41" s="950"/>
      <c r="I41" s="949"/>
      <c r="J41" s="949"/>
      <c r="K41" s="949"/>
      <c r="L41" s="949"/>
      <c r="M41" s="949"/>
      <c r="N41" s="949"/>
      <c r="O41" s="948"/>
      <c r="P41" s="1883"/>
      <c r="Q41" s="1883"/>
      <c r="R41" s="117"/>
      <c r="S41" s="117"/>
    </row>
    <row r="42" spans="1:19" s="77" customFormat="1" ht="11.25" x14ac:dyDescent="0.2">
      <c r="A42" s="128"/>
      <c r="B42" s="128"/>
      <c r="C42" s="128"/>
      <c r="D42" s="614"/>
      <c r="E42" s="950"/>
      <c r="F42" s="950"/>
      <c r="G42" s="950"/>
      <c r="H42" s="950"/>
      <c r="I42" s="949"/>
      <c r="J42" s="949"/>
      <c r="K42" s="949"/>
      <c r="L42" s="949"/>
      <c r="M42" s="949"/>
      <c r="N42" s="949"/>
      <c r="O42" s="948"/>
      <c r="P42" s="1883"/>
      <c r="Q42" s="1883"/>
      <c r="R42" s="117"/>
      <c r="S42" s="117"/>
    </row>
    <row r="43" spans="1:19" s="77" customFormat="1" ht="11.25" x14ac:dyDescent="0.2">
      <c r="A43" s="128"/>
      <c r="B43" s="128"/>
      <c r="C43" s="128"/>
      <c r="D43" s="614"/>
      <c r="E43" s="950"/>
      <c r="F43" s="950"/>
      <c r="G43" s="950"/>
      <c r="H43" s="950"/>
      <c r="I43" s="949"/>
      <c r="J43" s="949"/>
      <c r="K43" s="949"/>
      <c r="L43" s="949"/>
      <c r="M43" s="949"/>
      <c r="N43" s="949"/>
      <c r="O43" s="948"/>
      <c r="P43" s="1883"/>
      <c r="Q43" s="1883"/>
      <c r="R43" s="117"/>
      <c r="S43" s="117"/>
    </row>
    <row r="44" spans="1:19" s="77" customFormat="1" ht="11.25" x14ac:dyDescent="0.2">
      <c r="A44" s="128"/>
      <c r="B44" s="128"/>
      <c r="C44" s="128"/>
      <c r="D44" s="614"/>
      <c r="E44" s="950"/>
      <c r="F44" s="950"/>
      <c r="G44" s="950"/>
      <c r="H44" s="950"/>
      <c r="I44" s="949"/>
      <c r="J44" s="949"/>
      <c r="K44" s="949"/>
      <c r="L44" s="949"/>
      <c r="M44" s="949"/>
      <c r="N44" s="949"/>
      <c r="O44" s="948"/>
      <c r="P44" s="1883"/>
      <c r="Q44" s="1883"/>
      <c r="R44" s="117"/>
      <c r="S44" s="117"/>
    </row>
    <row r="45" spans="1:19" s="77" customFormat="1" ht="11.25" x14ac:dyDescent="0.2">
      <c r="A45" s="128"/>
      <c r="B45" s="128"/>
      <c r="C45" s="128"/>
      <c r="D45" s="614"/>
      <c r="E45" s="950"/>
      <c r="F45" s="950"/>
      <c r="G45" s="950"/>
      <c r="H45" s="950"/>
      <c r="I45" s="949"/>
      <c r="J45" s="949"/>
      <c r="K45" s="949"/>
      <c r="L45" s="949"/>
      <c r="M45" s="949"/>
      <c r="N45" s="949"/>
      <c r="O45" s="948"/>
      <c r="P45" s="1883"/>
      <c r="Q45" s="1883"/>
      <c r="R45" s="117"/>
      <c r="S45" s="117"/>
    </row>
    <row r="46" spans="1:19" s="77" customFormat="1" ht="11.25" x14ac:dyDescent="0.2">
      <c r="A46" s="128"/>
      <c r="B46" s="128"/>
      <c r="C46" s="128"/>
      <c r="D46" s="614"/>
      <c r="E46" s="950"/>
      <c r="F46" s="950"/>
      <c r="G46" s="950"/>
      <c r="H46" s="950"/>
      <c r="I46" s="949"/>
      <c r="J46" s="949"/>
      <c r="K46" s="949"/>
      <c r="L46" s="949"/>
      <c r="M46" s="949"/>
      <c r="N46" s="949"/>
      <c r="O46" s="948"/>
      <c r="P46" s="1883"/>
      <c r="Q46" s="1883"/>
      <c r="R46" s="117"/>
      <c r="S46" s="117"/>
    </row>
    <row r="47" spans="1:19" s="77" customFormat="1" ht="11.25" x14ac:dyDescent="0.2">
      <c r="A47" s="128"/>
      <c r="B47" s="128"/>
      <c r="C47" s="128"/>
      <c r="D47" s="614"/>
      <c r="E47" s="950"/>
      <c r="F47" s="950"/>
      <c r="G47" s="950"/>
      <c r="H47" s="950"/>
      <c r="I47" s="949"/>
      <c r="J47" s="949"/>
      <c r="K47" s="949"/>
      <c r="L47" s="949"/>
      <c r="M47" s="949"/>
      <c r="N47" s="949"/>
      <c r="O47" s="948"/>
      <c r="P47" s="1883"/>
      <c r="Q47" s="1883"/>
      <c r="R47" s="117"/>
      <c r="S47" s="117"/>
    </row>
    <row r="48" spans="1:19" s="77" customFormat="1" ht="11.25" x14ac:dyDescent="0.2">
      <c r="A48" s="128"/>
      <c r="B48" s="128"/>
      <c r="C48" s="128"/>
      <c r="D48" s="614"/>
      <c r="E48" s="950"/>
      <c r="F48" s="950"/>
      <c r="G48" s="950"/>
      <c r="H48" s="950"/>
      <c r="I48" s="949"/>
      <c r="J48" s="949"/>
      <c r="K48" s="949"/>
      <c r="L48" s="949"/>
      <c r="M48" s="949"/>
      <c r="N48" s="949"/>
      <c r="O48" s="948"/>
      <c r="P48" s="1883"/>
      <c r="Q48" s="1883"/>
      <c r="R48" s="117"/>
      <c r="S48" s="117"/>
    </row>
    <row r="49" spans="1:39" s="77" customFormat="1" ht="11.25" x14ac:dyDescent="0.2">
      <c r="A49" s="128"/>
      <c r="B49" s="128"/>
      <c r="C49" s="128"/>
      <c r="D49" s="614"/>
      <c r="E49" s="950"/>
      <c r="F49" s="950"/>
      <c r="G49" s="950"/>
      <c r="H49" s="950"/>
      <c r="I49" s="949"/>
      <c r="J49" s="949"/>
      <c r="K49" s="949"/>
      <c r="L49" s="949"/>
      <c r="M49" s="949"/>
      <c r="N49" s="949"/>
      <c r="O49" s="948"/>
      <c r="P49" s="1883"/>
      <c r="Q49" s="1883"/>
      <c r="R49" s="117"/>
      <c r="S49" s="117"/>
    </row>
    <row r="50" spans="1:39" s="77" customFormat="1" ht="11.25" x14ac:dyDescent="0.2">
      <c r="A50" s="128"/>
      <c r="B50" s="128"/>
      <c r="C50" s="128"/>
      <c r="D50" s="276"/>
      <c r="E50" s="947"/>
      <c r="F50" s="947"/>
      <c r="G50" s="947"/>
      <c r="H50" s="947"/>
      <c r="I50" s="946"/>
      <c r="J50" s="946"/>
      <c r="K50" s="946"/>
      <c r="L50" s="946"/>
      <c r="M50" s="946"/>
      <c r="N50" s="946"/>
      <c r="O50" s="946"/>
      <c r="P50" s="1883"/>
      <c r="Q50" s="1883"/>
      <c r="R50" s="117"/>
      <c r="S50" s="117"/>
    </row>
    <row r="51" spans="1:39" ht="14.25" customHeight="1" x14ac:dyDescent="0.2">
      <c r="A51" s="453">
        <v>6</v>
      </c>
      <c r="B51" s="453" t="s">
        <v>78</v>
      </c>
      <c r="C51" s="453"/>
      <c r="D51" s="3553" t="s">
        <v>745</v>
      </c>
      <c r="E51" s="3554"/>
      <c r="F51" s="3554"/>
      <c r="G51" s="3554"/>
      <c r="H51" s="3554"/>
      <c r="I51" s="3554"/>
      <c r="J51" s="3554"/>
      <c r="K51" s="3554"/>
      <c r="L51" s="3554"/>
      <c r="M51" s="3554"/>
      <c r="N51" s="3554"/>
      <c r="O51" s="3554"/>
      <c r="P51" s="3554"/>
      <c r="Q51" s="3554"/>
      <c r="R51" s="3554"/>
      <c r="S51" s="3554"/>
      <c r="T51" s="3554"/>
      <c r="U51" s="3554"/>
      <c r="V51" s="3554"/>
      <c r="W51" s="3554"/>
      <c r="X51" s="3554"/>
      <c r="Y51" s="3554"/>
      <c r="Z51" s="3555"/>
    </row>
    <row r="52" spans="1:39" ht="54" customHeight="1" x14ac:dyDescent="0.2">
      <c r="A52" s="472">
        <v>7</v>
      </c>
      <c r="B52" s="472" t="s">
        <v>80</v>
      </c>
      <c r="C52" s="472"/>
      <c r="D52" s="3790" t="s">
        <v>744</v>
      </c>
      <c r="E52" s="3791"/>
      <c r="F52" s="3791"/>
      <c r="G52" s="3791"/>
      <c r="H52" s="3791"/>
      <c r="I52" s="3791"/>
      <c r="J52" s="3791"/>
      <c r="K52" s="3791"/>
      <c r="L52" s="3791"/>
      <c r="M52" s="3791"/>
      <c r="N52" s="3791"/>
      <c r="O52" s="3791"/>
      <c r="P52" s="3791"/>
      <c r="Q52" s="3791"/>
      <c r="R52" s="3791"/>
      <c r="S52" s="3791"/>
      <c r="T52" s="3791"/>
      <c r="U52" s="3791"/>
      <c r="V52" s="3791"/>
      <c r="W52" s="3791"/>
      <c r="X52" s="3791"/>
      <c r="Y52" s="3791"/>
      <c r="Z52" s="3792"/>
    </row>
    <row r="53" spans="1:39" ht="14.25" customHeight="1" x14ac:dyDescent="0.2">
      <c r="A53" s="453">
        <v>8</v>
      </c>
      <c r="B53" s="453" t="s">
        <v>20</v>
      </c>
      <c r="C53" s="453"/>
      <c r="D53" s="3553" t="s">
        <v>743</v>
      </c>
      <c r="E53" s="3554"/>
      <c r="F53" s="3554"/>
      <c r="G53" s="3554"/>
      <c r="H53" s="3554"/>
      <c r="I53" s="3554"/>
      <c r="J53" s="3554"/>
      <c r="K53" s="3554"/>
      <c r="L53" s="3554"/>
      <c r="M53" s="3554"/>
      <c r="N53" s="3554"/>
      <c r="O53" s="3554"/>
      <c r="P53" s="3554"/>
      <c r="Q53" s="3554"/>
      <c r="R53" s="3554"/>
      <c r="S53" s="3554"/>
      <c r="T53" s="3554"/>
      <c r="U53" s="3554"/>
      <c r="V53" s="3554"/>
      <c r="W53" s="3554"/>
      <c r="X53" s="3554"/>
      <c r="Y53" s="3554"/>
      <c r="Z53" s="3555"/>
      <c r="AM53" s="1664"/>
    </row>
    <row r="54" spans="1:39" ht="71.25" customHeight="1" x14ac:dyDescent="0.2">
      <c r="A54" s="453">
        <v>9</v>
      </c>
      <c r="B54" s="453" t="s">
        <v>83</v>
      </c>
      <c r="C54" s="453"/>
      <c r="D54" s="3553" t="s">
        <v>742</v>
      </c>
      <c r="E54" s="3554"/>
      <c r="F54" s="3554"/>
      <c r="G54" s="3554"/>
      <c r="H54" s="3554"/>
      <c r="I54" s="3554"/>
      <c r="J54" s="3554"/>
      <c r="K54" s="3554"/>
      <c r="L54" s="3554"/>
      <c r="M54" s="3554"/>
      <c r="N54" s="3554"/>
      <c r="O54" s="3554"/>
      <c r="P54" s="3554"/>
      <c r="Q54" s="3554"/>
      <c r="R54" s="3554"/>
      <c r="S54" s="3554"/>
      <c r="T54" s="3554"/>
      <c r="U54" s="3554"/>
      <c r="V54" s="3554"/>
      <c r="W54" s="3554"/>
      <c r="X54" s="3554"/>
      <c r="Y54" s="3554"/>
      <c r="Z54" s="3555"/>
      <c r="AM54" s="1664"/>
    </row>
    <row r="55" spans="1:39" ht="15" customHeight="1" x14ac:dyDescent="0.2">
      <c r="A55" s="1170"/>
      <c r="B55" s="886"/>
      <c r="C55" s="886"/>
      <c r="E55" s="208"/>
      <c r="AM55" s="1664"/>
    </row>
    <row r="56" spans="1:39" x14ac:dyDescent="0.2">
      <c r="AM56" s="1664"/>
    </row>
    <row r="57" spans="1:39" x14ac:dyDescent="0.2">
      <c r="E57" s="797"/>
      <c r="F57" s="797"/>
      <c r="G57" s="797"/>
      <c r="H57" s="797"/>
      <c r="I57" s="797"/>
      <c r="J57" s="797"/>
      <c r="K57" s="797"/>
      <c r="L57" s="797"/>
      <c r="M57" s="797"/>
      <c r="N57" s="797"/>
      <c r="O57" s="797"/>
      <c r="P57" s="959"/>
      <c r="Q57" s="959"/>
    </row>
    <row r="58" spans="1:39" x14ac:dyDescent="0.2">
      <c r="E58" s="797"/>
      <c r="F58" s="797"/>
      <c r="G58" s="797"/>
      <c r="H58" s="797"/>
      <c r="I58" s="797"/>
      <c r="J58" s="797"/>
      <c r="K58" s="797"/>
      <c r="L58" s="797"/>
      <c r="M58" s="797"/>
      <c r="N58" s="797"/>
      <c r="O58" s="797"/>
      <c r="P58" s="959"/>
      <c r="Q58" s="959"/>
    </row>
    <row r="62" spans="1:39" x14ac:dyDescent="0.2">
      <c r="D62" s="179"/>
    </row>
  </sheetData>
  <mergeCells count="9">
    <mergeCell ref="D53:Z53"/>
    <mergeCell ref="D54:Z54"/>
    <mergeCell ref="K12:N12"/>
    <mergeCell ref="A17:C17"/>
    <mergeCell ref="D2:Z2"/>
    <mergeCell ref="D3:Z3"/>
    <mergeCell ref="D4:Z4"/>
    <mergeCell ref="D51:Z51"/>
    <mergeCell ref="D52:Z52"/>
  </mergeCells>
  <pageMargins left="0.74803149606299213" right="0.74803149606299213" top="0.98425196850393704" bottom="0.98425196850393704" header="0.51181102362204722" footer="0.51181102362204722"/>
  <pageSetup paperSize="9" scale="3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B46"/>
  <sheetViews>
    <sheetView showGridLines="0" view="pageBreakPreview" zoomScaleNormal="100" zoomScaleSheetLayoutView="100" workbookViewId="0">
      <selection activeCell="D14" sqref="D14:D24"/>
    </sheetView>
  </sheetViews>
  <sheetFormatPr defaultColWidth="8.85546875" defaultRowHeight="15" x14ac:dyDescent="0.2"/>
  <cols>
    <col min="1" max="1" width="3.7109375" style="1663" customWidth="1"/>
    <col min="2" max="2" width="14.42578125" style="1663" customWidth="1"/>
    <col min="3" max="3" width="3.7109375" style="1663" customWidth="1"/>
    <col min="4" max="4" width="15.28515625" style="1664" customWidth="1"/>
    <col min="5" max="25" width="8.7109375" style="1664" customWidth="1"/>
    <col min="26" max="27" width="8.85546875" style="1664"/>
    <col min="28" max="28" width="10.28515625" style="1664" bestFit="1" customWidth="1"/>
    <col min="29" max="16384" width="8.85546875" style="1664"/>
  </cols>
  <sheetData>
    <row r="2" spans="1:28" ht="12.75" customHeight="1" x14ac:dyDescent="0.2">
      <c r="A2" s="835">
        <v>1</v>
      </c>
      <c r="B2" s="835" t="s">
        <v>24</v>
      </c>
      <c r="C2" s="835">
        <f>1+'[10]Land restitution'!C2</f>
        <v>33</v>
      </c>
      <c r="D2" s="3632" t="s">
        <v>846</v>
      </c>
      <c r="E2" s="3633"/>
      <c r="F2" s="3633"/>
      <c r="G2" s="3633"/>
      <c r="H2" s="3633"/>
      <c r="I2" s="3633"/>
      <c r="J2" s="3633"/>
      <c r="K2" s="3633"/>
      <c r="L2" s="3633"/>
      <c r="M2" s="3633"/>
      <c r="N2" s="3633"/>
      <c r="O2" s="3633"/>
      <c r="P2" s="3633"/>
      <c r="Q2" s="3633"/>
      <c r="R2" s="3633"/>
      <c r="S2" s="3633"/>
      <c r="T2" s="3633"/>
      <c r="U2" s="3633"/>
      <c r="V2" s="3633"/>
      <c r="W2" s="3633"/>
      <c r="X2" s="3633"/>
      <c r="Y2" s="3633"/>
      <c r="Z2" s="3633"/>
      <c r="AA2" s="3633"/>
      <c r="AB2" s="3634"/>
    </row>
    <row r="3" spans="1:28" ht="15" customHeight="1" x14ac:dyDescent="0.2">
      <c r="A3" s="835">
        <v>2</v>
      </c>
      <c r="B3" s="835" t="s">
        <v>26</v>
      </c>
      <c r="C3" s="835"/>
      <c r="D3" s="3632" t="s">
        <v>833</v>
      </c>
      <c r="E3" s="3633"/>
      <c r="F3" s="3633"/>
      <c r="G3" s="3633"/>
      <c r="H3" s="3633"/>
      <c r="I3" s="3633"/>
      <c r="J3" s="3633"/>
      <c r="K3" s="3633"/>
      <c r="L3" s="3633"/>
      <c r="M3" s="3633"/>
      <c r="N3" s="3633"/>
      <c r="O3" s="3633"/>
      <c r="P3" s="3633"/>
      <c r="Q3" s="3633"/>
      <c r="R3" s="3633"/>
      <c r="S3" s="3633"/>
      <c r="T3" s="3633"/>
      <c r="U3" s="3633"/>
      <c r="V3" s="3633"/>
      <c r="W3" s="3633"/>
      <c r="X3" s="3633"/>
      <c r="Y3" s="3633"/>
      <c r="Z3" s="3633"/>
      <c r="AA3" s="3633"/>
      <c r="AB3" s="3634"/>
    </row>
    <row r="4" spans="1:28" ht="12.75" customHeight="1" x14ac:dyDescent="0.2">
      <c r="A4" s="835">
        <v>3</v>
      </c>
      <c r="B4" s="835" t="s">
        <v>28</v>
      </c>
      <c r="C4" s="835"/>
      <c r="D4" s="3632" t="s">
        <v>845</v>
      </c>
      <c r="E4" s="3633"/>
      <c r="F4" s="3633"/>
      <c r="G4" s="3633"/>
      <c r="H4" s="3633"/>
      <c r="I4" s="3633"/>
      <c r="J4" s="3633"/>
      <c r="K4" s="3633"/>
      <c r="L4" s="3633"/>
      <c r="M4" s="3633"/>
      <c r="N4" s="3633"/>
      <c r="O4" s="3633"/>
      <c r="P4" s="3633"/>
      <c r="Q4" s="3633"/>
      <c r="R4" s="3633"/>
      <c r="S4" s="3633"/>
      <c r="T4" s="3633"/>
      <c r="U4" s="3633"/>
      <c r="V4" s="3633"/>
      <c r="W4" s="3633"/>
      <c r="X4" s="3633"/>
      <c r="Y4" s="3633"/>
      <c r="Z4" s="3633"/>
      <c r="AA4" s="3633"/>
      <c r="AB4" s="3634"/>
    </row>
    <row r="5" spans="1:28" x14ac:dyDescent="0.2">
      <c r="C5" s="418"/>
      <c r="D5" s="964"/>
      <c r="E5" s="964"/>
      <c r="F5" s="964"/>
      <c r="G5" s="964"/>
      <c r="H5" s="984"/>
      <c r="I5" s="984"/>
      <c r="J5" s="964"/>
      <c r="K5" s="964"/>
      <c r="L5" s="964"/>
      <c r="M5" s="964"/>
      <c r="N5" s="964"/>
      <c r="O5" s="964"/>
      <c r="P5" s="964"/>
      <c r="Q5" s="964"/>
      <c r="R5" s="964"/>
    </row>
    <row r="6" spans="1:28" x14ac:dyDescent="0.2">
      <c r="A6" s="835">
        <v>4</v>
      </c>
      <c r="B6" s="418" t="s">
        <v>1</v>
      </c>
      <c r="D6" s="983" t="s">
        <v>93</v>
      </c>
      <c r="E6" s="983" t="s">
        <v>844</v>
      </c>
      <c r="F6" s="436"/>
      <c r="G6" s="436"/>
      <c r="H6" s="436"/>
      <c r="I6" s="436"/>
      <c r="J6" s="436"/>
      <c r="K6" s="436"/>
      <c r="L6" s="436"/>
      <c r="M6" s="436"/>
      <c r="N6" s="436"/>
      <c r="O6" s="436"/>
      <c r="P6" s="436"/>
      <c r="Q6" s="432"/>
      <c r="R6" s="432"/>
      <c r="S6" s="432"/>
      <c r="T6" s="432"/>
      <c r="U6" s="432"/>
      <c r="V6" s="432"/>
      <c r="AB6" s="974"/>
    </row>
    <row r="7" spans="1:28" ht="22.9" customHeight="1" x14ac:dyDescent="0.2">
      <c r="D7" s="3032"/>
      <c r="E7" s="1468">
        <v>1994</v>
      </c>
      <c r="F7" s="1468">
        <v>1995</v>
      </c>
      <c r="G7" s="1468">
        <v>1996</v>
      </c>
      <c r="H7" s="1468">
        <v>1997</v>
      </c>
      <c r="I7" s="1468">
        <v>1998</v>
      </c>
      <c r="J7" s="1468">
        <v>1999</v>
      </c>
      <c r="K7" s="1468" t="s">
        <v>839</v>
      </c>
      <c r="L7" s="982" t="s">
        <v>131</v>
      </c>
      <c r="M7" s="982" t="s">
        <v>132</v>
      </c>
      <c r="N7" s="982" t="s">
        <v>133</v>
      </c>
      <c r="O7" s="982" t="s">
        <v>134</v>
      </c>
      <c r="P7" s="982" t="s">
        <v>135</v>
      </c>
      <c r="Q7" s="982" t="s">
        <v>136</v>
      </c>
      <c r="R7" s="982" t="s">
        <v>137</v>
      </c>
      <c r="S7" s="982" t="s">
        <v>138</v>
      </c>
      <c r="T7" s="982" t="s">
        <v>139</v>
      </c>
      <c r="U7" s="981" t="s">
        <v>140</v>
      </c>
      <c r="V7" s="981" t="s">
        <v>141</v>
      </c>
      <c r="W7" s="981" t="s">
        <v>142</v>
      </c>
      <c r="X7" s="981" t="s">
        <v>143</v>
      </c>
      <c r="Y7" s="981" t="s">
        <v>144</v>
      </c>
      <c r="Z7" s="981" t="s">
        <v>145</v>
      </c>
      <c r="AA7" s="2767" t="s">
        <v>334</v>
      </c>
      <c r="AB7" s="974"/>
    </row>
    <row r="8" spans="1:28" s="628" customFormat="1" ht="12.75" x14ac:dyDescent="0.2">
      <c r="A8" s="1791"/>
      <c r="B8" s="1791"/>
      <c r="C8" s="1791"/>
      <c r="D8" s="2946" t="s">
        <v>843</v>
      </c>
      <c r="E8" s="786"/>
      <c r="F8" s="786"/>
      <c r="G8" s="786"/>
      <c r="H8" s="786"/>
      <c r="I8" s="786"/>
      <c r="J8" s="786"/>
      <c r="K8" s="980"/>
      <c r="L8" s="1769"/>
      <c r="M8" s="786">
        <v>214228</v>
      </c>
      <c r="N8" s="786">
        <v>193504</v>
      </c>
      <c r="O8" s="786">
        <v>130810</v>
      </c>
      <c r="P8" s="786">
        <v>262751</v>
      </c>
      <c r="Q8" s="786">
        <v>236268</v>
      </c>
      <c r="R8" s="786">
        <v>2500000</v>
      </c>
      <c r="S8" s="786">
        <v>2500000</v>
      </c>
      <c r="T8" s="786">
        <v>1500000</v>
      </c>
      <c r="U8" s="786">
        <v>656000</v>
      </c>
      <c r="V8" s="786">
        <v>283592</v>
      </c>
      <c r="W8" s="786">
        <v>303612</v>
      </c>
      <c r="X8" s="786">
        <v>321122</v>
      </c>
      <c r="Y8" s="786">
        <v>311917</v>
      </c>
      <c r="Z8" s="786">
        <v>210063</v>
      </c>
      <c r="AA8" s="2771">
        <v>370000</v>
      </c>
      <c r="AB8" s="974"/>
    </row>
    <row r="9" spans="1:28" ht="22.5" x14ac:dyDescent="0.2">
      <c r="D9" s="3274" t="s">
        <v>842</v>
      </c>
      <c r="E9" s="979">
        <v>8678.7134000000005</v>
      </c>
      <c r="F9" s="979">
        <v>10791.642</v>
      </c>
      <c r="G9" s="979">
        <v>42789.037700000001</v>
      </c>
      <c r="H9" s="979">
        <v>103039.3664</v>
      </c>
      <c r="I9" s="979">
        <v>202350.56830000001</v>
      </c>
      <c r="J9" s="979">
        <v>153491.09330000001</v>
      </c>
      <c r="K9" s="979">
        <v>29628.576300000001</v>
      </c>
      <c r="L9" s="979">
        <v>135854.10999999999</v>
      </c>
      <c r="M9" s="979">
        <v>195399.5177</v>
      </c>
      <c r="N9" s="979">
        <v>251063.94690000001</v>
      </c>
      <c r="O9" s="979">
        <v>176719.0165</v>
      </c>
      <c r="P9" s="979">
        <v>207302.02129999999</v>
      </c>
      <c r="Q9" s="979">
        <v>220766.45910000001</v>
      </c>
      <c r="R9" s="979">
        <v>353471.86820000003</v>
      </c>
      <c r="S9" s="979">
        <v>506035.67389999999</v>
      </c>
      <c r="T9" s="979">
        <v>470375.57650000002</v>
      </c>
      <c r="U9" s="978">
        <v>242050.6551</v>
      </c>
      <c r="V9" s="978">
        <v>331794.11790000001</v>
      </c>
      <c r="W9" s="978">
        <v>392858.71519999998</v>
      </c>
      <c r="X9" s="978">
        <v>157556</v>
      </c>
      <c r="Y9" s="978">
        <v>153585.72070000001</v>
      </c>
      <c r="Z9" s="978">
        <v>210396</v>
      </c>
      <c r="AA9" s="2769">
        <v>140670</v>
      </c>
      <c r="AB9" s="974"/>
    </row>
    <row r="10" spans="1:28" x14ac:dyDescent="0.2">
      <c r="D10" s="3273" t="s">
        <v>841</v>
      </c>
      <c r="E10" s="976">
        <v>8678.7134000000005</v>
      </c>
      <c r="F10" s="976">
        <v>19470.3554</v>
      </c>
      <c r="G10" s="976">
        <v>62259.393100000001</v>
      </c>
      <c r="H10" s="976">
        <v>165298.75949999999</v>
      </c>
      <c r="I10" s="976">
        <v>367649.32779999997</v>
      </c>
      <c r="J10" s="976">
        <v>521140.42109999998</v>
      </c>
      <c r="K10" s="976">
        <v>550768.99739999999</v>
      </c>
      <c r="L10" s="976">
        <v>686623.10739999998</v>
      </c>
      <c r="M10" s="976">
        <v>882022.62509999995</v>
      </c>
      <c r="N10" s="976">
        <v>1133086.5719999999</v>
      </c>
      <c r="O10" s="976">
        <v>1309805.5884999998</v>
      </c>
      <c r="P10" s="976">
        <v>1517107.6097999997</v>
      </c>
      <c r="Q10" s="976">
        <v>1737874.0688999998</v>
      </c>
      <c r="R10" s="976">
        <v>2091345.9370999997</v>
      </c>
      <c r="S10" s="976">
        <v>2597381.6109999996</v>
      </c>
      <c r="T10" s="976">
        <v>3067757.1874999995</v>
      </c>
      <c r="U10" s="975">
        <v>3309807.8425999996</v>
      </c>
      <c r="V10" s="975">
        <v>3641601.9604999996</v>
      </c>
      <c r="W10" s="975">
        <v>4034460.6756999996</v>
      </c>
      <c r="X10" s="975">
        <v>4192016.6757</v>
      </c>
      <c r="Y10" s="975">
        <v>4345602.3964</v>
      </c>
      <c r="Z10" s="975">
        <v>4555998.3964</v>
      </c>
      <c r="AA10" s="2770">
        <v>4696668.3964</v>
      </c>
      <c r="AB10" s="974"/>
    </row>
    <row r="11" spans="1:28" x14ac:dyDescent="0.25">
      <c r="F11" s="2285"/>
      <c r="G11" s="2285"/>
      <c r="H11" s="2285"/>
      <c r="I11" s="2285"/>
      <c r="J11" s="2285"/>
      <c r="K11" s="2286"/>
      <c r="L11" s="2285"/>
      <c r="M11" s="2285"/>
      <c r="N11" s="2285"/>
      <c r="O11" s="2285"/>
      <c r="P11" s="2285"/>
      <c r="Q11" s="2285"/>
      <c r="R11" s="2285"/>
      <c r="S11" s="2285"/>
      <c r="T11" s="2285"/>
      <c r="U11" s="2285"/>
      <c r="V11" s="2285"/>
      <c r="W11" s="2285"/>
      <c r="X11" s="2285"/>
      <c r="Y11" s="2285"/>
    </row>
    <row r="12" spans="1:28" x14ac:dyDescent="0.25">
      <c r="F12" s="2285"/>
      <c r="G12" s="2285"/>
      <c r="H12" s="2285"/>
      <c r="I12" s="2285"/>
      <c r="J12" s="2285"/>
      <c r="K12" s="2285"/>
      <c r="L12" s="2285"/>
      <c r="M12" s="2285"/>
      <c r="N12" s="2285"/>
      <c r="O12" s="2285"/>
      <c r="P12" s="2285"/>
      <c r="Q12" s="2285"/>
      <c r="R12" s="2285"/>
      <c r="S12" s="2285"/>
      <c r="T12" s="2285"/>
      <c r="U12" s="2285"/>
      <c r="V12" s="2285"/>
      <c r="W12" s="2285"/>
      <c r="X12" s="2285"/>
      <c r="Y12" s="2285"/>
      <c r="Z12" s="2287"/>
      <c r="AA12" s="2287"/>
      <c r="AB12" s="2288"/>
    </row>
    <row r="13" spans="1:28" ht="12.75" customHeight="1" x14ac:dyDescent="0.2">
      <c r="D13" s="629" t="s">
        <v>103</v>
      </c>
      <c r="E13" s="973" t="s">
        <v>840</v>
      </c>
      <c r="F13" s="957"/>
      <c r="G13" s="957"/>
      <c r="H13" s="957"/>
      <c r="I13" s="957"/>
      <c r="J13" s="957"/>
      <c r="K13" s="957"/>
      <c r="L13" s="957"/>
      <c r="M13" s="957"/>
      <c r="N13" s="957"/>
      <c r="O13" s="957"/>
      <c r="P13" s="957"/>
      <c r="Q13" s="957"/>
      <c r="R13" s="957"/>
      <c r="S13" s="957"/>
      <c r="T13" s="957"/>
      <c r="U13" s="957"/>
      <c r="V13" s="957"/>
      <c r="W13" s="957"/>
    </row>
    <row r="14" spans="1:28" ht="22.9" customHeight="1" x14ac:dyDescent="0.2">
      <c r="D14" s="3275"/>
      <c r="E14" s="971">
        <v>1994</v>
      </c>
      <c r="F14" s="971">
        <v>1995</v>
      </c>
      <c r="G14" s="971">
        <v>1996</v>
      </c>
      <c r="H14" s="971">
        <v>1997</v>
      </c>
      <c r="I14" s="971">
        <v>1998</v>
      </c>
      <c r="J14" s="971">
        <v>1999</v>
      </c>
      <c r="K14" s="971" t="s">
        <v>839</v>
      </c>
      <c r="L14" s="971" t="s">
        <v>131</v>
      </c>
      <c r="M14" s="971" t="s">
        <v>132</v>
      </c>
      <c r="N14" s="971" t="s">
        <v>133</v>
      </c>
      <c r="O14" s="971" t="s">
        <v>134</v>
      </c>
      <c r="P14" s="971" t="s">
        <v>135</v>
      </c>
      <c r="Q14" s="971" t="s">
        <v>136</v>
      </c>
      <c r="R14" s="971" t="s">
        <v>137</v>
      </c>
      <c r="S14" s="971" t="s">
        <v>138</v>
      </c>
      <c r="T14" s="971" t="s">
        <v>139</v>
      </c>
      <c r="U14" s="971" t="s">
        <v>140</v>
      </c>
      <c r="V14" s="971" t="s">
        <v>141</v>
      </c>
      <c r="W14" s="972" t="s">
        <v>142</v>
      </c>
      <c r="X14" s="972" t="s">
        <v>143</v>
      </c>
      <c r="Y14" s="972" t="s">
        <v>144</v>
      </c>
      <c r="Z14" s="972" t="s">
        <v>145</v>
      </c>
      <c r="AA14" s="972" t="s">
        <v>334</v>
      </c>
      <c r="AB14" s="2772" t="s">
        <v>261</v>
      </c>
    </row>
    <row r="15" spans="1:28" ht="12.75" x14ac:dyDescent="0.2">
      <c r="A15" s="835"/>
      <c r="B15" s="418"/>
      <c r="C15" s="418"/>
      <c r="D15" s="2948" t="s">
        <v>415</v>
      </c>
      <c r="E15" s="968" t="s">
        <v>838</v>
      </c>
      <c r="F15" s="968" t="s">
        <v>838</v>
      </c>
      <c r="G15" s="968">
        <v>5210.4286000000002</v>
      </c>
      <c r="H15" s="968">
        <v>4037.1469000000002</v>
      </c>
      <c r="I15" s="968">
        <v>9443.3546999999999</v>
      </c>
      <c r="J15" s="968">
        <v>13828.277099999999</v>
      </c>
      <c r="K15" s="968">
        <v>7452.03</v>
      </c>
      <c r="L15" s="968">
        <v>6738.5277999999998</v>
      </c>
      <c r="M15" s="968">
        <v>11170.854300000001</v>
      </c>
      <c r="N15" s="968">
        <v>43103.532700000003</v>
      </c>
      <c r="O15" s="968">
        <v>43872.503900000003</v>
      </c>
      <c r="P15" s="968">
        <v>38444.339899999999</v>
      </c>
      <c r="Q15" s="968">
        <v>26509.529200000001</v>
      </c>
      <c r="R15" s="968">
        <v>29743.615600000001</v>
      </c>
      <c r="S15" s="968">
        <v>16541.985400000001</v>
      </c>
      <c r="T15" s="968">
        <v>53067.5288</v>
      </c>
      <c r="U15" s="968">
        <v>39677.963100000001</v>
      </c>
      <c r="V15" s="968">
        <v>40899.465799999998</v>
      </c>
      <c r="W15" s="968">
        <v>66021.235199999996</v>
      </c>
      <c r="X15" s="968">
        <v>18985.183099999998</v>
      </c>
      <c r="Y15" s="968">
        <v>27770.52</v>
      </c>
      <c r="Z15" s="968">
        <v>18223.8331</v>
      </c>
      <c r="AA15" s="968">
        <v>15527</v>
      </c>
      <c r="AB15" s="2773">
        <v>536268.85519999999</v>
      </c>
    </row>
    <row r="16" spans="1:28" x14ac:dyDescent="0.2">
      <c r="A16" s="965"/>
      <c r="B16" s="970"/>
      <c r="C16" s="970"/>
      <c r="D16" s="2948" t="s">
        <v>417</v>
      </c>
      <c r="E16" s="968">
        <v>166.06010000000001</v>
      </c>
      <c r="F16" s="968">
        <v>4.2827000000000002</v>
      </c>
      <c r="G16" s="968">
        <v>5004.2305999999999</v>
      </c>
      <c r="H16" s="968">
        <v>6571.6778999999997</v>
      </c>
      <c r="I16" s="968">
        <v>32309.56</v>
      </c>
      <c r="J16" s="968">
        <v>15140.6621</v>
      </c>
      <c r="K16" s="968">
        <v>1695.8371</v>
      </c>
      <c r="L16" s="968">
        <v>329.15899999999999</v>
      </c>
      <c r="M16" s="968">
        <v>14403.255300000001</v>
      </c>
      <c r="N16" s="968">
        <v>22633.7117</v>
      </c>
      <c r="O16" s="968">
        <v>18024.585500000001</v>
      </c>
      <c r="P16" s="968">
        <v>9292.8292000000001</v>
      </c>
      <c r="Q16" s="968">
        <v>25686.4866</v>
      </c>
      <c r="R16" s="968">
        <v>24988.813099999999</v>
      </c>
      <c r="S16" s="968">
        <v>32246.399099999999</v>
      </c>
      <c r="T16" s="968">
        <v>64242.280500000001</v>
      </c>
      <c r="U16" s="968">
        <v>30211.578600000001</v>
      </c>
      <c r="V16" s="968">
        <v>10403.818300000001</v>
      </c>
      <c r="W16" s="968">
        <v>42690.324399999998</v>
      </c>
      <c r="X16" s="968">
        <v>16167.8053</v>
      </c>
      <c r="Y16" s="968">
        <v>15384.748299999999</v>
      </c>
      <c r="Z16" s="968">
        <v>10789.9802</v>
      </c>
      <c r="AA16" s="968">
        <v>8275</v>
      </c>
      <c r="AB16" s="2773">
        <v>406663.08559999999</v>
      </c>
    </row>
    <row r="17" spans="1:28" x14ac:dyDescent="0.2">
      <c r="A17" s="965"/>
      <c r="B17" s="2289"/>
      <c r="C17" s="2289"/>
      <c r="D17" s="2948" t="s">
        <v>420</v>
      </c>
      <c r="E17" s="968" t="s">
        <v>838</v>
      </c>
      <c r="F17" s="968" t="s">
        <v>838</v>
      </c>
      <c r="G17" s="968" t="s">
        <v>838</v>
      </c>
      <c r="H17" s="968">
        <v>83.540400000000005</v>
      </c>
      <c r="I17" s="968">
        <v>210.6686</v>
      </c>
      <c r="J17" s="968">
        <v>1966.6780000000001</v>
      </c>
      <c r="K17" s="968">
        <v>816.7242</v>
      </c>
      <c r="L17" s="968">
        <v>1348.7022999999999</v>
      </c>
      <c r="M17" s="968">
        <v>69.833699999999993</v>
      </c>
      <c r="N17" s="968">
        <v>832.66250000000002</v>
      </c>
      <c r="O17" s="968">
        <v>2732.4944</v>
      </c>
      <c r="P17" s="968">
        <v>1351.0510999999999</v>
      </c>
      <c r="Q17" s="968">
        <v>1947.0028</v>
      </c>
      <c r="R17" s="968">
        <v>9402.5277000000006</v>
      </c>
      <c r="S17" s="968">
        <v>9995.6983</v>
      </c>
      <c r="T17" s="968">
        <v>2888.462</v>
      </c>
      <c r="U17" s="968">
        <v>1753.5762</v>
      </c>
      <c r="V17" s="968">
        <v>3267.7377999999999</v>
      </c>
      <c r="W17" s="968">
        <v>3357.4146999999998</v>
      </c>
      <c r="X17" s="968">
        <v>3265.3395999999998</v>
      </c>
      <c r="Y17" s="968">
        <v>4423.7372999999998</v>
      </c>
      <c r="Z17" s="968">
        <v>6783.784599999999</v>
      </c>
      <c r="AA17" s="968">
        <v>2780</v>
      </c>
      <c r="AB17" s="2773">
        <v>59277.636200000008</v>
      </c>
    </row>
    <row r="18" spans="1:28" x14ac:dyDescent="0.2">
      <c r="A18" s="965"/>
      <c r="B18" s="2289"/>
      <c r="C18" s="2289"/>
      <c r="D18" s="2948" t="s">
        <v>418</v>
      </c>
      <c r="E18" s="968">
        <v>8512.6532999999999</v>
      </c>
      <c r="F18" s="968">
        <v>9775.8080000000009</v>
      </c>
      <c r="G18" s="968">
        <v>19749.053199999998</v>
      </c>
      <c r="H18" s="968">
        <v>6128.6477999999997</v>
      </c>
      <c r="I18" s="968">
        <v>18397.166700000002</v>
      </c>
      <c r="J18" s="968">
        <v>11302.566000000001</v>
      </c>
      <c r="K18" s="968">
        <v>8918.3166999999994</v>
      </c>
      <c r="L18" s="968">
        <v>10933.6513</v>
      </c>
      <c r="M18" s="968">
        <v>32075.470499999999</v>
      </c>
      <c r="N18" s="968">
        <v>16799.2925</v>
      </c>
      <c r="O18" s="968">
        <v>29288.977500000001</v>
      </c>
      <c r="P18" s="968">
        <v>42592.515700000004</v>
      </c>
      <c r="Q18" s="968">
        <v>41583.442300000002</v>
      </c>
      <c r="R18" s="968">
        <v>29075.413199999999</v>
      </c>
      <c r="S18" s="968">
        <v>34048.255499999999</v>
      </c>
      <c r="T18" s="968">
        <v>66495.837</v>
      </c>
      <c r="U18" s="968">
        <v>43582.389600000002</v>
      </c>
      <c r="V18" s="968">
        <v>25974.334599999998</v>
      </c>
      <c r="W18" s="968">
        <v>27175.652900000001</v>
      </c>
      <c r="X18" s="968">
        <v>18294.444500000001</v>
      </c>
      <c r="Y18" s="968">
        <v>21938.266</v>
      </c>
      <c r="Z18" s="968">
        <v>26772.1224</v>
      </c>
      <c r="AA18" s="968">
        <v>19286</v>
      </c>
      <c r="AB18" s="2773">
        <v>568700.27720000001</v>
      </c>
    </row>
    <row r="19" spans="1:28" x14ac:dyDescent="0.2">
      <c r="A19" s="965"/>
      <c r="B19" s="2289"/>
      <c r="C19" s="2289"/>
      <c r="D19" s="2948" t="s">
        <v>422</v>
      </c>
      <c r="E19" s="968" t="s">
        <v>838</v>
      </c>
      <c r="F19" s="968" t="s">
        <v>838</v>
      </c>
      <c r="G19" s="968">
        <v>71.092200000000005</v>
      </c>
      <c r="H19" s="968">
        <v>2734.4141</v>
      </c>
      <c r="I19" s="968">
        <v>7036.0612000000001</v>
      </c>
      <c r="J19" s="968">
        <v>2616.3822</v>
      </c>
      <c r="K19" s="968">
        <v>1173.4906000000001</v>
      </c>
      <c r="L19" s="968">
        <v>9811.6119999999992</v>
      </c>
      <c r="M19" s="968">
        <v>7049.8671000000004</v>
      </c>
      <c r="N19" s="968">
        <v>5243.6696000000002</v>
      </c>
      <c r="O19" s="968">
        <v>3393.8661000000002</v>
      </c>
      <c r="P19" s="968">
        <v>2392.1891999999998</v>
      </c>
      <c r="Q19" s="968">
        <v>3758.4521</v>
      </c>
      <c r="R19" s="968">
        <v>8035.9074000000001</v>
      </c>
      <c r="S19" s="968">
        <v>11153.4434</v>
      </c>
      <c r="T19" s="968">
        <v>14649.125899999999</v>
      </c>
      <c r="U19" s="968">
        <v>14703.984399999999</v>
      </c>
      <c r="V19" s="968">
        <v>6558.1170000000002</v>
      </c>
      <c r="W19" s="968">
        <v>24554.830300000001</v>
      </c>
      <c r="X19" s="968">
        <v>8297.1245999999992</v>
      </c>
      <c r="Y19" s="968">
        <v>1971.4822999999999</v>
      </c>
      <c r="Z19" s="968">
        <v>12214.555400000001</v>
      </c>
      <c r="AA19" s="968">
        <v>13180</v>
      </c>
      <c r="AB19" s="2773">
        <v>160599.66710000002</v>
      </c>
    </row>
    <row r="20" spans="1:28" x14ac:dyDescent="0.2">
      <c r="A20" s="965"/>
      <c r="B20" s="965"/>
      <c r="C20" s="965"/>
      <c r="D20" s="2948" t="s">
        <v>421</v>
      </c>
      <c r="E20" s="968" t="s">
        <v>838</v>
      </c>
      <c r="F20" s="968" t="s">
        <v>838</v>
      </c>
      <c r="G20" s="968">
        <v>12416.332200000001</v>
      </c>
      <c r="H20" s="968">
        <v>7341.4938000000002</v>
      </c>
      <c r="I20" s="968">
        <v>4721.0447000000004</v>
      </c>
      <c r="J20" s="968">
        <v>3929.7680999999998</v>
      </c>
      <c r="K20" s="968">
        <v>5008.3226999999997</v>
      </c>
      <c r="L20" s="968">
        <v>22101.490099999999</v>
      </c>
      <c r="M20" s="968">
        <v>30849.617200000001</v>
      </c>
      <c r="N20" s="968">
        <v>59826.4683</v>
      </c>
      <c r="O20" s="968">
        <v>20010.2978</v>
      </c>
      <c r="P20" s="968">
        <v>19279.567899999998</v>
      </c>
      <c r="Q20" s="968">
        <v>6287.3225000000002</v>
      </c>
      <c r="R20" s="968">
        <v>12786.4089</v>
      </c>
      <c r="S20" s="968">
        <v>45252.177000000003</v>
      </c>
      <c r="T20" s="968">
        <v>53945.056100000002</v>
      </c>
      <c r="U20" s="968">
        <v>29081.303500000002</v>
      </c>
      <c r="V20" s="968">
        <v>37561.054100000001</v>
      </c>
      <c r="W20" s="968">
        <v>36336.222800000003</v>
      </c>
      <c r="X20" s="968">
        <v>20313.554</v>
      </c>
      <c r="Y20" s="968">
        <v>21214.423200000001</v>
      </c>
      <c r="Z20" s="968">
        <v>15893.6342</v>
      </c>
      <c r="AA20" s="968">
        <v>6289</v>
      </c>
      <c r="AB20" s="2773">
        <v>470444.55910000007</v>
      </c>
    </row>
    <row r="21" spans="1:28" x14ac:dyDescent="0.2">
      <c r="A21" s="965"/>
      <c r="B21" s="965"/>
      <c r="C21" s="965"/>
      <c r="D21" s="2948" t="s">
        <v>416</v>
      </c>
      <c r="E21" s="968" t="s">
        <v>838</v>
      </c>
      <c r="F21" s="968" t="s">
        <v>838</v>
      </c>
      <c r="G21" s="968" t="s">
        <v>838</v>
      </c>
      <c r="H21" s="968">
        <v>72795.224700000006</v>
      </c>
      <c r="I21" s="968">
        <v>59858.701500000003</v>
      </c>
      <c r="J21" s="968">
        <v>90561.233500000002</v>
      </c>
      <c r="K21" s="968">
        <v>4479.3342000000002</v>
      </c>
      <c r="L21" s="968">
        <v>80763.5818</v>
      </c>
      <c r="M21" s="968">
        <v>90684.730100000001</v>
      </c>
      <c r="N21" s="968">
        <v>66566.797900000005</v>
      </c>
      <c r="O21" s="968">
        <v>27770.162</v>
      </c>
      <c r="P21" s="968">
        <v>47576.862300000001</v>
      </c>
      <c r="Q21" s="968">
        <v>62333.529900000001</v>
      </c>
      <c r="R21" s="968">
        <v>78513.199500000002</v>
      </c>
      <c r="S21" s="968">
        <v>100931.60619999999</v>
      </c>
      <c r="T21" s="968">
        <v>131976.89939999999</v>
      </c>
      <c r="U21" s="968">
        <v>56827.3416</v>
      </c>
      <c r="V21" s="968">
        <v>165249.459</v>
      </c>
      <c r="W21" s="968">
        <v>148392.24239999999</v>
      </c>
      <c r="X21" s="968">
        <v>36690.8171</v>
      </c>
      <c r="Y21" s="968">
        <v>39397.140700000004</v>
      </c>
      <c r="Z21" s="968">
        <v>59031.302100000001</v>
      </c>
      <c r="AA21" s="968">
        <v>46916</v>
      </c>
      <c r="AB21" s="2773">
        <v>1467316.1659000001</v>
      </c>
    </row>
    <row r="22" spans="1:28" x14ac:dyDescent="0.2">
      <c r="A22" s="965"/>
      <c r="B22" s="965"/>
      <c r="C22" s="965"/>
      <c r="D22" s="2948" t="s">
        <v>419</v>
      </c>
      <c r="E22" s="968" t="s">
        <v>838</v>
      </c>
      <c r="F22" s="968" t="s">
        <v>838</v>
      </c>
      <c r="G22" s="968">
        <v>337.9006</v>
      </c>
      <c r="H22" s="968">
        <v>2219.0700000000002</v>
      </c>
      <c r="I22" s="968">
        <v>3971.95</v>
      </c>
      <c r="J22" s="968">
        <v>8092.6280999999999</v>
      </c>
      <c r="K22" s="968">
        <v>82.4178</v>
      </c>
      <c r="L22" s="968">
        <v>2919.2768000000001</v>
      </c>
      <c r="M22" s="968">
        <v>7684.9502000000002</v>
      </c>
      <c r="N22" s="968">
        <v>28895.8043</v>
      </c>
      <c r="O22" s="968">
        <v>14603.537899999999</v>
      </c>
      <c r="P22" s="968">
        <v>39067.565300000002</v>
      </c>
      <c r="Q22" s="968">
        <v>40244.175999999999</v>
      </c>
      <c r="R22" s="968">
        <v>35919.188999999998</v>
      </c>
      <c r="S22" s="968">
        <v>43656.640500000001</v>
      </c>
      <c r="T22" s="968">
        <v>52870.891199999998</v>
      </c>
      <c r="U22" s="968">
        <v>13041.2137</v>
      </c>
      <c r="V22" s="968">
        <v>28423.027900000001</v>
      </c>
      <c r="W22" s="968">
        <v>39394.549400000004</v>
      </c>
      <c r="X22" s="968">
        <v>31163.548900000002</v>
      </c>
      <c r="Y22" s="968">
        <v>20895.792799999999</v>
      </c>
      <c r="Z22" s="968">
        <v>32118.488700000002</v>
      </c>
      <c r="AA22" s="968">
        <v>27365</v>
      </c>
      <c r="AB22" s="2773">
        <v>472967.61910000001</v>
      </c>
    </row>
    <row r="23" spans="1:28" x14ac:dyDescent="0.2">
      <c r="A23" s="965"/>
      <c r="B23" s="965"/>
      <c r="C23" s="965"/>
      <c r="D23" s="2948" t="s">
        <v>414</v>
      </c>
      <c r="E23" s="968" t="s">
        <v>838</v>
      </c>
      <c r="F23" s="968">
        <v>1011.5513</v>
      </c>
      <c r="G23" s="968" t="s">
        <v>838</v>
      </c>
      <c r="H23" s="968">
        <v>1128.1534999999999</v>
      </c>
      <c r="I23" s="968">
        <v>66402.060899999997</v>
      </c>
      <c r="J23" s="968">
        <v>6052.8981999999996</v>
      </c>
      <c r="K23" s="968">
        <v>2.1030000000000002</v>
      </c>
      <c r="L23" s="968">
        <v>908.10889999999995</v>
      </c>
      <c r="M23" s="968">
        <v>1410.9393</v>
      </c>
      <c r="N23" s="968">
        <v>7162.0074000000004</v>
      </c>
      <c r="O23" s="968">
        <v>17022.591400000001</v>
      </c>
      <c r="P23" s="968">
        <v>7305.1007</v>
      </c>
      <c r="Q23" s="968">
        <v>12416.5177</v>
      </c>
      <c r="R23" s="968">
        <v>125006.7938</v>
      </c>
      <c r="S23" s="968">
        <v>212209.46849999999</v>
      </c>
      <c r="T23" s="968">
        <v>30239.495599999998</v>
      </c>
      <c r="U23" s="968">
        <v>13171.304400000001</v>
      </c>
      <c r="V23" s="968">
        <v>13457.23</v>
      </c>
      <c r="W23" s="968">
        <v>4936.1034</v>
      </c>
      <c r="X23" s="968">
        <v>4378.1952000000001</v>
      </c>
      <c r="Y23" s="968">
        <v>589.61009999999999</v>
      </c>
      <c r="Z23" s="968">
        <v>28568.104800000001</v>
      </c>
      <c r="AA23" s="968">
        <v>1052</v>
      </c>
      <c r="AB23" s="2773">
        <v>554430.33810000005</v>
      </c>
    </row>
    <row r="24" spans="1:28" x14ac:dyDescent="0.2">
      <c r="A24" s="965"/>
      <c r="B24" s="965"/>
      <c r="C24" s="965"/>
      <c r="D24" s="3107" t="s">
        <v>261</v>
      </c>
      <c r="E24" s="969">
        <f t="shared" ref="E24:Z24" si="0">SUM(E15:E23)</f>
        <v>8678.7134000000005</v>
      </c>
      <c r="F24" s="969">
        <f t="shared" si="0"/>
        <v>10791.642</v>
      </c>
      <c r="G24" s="969">
        <f t="shared" si="0"/>
        <v>42789.037399999994</v>
      </c>
      <c r="H24" s="969">
        <f t="shared" si="0"/>
        <v>103039.36910000001</v>
      </c>
      <c r="I24" s="969">
        <f t="shared" si="0"/>
        <v>202350.56829999998</v>
      </c>
      <c r="J24" s="969">
        <f t="shared" si="0"/>
        <v>153491.09330000001</v>
      </c>
      <c r="K24" s="969">
        <f t="shared" si="0"/>
        <v>29628.576300000001</v>
      </c>
      <c r="L24" s="969">
        <f t="shared" si="0"/>
        <v>135854.10999999999</v>
      </c>
      <c r="M24" s="969">
        <f t="shared" si="0"/>
        <v>195399.5177</v>
      </c>
      <c r="N24" s="969">
        <f t="shared" si="0"/>
        <v>251063.94689999998</v>
      </c>
      <c r="O24" s="969">
        <f t="shared" si="0"/>
        <v>176719.0165</v>
      </c>
      <c r="P24" s="969">
        <f t="shared" si="0"/>
        <v>207302.02130000002</v>
      </c>
      <c r="Q24" s="969">
        <f t="shared" si="0"/>
        <v>220766.45910000001</v>
      </c>
      <c r="R24" s="969">
        <f t="shared" si="0"/>
        <v>353471.86819999997</v>
      </c>
      <c r="S24" s="969">
        <f t="shared" si="0"/>
        <v>506035.67389999994</v>
      </c>
      <c r="T24" s="969">
        <f t="shared" si="0"/>
        <v>470375.57650000002</v>
      </c>
      <c r="U24" s="969">
        <f t="shared" si="0"/>
        <v>242050.65509999997</v>
      </c>
      <c r="V24" s="969">
        <f t="shared" si="0"/>
        <v>331794.24449999997</v>
      </c>
      <c r="W24" s="969">
        <f t="shared" si="0"/>
        <v>392858.57550000004</v>
      </c>
      <c r="X24" s="969">
        <f t="shared" si="0"/>
        <v>157556.0123</v>
      </c>
      <c r="Y24" s="969">
        <f t="shared" si="0"/>
        <v>153585.72070000001</v>
      </c>
      <c r="Z24" s="969">
        <f t="shared" si="0"/>
        <v>210395.80549999999</v>
      </c>
      <c r="AA24" s="2290">
        <v>140670</v>
      </c>
      <c r="AB24" s="2774">
        <v>4696668.2034999998</v>
      </c>
    </row>
    <row r="25" spans="1:28" x14ac:dyDescent="0.2">
      <c r="A25" s="965"/>
      <c r="B25" s="965"/>
      <c r="C25" s="965"/>
      <c r="D25" s="967"/>
      <c r="E25" s="968"/>
      <c r="F25" s="968"/>
      <c r="G25" s="968"/>
      <c r="H25" s="968"/>
      <c r="I25" s="968"/>
      <c r="J25" s="968"/>
      <c r="K25" s="968"/>
      <c r="L25" s="968"/>
      <c r="M25" s="968"/>
      <c r="N25" s="968"/>
      <c r="O25" s="968"/>
      <c r="P25" s="968"/>
      <c r="Q25" s="968"/>
      <c r="R25" s="968"/>
      <c r="S25" s="968"/>
      <c r="T25" s="968"/>
      <c r="U25" s="968"/>
      <c r="V25" s="968"/>
      <c r="W25" s="968"/>
      <c r="X25" s="968"/>
      <c r="Y25" s="968"/>
      <c r="Z25" s="968"/>
      <c r="AA25" s="968"/>
    </row>
    <row r="26" spans="1:28" x14ac:dyDescent="0.2">
      <c r="A26" s="965"/>
      <c r="B26" s="965"/>
      <c r="C26" s="965"/>
      <c r="D26" s="967"/>
      <c r="E26" s="966"/>
      <c r="F26" s="966"/>
      <c r="G26" s="966"/>
      <c r="H26" s="966"/>
      <c r="I26" s="966"/>
      <c r="J26" s="966"/>
      <c r="K26" s="966"/>
      <c r="L26" s="966"/>
      <c r="M26" s="966"/>
      <c r="N26" s="966"/>
      <c r="O26" s="966"/>
      <c r="P26" s="966"/>
      <c r="Q26" s="966"/>
      <c r="R26" s="966"/>
      <c r="S26" s="966"/>
      <c r="T26" s="966"/>
      <c r="U26" s="966"/>
      <c r="V26" s="966"/>
      <c r="W26" s="966"/>
      <c r="X26" s="966"/>
      <c r="Y26" s="966"/>
    </row>
    <row r="27" spans="1:28" x14ac:dyDescent="0.2">
      <c r="A27" s="965"/>
      <c r="B27" s="965"/>
      <c r="C27" s="965"/>
      <c r="D27" s="967"/>
      <c r="E27" s="966"/>
      <c r="F27" s="966"/>
      <c r="G27" s="966"/>
      <c r="H27" s="966"/>
      <c r="I27" s="966"/>
      <c r="J27" s="966"/>
      <c r="K27" s="966"/>
      <c r="L27" s="966"/>
      <c r="M27" s="966"/>
      <c r="N27" s="966"/>
      <c r="O27" s="966"/>
      <c r="P27" s="966"/>
      <c r="Q27" s="966"/>
      <c r="R27" s="966"/>
      <c r="S27" s="966"/>
      <c r="T27" s="966"/>
      <c r="U27" s="966"/>
      <c r="V27" s="966"/>
      <c r="W27" s="966"/>
      <c r="X27" s="966"/>
      <c r="Y27" s="966"/>
    </row>
    <row r="28" spans="1:28" x14ac:dyDescent="0.2">
      <c r="A28" s="965"/>
      <c r="B28" s="965"/>
      <c r="C28" s="965"/>
      <c r="D28" s="967"/>
      <c r="E28" s="966"/>
      <c r="F28" s="966"/>
      <c r="G28" s="966"/>
      <c r="H28" s="966"/>
      <c r="I28" s="966"/>
      <c r="J28" s="966"/>
      <c r="K28" s="966"/>
      <c r="L28" s="966"/>
      <c r="M28" s="966"/>
      <c r="N28" s="966"/>
      <c r="O28" s="966"/>
      <c r="P28" s="966"/>
      <c r="Q28" s="966"/>
      <c r="R28" s="966"/>
      <c r="S28" s="966"/>
      <c r="T28" s="966"/>
      <c r="U28" s="966"/>
      <c r="V28" s="966"/>
      <c r="W28" s="966"/>
      <c r="X28" s="966"/>
      <c r="Y28" s="966"/>
    </row>
    <row r="29" spans="1:28" x14ac:dyDescent="0.2">
      <c r="A29" s="965"/>
      <c r="B29" s="965"/>
      <c r="C29" s="965"/>
      <c r="D29" s="967"/>
      <c r="E29" s="966"/>
      <c r="F29" s="966"/>
      <c r="G29" s="966"/>
      <c r="H29" s="966"/>
      <c r="I29" s="966"/>
      <c r="J29" s="966"/>
      <c r="K29" s="966"/>
      <c r="L29" s="966"/>
      <c r="M29" s="966"/>
      <c r="N29" s="966"/>
      <c r="O29" s="966"/>
      <c r="P29" s="966"/>
      <c r="Q29" s="966"/>
      <c r="R29" s="966"/>
      <c r="S29" s="966"/>
      <c r="T29" s="966"/>
      <c r="U29" s="966"/>
      <c r="V29" s="966"/>
      <c r="W29" s="966"/>
      <c r="X29" s="966"/>
      <c r="Y29" s="966"/>
    </row>
    <row r="30" spans="1:28" x14ac:dyDescent="0.2">
      <c r="A30" s="965"/>
      <c r="B30" s="965"/>
      <c r="C30" s="965"/>
      <c r="D30" s="967"/>
      <c r="E30" s="966"/>
      <c r="F30" s="966"/>
      <c r="G30" s="966"/>
      <c r="H30" s="966"/>
      <c r="I30" s="966"/>
      <c r="J30" s="966"/>
      <c r="K30" s="966"/>
      <c r="L30" s="966"/>
      <c r="M30" s="966"/>
      <c r="N30" s="966"/>
      <c r="O30" s="966"/>
      <c r="P30" s="966"/>
      <c r="Q30" s="966"/>
      <c r="R30" s="966"/>
      <c r="S30" s="966"/>
      <c r="T30" s="966"/>
      <c r="U30" s="966"/>
      <c r="V30" s="966"/>
      <c r="W30" s="966"/>
      <c r="X30" s="966"/>
      <c r="Y30" s="966"/>
    </row>
    <row r="31" spans="1:28" x14ac:dyDescent="0.2">
      <c r="A31" s="965"/>
      <c r="B31" s="965"/>
      <c r="C31" s="965"/>
      <c r="D31" s="967"/>
      <c r="E31" s="966"/>
      <c r="F31" s="966"/>
      <c r="G31" s="966"/>
      <c r="H31" s="966"/>
      <c r="I31" s="966"/>
      <c r="J31" s="966"/>
      <c r="K31" s="966"/>
      <c r="L31" s="966"/>
      <c r="M31" s="966"/>
      <c r="N31" s="966"/>
      <c r="O31" s="966"/>
      <c r="P31" s="966"/>
      <c r="Q31" s="966"/>
      <c r="R31" s="966"/>
      <c r="S31" s="966"/>
      <c r="T31" s="966"/>
      <c r="U31" s="966"/>
      <c r="V31" s="966"/>
      <c r="W31" s="966"/>
      <c r="X31" s="966"/>
      <c r="Y31" s="966"/>
    </row>
    <row r="32" spans="1:28" x14ac:dyDescent="0.2">
      <c r="A32" s="965"/>
      <c r="B32" s="965"/>
      <c r="C32" s="965"/>
      <c r="D32" s="967"/>
      <c r="E32" s="966"/>
      <c r="F32" s="966"/>
      <c r="G32" s="966"/>
      <c r="H32" s="966"/>
      <c r="I32" s="966"/>
      <c r="J32" s="966"/>
      <c r="K32" s="966"/>
      <c r="L32" s="966"/>
      <c r="M32" s="966"/>
      <c r="N32" s="966"/>
      <c r="O32" s="966"/>
      <c r="P32" s="966"/>
      <c r="Q32" s="966"/>
      <c r="R32" s="966"/>
      <c r="S32" s="966"/>
      <c r="T32" s="966"/>
      <c r="U32" s="966"/>
      <c r="V32" s="966"/>
      <c r="W32" s="966"/>
      <c r="X32" s="966"/>
      <c r="Y32" s="966"/>
    </row>
    <row r="33" spans="1:28" x14ac:dyDescent="0.2">
      <c r="A33" s="965"/>
      <c r="B33" s="965"/>
      <c r="C33" s="965"/>
      <c r="D33" s="967"/>
      <c r="E33" s="966"/>
      <c r="F33" s="966"/>
      <c r="G33" s="966"/>
      <c r="H33" s="966"/>
      <c r="I33" s="966"/>
      <c r="J33" s="966"/>
      <c r="K33" s="966"/>
      <c r="L33" s="966"/>
      <c r="M33" s="966"/>
      <c r="N33" s="966"/>
      <c r="O33" s="966"/>
      <c r="P33" s="966"/>
      <c r="Q33" s="966"/>
      <c r="R33" s="966"/>
      <c r="S33" s="966"/>
      <c r="T33" s="966"/>
      <c r="U33" s="966"/>
      <c r="V33" s="966"/>
      <c r="W33" s="966"/>
      <c r="X33" s="966"/>
      <c r="Y33" s="966"/>
    </row>
    <row r="34" spans="1:28" x14ac:dyDescent="0.2">
      <c r="A34" s="965"/>
      <c r="B34" s="965"/>
      <c r="C34" s="965"/>
      <c r="D34" s="967"/>
      <c r="E34" s="966"/>
      <c r="F34" s="966"/>
      <c r="G34" s="966"/>
      <c r="H34" s="966"/>
      <c r="I34" s="966"/>
      <c r="J34" s="966"/>
      <c r="K34" s="966"/>
      <c r="L34" s="966"/>
      <c r="M34" s="966"/>
      <c r="N34" s="966"/>
      <c r="O34" s="966"/>
      <c r="P34" s="966"/>
      <c r="Q34" s="966"/>
      <c r="R34" s="966"/>
      <c r="S34" s="966"/>
      <c r="T34" s="966"/>
      <c r="U34" s="966"/>
      <c r="V34" s="966"/>
      <c r="W34" s="966"/>
      <c r="X34" s="966"/>
      <c r="Y34" s="966"/>
    </row>
    <row r="35" spans="1:28" ht="76.5" x14ac:dyDescent="0.2">
      <c r="A35" s="965"/>
      <c r="B35" s="965"/>
      <c r="C35" s="965"/>
      <c r="D35" s="417" t="s">
        <v>730</v>
      </c>
      <c r="E35" s="966"/>
      <c r="F35" s="966"/>
      <c r="G35" s="966"/>
      <c r="H35" s="966"/>
      <c r="I35" s="966"/>
      <c r="J35" s="966"/>
      <c r="K35" s="966"/>
      <c r="L35" s="966"/>
      <c r="M35" s="966"/>
      <c r="N35" s="966"/>
      <c r="O35" s="966"/>
      <c r="P35" s="966"/>
      <c r="Q35" s="966"/>
      <c r="R35" s="966"/>
      <c r="S35" s="966"/>
      <c r="T35" s="966"/>
      <c r="U35" s="966"/>
      <c r="V35" s="966"/>
      <c r="W35" s="966"/>
      <c r="X35" s="966"/>
      <c r="Y35" s="966"/>
    </row>
    <row r="36" spans="1:28" x14ac:dyDescent="0.2">
      <c r="A36" s="965"/>
      <c r="B36" s="965"/>
      <c r="C36" s="965"/>
      <c r="D36" s="967"/>
      <c r="E36" s="966"/>
      <c r="F36" s="966"/>
      <c r="G36" s="966"/>
      <c r="H36" s="966"/>
      <c r="I36" s="966"/>
      <c r="J36" s="966"/>
      <c r="K36" s="966"/>
      <c r="L36" s="966"/>
      <c r="M36" s="966"/>
      <c r="N36" s="966"/>
      <c r="O36" s="966"/>
      <c r="P36" s="966"/>
      <c r="Q36" s="966"/>
      <c r="R36" s="966"/>
      <c r="S36" s="966"/>
      <c r="T36" s="966"/>
      <c r="U36" s="966"/>
      <c r="V36" s="966"/>
      <c r="W36" s="966"/>
      <c r="X36" s="966"/>
      <c r="Y36" s="966"/>
    </row>
    <row r="37" spans="1:28" x14ac:dyDescent="0.2">
      <c r="A37" s="965"/>
      <c r="B37" s="965"/>
      <c r="C37" s="965"/>
      <c r="D37" s="967"/>
      <c r="E37" s="966"/>
      <c r="F37" s="966"/>
      <c r="G37" s="966"/>
      <c r="H37" s="966"/>
      <c r="I37" s="966"/>
      <c r="J37" s="966"/>
      <c r="K37" s="966"/>
      <c r="L37" s="966"/>
      <c r="M37" s="966"/>
      <c r="N37" s="966"/>
      <c r="O37" s="966"/>
      <c r="P37" s="966"/>
      <c r="Q37" s="966"/>
      <c r="R37" s="966"/>
      <c r="S37" s="966"/>
      <c r="T37" s="966"/>
      <c r="U37" s="966"/>
      <c r="V37" s="966"/>
      <c r="W37" s="966"/>
      <c r="X37" s="966"/>
      <c r="Y37" s="966"/>
    </row>
    <row r="38" spans="1:28" x14ac:dyDescent="0.2">
      <c r="A38" s="965"/>
      <c r="B38" s="965"/>
      <c r="C38" s="965"/>
      <c r="D38" s="967"/>
      <c r="E38" s="966"/>
      <c r="F38" s="966"/>
      <c r="G38" s="966"/>
      <c r="H38" s="966"/>
      <c r="I38" s="966"/>
      <c r="J38" s="966"/>
      <c r="K38" s="966"/>
      <c r="L38" s="966"/>
      <c r="M38" s="966"/>
      <c r="N38" s="966"/>
      <c r="O38" s="966"/>
      <c r="P38" s="966"/>
      <c r="Q38" s="966"/>
      <c r="R38" s="966"/>
      <c r="S38" s="966"/>
      <c r="T38" s="966"/>
      <c r="U38" s="966"/>
      <c r="V38" s="966"/>
      <c r="W38" s="966"/>
      <c r="X38" s="966"/>
      <c r="Y38" s="966"/>
    </row>
    <row r="39" spans="1:28" x14ac:dyDescent="0.2">
      <c r="A39" s="965"/>
      <c r="B39" s="965"/>
      <c r="C39" s="965"/>
      <c r="D39" s="967"/>
      <c r="E39" s="966"/>
      <c r="F39" s="966"/>
      <c r="G39" s="966"/>
      <c r="H39" s="966"/>
      <c r="I39" s="966"/>
      <c r="J39" s="966"/>
      <c r="K39" s="966"/>
      <c r="L39" s="966"/>
      <c r="M39" s="966"/>
      <c r="N39" s="966"/>
      <c r="O39" s="966"/>
      <c r="P39" s="966"/>
      <c r="Q39" s="966"/>
      <c r="R39" s="966"/>
      <c r="S39" s="966"/>
      <c r="T39" s="966"/>
      <c r="U39" s="966"/>
      <c r="V39" s="966"/>
      <c r="W39" s="966"/>
      <c r="X39" s="966"/>
      <c r="Y39" s="966"/>
    </row>
    <row r="40" spans="1:28" x14ac:dyDescent="0.2">
      <c r="A40" s="965"/>
      <c r="B40" s="965"/>
      <c r="C40" s="965"/>
      <c r="D40" s="967"/>
      <c r="E40" s="966"/>
      <c r="F40" s="966"/>
      <c r="G40" s="966"/>
      <c r="H40" s="966"/>
      <c r="I40" s="966"/>
      <c r="J40" s="966"/>
      <c r="K40" s="966"/>
      <c r="L40" s="966"/>
      <c r="M40" s="966"/>
      <c r="N40" s="966"/>
      <c r="O40" s="966"/>
      <c r="P40" s="966"/>
      <c r="Q40" s="966"/>
      <c r="R40" s="966"/>
      <c r="S40" s="966"/>
      <c r="T40" s="966"/>
      <c r="U40" s="966"/>
      <c r="V40" s="966"/>
      <c r="W40" s="966"/>
      <c r="X40" s="966"/>
      <c r="Y40" s="966"/>
    </row>
    <row r="41" spans="1:28" x14ac:dyDescent="0.2">
      <c r="A41" s="965"/>
      <c r="B41" s="965"/>
      <c r="C41" s="965"/>
      <c r="D41" s="967"/>
      <c r="E41" s="966"/>
      <c r="F41" s="966"/>
      <c r="G41" s="966"/>
      <c r="H41" s="966"/>
      <c r="I41" s="966"/>
      <c r="J41" s="966"/>
      <c r="K41" s="966"/>
      <c r="L41" s="966"/>
      <c r="M41" s="966"/>
      <c r="N41" s="966"/>
      <c r="O41" s="966"/>
      <c r="P41" s="966"/>
      <c r="Q41" s="966"/>
      <c r="R41" s="966"/>
      <c r="S41" s="966"/>
      <c r="T41" s="966"/>
      <c r="U41" s="966"/>
      <c r="V41" s="966"/>
      <c r="W41" s="966"/>
      <c r="X41" s="966"/>
      <c r="Y41" s="966"/>
    </row>
    <row r="42" spans="1:28" x14ac:dyDescent="0.2">
      <c r="A42" s="965"/>
      <c r="B42" s="965"/>
      <c r="C42" s="965"/>
      <c r="D42" s="967"/>
      <c r="E42" s="966"/>
      <c r="F42" s="966"/>
      <c r="G42" s="966"/>
      <c r="H42" s="966"/>
      <c r="I42" s="966"/>
      <c r="J42" s="966"/>
      <c r="K42" s="966"/>
      <c r="L42" s="966"/>
      <c r="M42" s="966"/>
      <c r="N42" s="966"/>
      <c r="O42" s="966"/>
      <c r="P42" s="966"/>
      <c r="Q42" s="966"/>
      <c r="R42" s="966"/>
      <c r="S42" s="966"/>
      <c r="T42" s="966"/>
      <c r="U42" s="966"/>
      <c r="V42" s="966"/>
      <c r="W42" s="966"/>
      <c r="X42" s="966"/>
      <c r="Y42" s="966"/>
    </row>
    <row r="43" spans="1:28" x14ac:dyDescent="0.2">
      <c r="A43" s="965"/>
      <c r="B43" s="965"/>
      <c r="C43" s="965"/>
      <c r="D43" s="964"/>
      <c r="E43" s="964"/>
      <c r="F43" s="964"/>
      <c r="G43" s="964"/>
      <c r="H43" s="964"/>
      <c r="I43" s="964"/>
      <c r="J43" s="964"/>
      <c r="K43" s="964"/>
      <c r="L43" s="964"/>
      <c r="M43" s="964"/>
      <c r="N43" s="964"/>
      <c r="O43" s="964"/>
      <c r="P43" s="964"/>
      <c r="Q43" s="964"/>
      <c r="R43" s="964"/>
    </row>
    <row r="44" spans="1:28" ht="15" customHeight="1" x14ac:dyDescent="0.2">
      <c r="A44" s="835">
        <v>5</v>
      </c>
      <c r="B44" s="835" t="s">
        <v>78</v>
      </c>
      <c r="C44" s="835"/>
      <c r="D44" s="3629" t="s">
        <v>837</v>
      </c>
      <c r="E44" s="3630"/>
      <c r="F44" s="3630"/>
      <c r="G44" s="3630"/>
      <c r="H44" s="3630"/>
      <c r="I44" s="3630"/>
      <c r="J44" s="3630"/>
      <c r="K44" s="3630"/>
      <c r="L44" s="3630"/>
      <c r="M44" s="3630"/>
      <c r="N44" s="3630"/>
      <c r="O44" s="3630"/>
      <c r="P44" s="3630"/>
      <c r="Q44" s="3630"/>
      <c r="R44" s="3630"/>
      <c r="S44" s="3630"/>
      <c r="T44" s="3630"/>
      <c r="U44" s="3630"/>
      <c r="V44" s="3630"/>
      <c r="W44" s="3630"/>
      <c r="X44" s="3630"/>
      <c r="Y44" s="3630"/>
      <c r="Z44" s="3630"/>
      <c r="AA44" s="3630"/>
      <c r="AB44" s="3631"/>
    </row>
    <row r="45" spans="1:28" ht="15.75" customHeight="1" x14ac:dyDescent="0.2">
      <c r="A45" s="963">
        <v>6</v>
      </c>
      <c r="B45" s="963" t="s">
        <v>80</v>
      </c>
      <c r="C45" s="963"/>
      <c r="D45" s="3793" t="s">
        <v>836</v>
      </c>
      <c r="E45" s="3794"/>
      <c r="F45" s="3794"/>
      <c r="G45" s="3794"/>
      <c r="H45" s="3794"/>
      <c r="I45" s="3794"/>
      <c r="J45" s="3794"/>
      <c r="K45" s="3794"/>
      <c r="L45" s="3794"/>
      <c r="M45" s="3794"/>
      <c r="N45" s="3794"/>
      <c r="O45" s="3794"/>
      <c r="P45" s="3794"/>
      <c r="Q45" s="3794"/>
      <c r="R45" s="3794"/>
      <c r="S45" s="3794"/>
      <c r="T45" s="3794"/>
      <c r="U45" s="3794"/>
      <c r="V45" s="3794"/>
      <c r="W45" s="3794"/>
      <c r="X45" s="3794"/>
      <c r="Y45" s="3794"/>
      <c r="Z45" s="3794"/>
      <c r="AA45" s="3794"/>
      <c r="AB45" s="3795"/>
    </row>
    <row r="46" spans="1:28" ht="12.75" customHeight="1" x14ac:dyDescent="0.2">
      <c r="A46" s="835">
        <v>7</v>
      </c>
      <c r="B46" s="835" t="s">
        <v>20</v>
      </c>
      <c r="C46" s="835"/>
      <c r="D46" s="3629" t="s">
        <v>835</v>
      </c>
      <c r="E46" s="3630"/>
      <c r="F46" s="3630"/>
      <c r="G46" s="3630"/>
      <c r="H46" s="3630"/>
      <c r="I46" s="3630"/>
      <c r="J46" s="3630"/>
      <c r="K46" s="3630"/>
      <c r="L46" s="3630"/>
      <c r="M46" s="3630"/>
      <c r="N46" s="3630"/>
      <c r="O46" s="3630"/>
      <c r="P46" s="3630"/>
      <c r="Q46" s="3630"/>
      <c r="R46" s="3630"/>
      <c r="S46" s="3630"/>
      <c r="T46" s="3630"/>
      <c r="U46" s="3630"/>
      <c r="V46" s="3630"/>
      <c r="W46" s="3630"/>
      <c r="X46" s="3630"/>
      <c r="Y46" s="3630"/>
      <c r="Z46" s="3630"/>
      <c r="AA46" s="3630"/>
      <c r="AB46" s="3631"/>
    </row>
  </sheetData>
  <mergeCells count="6">
    <mergeCell ref="D46:AB46"/>
    <mergeCell ref="D2:AB2"/>
    <mergeCell ref="D3:AB3"/>
    <mergeCell ref="D4:AB4"/>
    <mergeCell ref="D44:AB44"/>
    <mergeCell ref="D45:AB45"/>
  </mergeCells>
  <pageMargins left="0.74803149606299213" right="0.74803149606299213" top="0.98425196850393704" bottom="0.98425196850393704" header="0.51181102362204722" footer="0.51181102362204722"/>
  <pageSetup paperSize="9" scale="5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8"/>
  <sheetViews>
    <sheetView showGridLines="0" view="pageBreakPreview" zoomScaleNormal="100" zoomScaleSheetLayoutView="100" workbookViewId="0">
      <selection activeCell="D17" sqref="D17:D28"/>
    </sheetView>
  </sheetViews>
  <sheetFormatPr defaultColWidth="9.140625" defaultRowHeight="15" x14ac:dyDescent="0.25"/>
  <cols>
    <col min="1" max="1" width="3.7109375" style="453" customWidth="1"/>
    <col min="2" max="2" width="14.42578125" style="670" customWidth="1"/>
    <col min="3" max="3" width="3.7109375" style="670" customWidth="1"/>
    <col min="4" max="4" width="20.5703125" style="229" customWidth="1"/>
    <col min="5" max="20" width="9.28515625" style="229" customWidth="1"/>
    <col min="21" max="23" width="5.5703125" style="229" customWidth="1"/>
    <col min="24" max="261" width="9.140625" style="229"/>
    <col min="262" max="262" width="3.7109375" style="229" customWidth="1"/>
    <col min="263" max="263" width="14.42578125" style="229" customWidth="1"/>
    <col min="264" max="264" width="3.7109375" style="229" customWidth="1"/>
    <col min="265" max="265" width="20.5703125" style="229" customWidth="1"/>
    <col min="266" max="276" width="9.28515625" style="229" customWidth="1"/>
    <col min="277" max="279" width="5.5703125" style="229" customWidth="1"/>
    <col min="280" max="517" width="9.140625" style="229"/>
    <col min="518" max="518" width="3.7109375" style="229" customWidth="1"/>
    <col min="519" max="519" width="14.42578125" style="229" customWidth="1"/>
    <col min="520" max="520" width="3.7109375" style="229" customWidth="1"/>
    <col min="521" max="521" width="20.5703125" style="229" customWidth="1"/>
    <col min="522" max="532" width="9.28515625" style="229" customWidth="1"/>
    <col min="533" max="535" width="5.5703125" style="229" customWidth="1"/>
    <col min="536" max="773" width="9.140625" style="229"/>
    <col min="774" max="774" width="3.7109375" style="229" customWidth="1"/>
    <col min="775" max="775" width="14.42578125" style="229" customWidth="1"/>
    <col min="776" max="776" width="3.7109375" style="229" customWidth="1"/>
    <col min="777" max="777" width="20.5703125" style="229" customWidth="1"/>
    <col min="778" max="788" width="9.28515625" style="229" customWidth="1"/>
    <col min="789" max="791" width="5.5703125" style="229" customWidth="1"/>
    <col min="792" max="1029" width="9.140625" style="229"/>
    <col min="1030" max="1030" width="3.7109375" style="229" customWidth="1"/>
    <col min="1031" max="1031" width="14.42578125" style="229" customWidth="1"/>
    <col min="1032" max="1032" width="3.7109375" style="229" customWidth="1"/>
    <col min="1033" max="1033" width="20.5703125" style="229" customWidth="1"/>
    <col min="1034" max="1044" width="9.28515625" style="229" customWidth="1"/>
    <col min="1045" max="1047" width="5.5703125" style="229" customWidth="1"/>
    <col min="1048" max="1285" width="9.140625" style="229"/>
    <col min="1286" max="1286" width="3.7109375" style="229" customWidth="1"/>
    <col min="1287" max="1287" width="14.42578125" style="229" customWidth="1"/>
    <col min="1288" max="1288" width="3.7109375" style="229" customWidth="1"/>
    <col min="1289" max="1289" width="20.5703125" style="229" customWidth="1"/>
    <col min="1290" max="1300" width="9.28515625" style="229" customWidth="1"/>
    <col min="1301" max="1303" width="5.5703125" style="229" customWidth="1"/>
    <col min="1304" max="1541" width="9.140625" style="229"/>
    <col min="1542" max="1542" width="3.7109375" style="229" customWidth="1"/>
    <col min="1543" max="1543" width="14.42578125" style="229" customWidth="1"/>
    <col min="1544" max="1544" width="3.7109375" style="229" customWidth="1"/>
    <col min="1545" max="1545" width="20.5703125" style="229" customWidth="1"/>
    <col min="1546" max="1556" width="9.28515625" style="229" customWidth="1"/>
    <col min="1557" max="1559" width="5.5703125" style="229" customWidth="1"/>
    <col min="1560" max="1797" width="9.140625" style="229"/>
    <col min="1798" max="1798" width="3.7109375" style="229" customWidth="1"/>
    <col min="1799" max="1799" width="14.42578125" style="229" customWidth="1"/>
    <col min="1800" max="1800" width="3.7109375" style="229" customWidth="1"/>
    <col min="1801" max="1801" width="20.5703125" style="229" customWidth="1"/>
    <col min="1802" max="1812" width="9.28515625" style="229" customWidth="1"/>
    <col min="1813" max="1815" width="5.5703125" style="229" customWidth="1"/>
    <col min="1816" max="2053" width="9.140625" style="229"/>
    <col min="2054" max="2054" width="3.7109375" style="229" customWidth="1"/>
    <col min="2055" max="2055" width="14.42578125" style="229" customWidth="1"/>
    <col min="2056" max="2056" width="3.7109375" style="229" customWidth="1"/>
    <col min="2057" max="2057" width="20.5703125" style="229" customWidth="1"/>
    <col min="2058" max="2068" width="9.28515625" style="229" customWidth="1"/>
    <col min="2069" max="2071" width="5.5703125" style="229" customWidth="1"/>
    <col min="2072" max="2309" width="9.140625" style="229"/>
    <col min="2310" max="2310" width="3.7109375" style="229" customWidth="1"/>
    <col min="2311" max="2311" width="14.42578125" style="229" customWidth="1"/>
    <col min="2312" max="2312" width="3.7109375" style="229" customWidth="1"/>
    <col min="2313" max="2313" width="20.5703125" style="229" customWidth="1"/>
    <col min="2314" max="2324" width="9.28515625" style="229" customWidth="1"/>
    <col min="2325" max="2327" width="5.5703125" style="229" customWidth="1"/>
    <col min="2328" max="2565" width="9.140625" style="229"/>
    <col min="2566" max="2566" width="3.7109375" style="229" customWidth="1"/>
    <col min="2567" max="2567" width="14.42578125" style="229" customWidth="1"/>
    <col min="2568" max="2568" width="3.7109375" style="229" customWidth="1"/>
    <col min="2569" max="2569" width="20.5703125" style="229" customWidth="1"/>
    <col min="2570" max="2580" width="9.28515625" style="229" customWidth="1"/>
    <col min="2581" max="2583" width="5.5703125" style="229" customWidth="1"/>
    <col min="2584" max="2821" width="9.140625" style="229"/>
    <col min="2822" max="2822" width="3.7109375" style="229" customWidth="1"/>
    <col min="2823" max="2823" width="14.42578125" style="229" customWidth="1"/>
    <col min="2824" max="2824" width="3.7109375" style="229" customWidth="1"/>
    <col min="2825" max="2825" width="20.5703125" style="229" customWidth="1"/>
    <col min="2826" max="2836" width="9.28515625" style="229" customWidth="1"/>
    <col min="2837" max="2839" width="5.5703125" style="229" customWidth="1"/>
    <col min="2840" max="3077" width="9.140625" style="229"/>
    <col min="3078" max="3078" width="3.7109375" style="229" customWidth="1"/>
    <col min="3079" max="3079" width="14.42578125" style="229" customWidth="1"/>
    <col min="3080" max="3080" width="3.7109375" style="229" customWidth="1"/>
    <col min="3081" max="3081" width="20.5703125" style="229" customWidth="1"/>
    <col min="3082" max="3092" width="9.28515625" style="229" customWidth="1"/>
    <col min="3093" max="3095" width="5.5703125" style="229" customWidth="1"/>
    <col min="3096" max="3333" width="9.140625" style="229"/>
    <col min="3334" max="3334" width="3.7109375" style="229" customWidth="1"/>
    <col min="3335" max="3335" width="14.42578125" style="229" customWidth="1"/>
    <col min="3336" max="3336" width="3.7109375" style="229" customWidth="1"/>
    <col min="3337" max="3337" width="20.5703125" style="229" customWidth="1"/>
    <col min="3338" max="3348" width="9.28515625" style="229" customWidth="1"/>
    <col min="3349" max="3351" width="5.5703125" style="229" customWidth="1"/>
    <col min="3352" max="3589" width="9.140625" style="229"/>
    <col min="3590" max="3590" width="3.7109375" style="229" customWidth="1"/>
    <col min="3591" max="3591" width="14.42578125" style="229" customWidth="1"/>
    <col min="3592" max="3592" width="3.7109375" style="229" customWidth="1"/>
    <col min="3593" max="3593" width="20.5703125" style="229" customWidth="1"/>
    <col min="3594" max="3604" width="9.28515625" style="229" customWidth="1"/>
    <col min="3605" max="3607" width="5.5703125" style="229" customWidth="1"/>
    <col min="3608" max="3845" width="9.140625" style="229"/>
    <col min="3846" max="3846" width="3.7109375" style="229" customWidth="1"/>
    <col min="3847" max="3847" width="14.42578125" style="229" customWidth="1"/>
    <col min="3848" max="3848" width="3.7109375" style="229" customWidth="1"/>
    <col min="3849" max="3849" width="20.5703125" style="229" customWidth="1"/>
    <col min="3850" max="3860" width="9.28515625" style="229" customWidth="1"/>
    <col min="3861" max="3863" width="5.5703125" style="229" customWidth="1"/>
    <col min="3864" max="4101" width="9.140625" style="229"/>
    <col min="4102" max="4102" width="3.7109375" style="229" customWidth="1"/>
    <col min="4103" max="4103" width="14.42578125" style="229" customWidth="1"/>
    <col min="4104" max="4104" width="3.7109375" style="229" customWidth="1"/>
    <col min="4105" max="4105" width="20.5703125" style="229" customWidth="1"/>
    <col min="4106" max="4116" width="9.28515625" style="229" customWidth="1"/>
    <col min="4117" max="4119" width="5.5703125" style="229" customWidth="1"/>
    <col min="4120" max="4357" width="9.140625" style="229"/>
    <col min="4358" max="4358" width="3.7109375" style="229" customWidth="1"/>
    <col min="4359" max="4359" width="14.42578125" style="229" customWidth="1"/>
    <col min="4360" max="4360" width="3.7109375" style="229" customWidth="1"/>
    <col min="4361" max="4361" width="20.5703125" style="229" customWidth="1"/>
    <col min="4362" max="4372" width="9.28515625" style="229" customWidth="1"/>
    <col min="4373" max="4375" width="5.5703125" style="229" customWidth="1"/>
    <col min="4376" max="4613" width="9.140625" style="229"/>
    <col min="4614" max="4614" width="3.7109375" style="229" customWidth="1"/>
    <col min="4615" max="4615" width="14.42578125" style="229" customWidth="1"/>
    <col min="4616" max="4616" width="3.7109375" style="229" customWidth="1"/>
    <col min="4617" max="4617" width="20.5703125" style="229" customWidth="1"/>
    <col min="4618" max="4628" width="9.28515625" style="229" customWidth="1"/>
    <col min="4629" max="4631" width="5.5703125" style="229" customWidth="1"/>
    <col min="4632" max="4869" width="9.140625" style="229"/>
    <col min="4870" max="4870" width="3.7109375" style="229" customWidth="1"/>
    <col min="4871" max="4871" width="14.42578125" style="229" customWidth="1"/>
    <col min="4872" max="4872" width="3.7109375" style="229" customWidth="1"/>
    <col min="4873" max="4873" width="20.5703125" style="229" customWidth="1"/>
    <col min="4874" max="4884" width="9.28515625" style="229" customWidth="1"/>
    <col min="4885" max="4887" width="5.5703125" style="229" customWidth="1"/>
    <col min="4888" max="5125" width="9.140625" style="229"/>
    <col min="5126" max="5126" width="3.7109375" style="229" customWidth="1"/>
    <col min="5127" max="5127" width="14.42578125" style="229" customWidth="1"/>
    <col min="5128" max="5128" width="3.7109375" style="229" customWidth="1"/>
    <col min="5129" max="5129" width="20.5703125" style="229" customWidth="1"/>
    <col min="5130" max="5140" width="9.28515625" style="229" customWidth="1"/>
    <col min="5141" max="5143" width="5.5703125" style="229" customWidth="1"/>
    <col min="5144" max="5381" width="9.140625" style="229"/>
    <col min="5382" max="5382" width="3.7109375" style="229" customWidth="1"/>
    <col min="5383" max="5383" width="14.42578125" style="229" customWidth="1"/>
    <col min="5384" max="5384" width="3.7109375" style="229" customWidth="1"/>
    <col min="5385" max="5385" width="20.5703125" style="229" customWidth="1"/>
    <col min="5386" max="5396" width="9.28515625" style="229" customWidth="1"/>
    <col min="5397" max="5399" width="5.5703125" style="229" customWidth="1"/>
    <col min="5400" max="5637" width="9.140625" style="229"/>
    <col min="5638" max="5638" width="3.7109375" style="229" customWidth="1"/>
    <col min="5639" max="5639" width="14.42578125" style="229" customWidth="1"/>
    <col min="5640" max="5640" width="3.7109375" style="229" customWidth="1"/>
    <col min="5641" max="5641" width="20.5703125" style="229" customWidth="1"/>
    <col min="5642" max="5652" width="9.28515625" style="229" customWidth="1"/>
    <col min="5653" max="5655" width="5.5703125" style="229" customWidth="1"/>
    <col min="5656" max="5893" width="9.140625" style="229"/>
    <col min="5894" max="5894" width="3.7109375" style="229" customWidth="1"/>
    <col min="5895" max="5895" width="14.42578125" style="229" customWidth="1"/>
    <col min="5896" max="5896" width="3.7109375" style="229" customWidth="1"/>
    <col min="5897" max="5897" width="20.5703125" style="229" customWidth="1"/>
    <col min="5898" max="5908" width="9.28515625" style="229" customWidth="1"/>
    <col min="5909" max="5911" width="5.5703125" style="229" customWidth="1"/>
    <col min="5912" max="6149" width="9.140625" style="229"/>
    <col min="6150" max="6150" width="3.7109375" style="229" customWidth="1"/>
    <col min="6151" max="6151" width="14.42578125" style="229" customWidth="1"/>
    <col min="6152" max="6152" width="3.7109375" style="229" customWidth="1"/>
    <col min="6153" max="6153" width="20.5703125" style="229" customWidth="1"/>
    <col min="6154" max="6164" width="9.28515625" style="229" customWidth="1"/>
    <col min="6165" max="6167" width="5.5703125" style="229" customWidth="1"/>
    <col min="6168" max="6405" width="9.140625" style="229"/>
    <col min="6406" max="6406" width="3.7109375" style="229" customWidth="1"/>
    <col min="6407" max="6407" width="14.42578125" style="229" customWidth="1"/>
    <col min="6408" max="6408" width="3.7109375" style="229" customWidth="1"/>
    <col min="6409" max="6409" width="20.5703125" style="229" customWidth="1"/>
    <col min="6410" max="6420" width="9.28515625" style="229" customWidth="1"/>
    <col min="6421" max="6423" width="5.5703125" style="229" customWidth="1"/>
    <col min="6424" max="6661" width="9.140625" style="229"/>
    <col min="6662" max="6662" width="3.7109375" style="229" customWidth="1"/>
    <col min="6663" max="6663" width="14.42578125" style="229" customWidth="1"/>
    <col min="6664" max="6664" width="3.7109375" style="229" customWidth="1"/>
    <col min="6665" max="6665" width="20.5703125" style="229" customWidth="1"/>
    <col min="6666" max="6676" width="9.28515625" style="229" customWidth="1"/>
    <col min="6677" max="6679" width="5.5703125" style="229" customWidth="1"/>
    <col min="6680" max="6917" width="9.140625" style="229"/>
    <col min="6918" max="6918" width="3.7109375" style="229" customWidth="1"/>
    <col min="6919" max="6919" width="14.42578125" style="229" customWidth="1"/>
    <col min="6920" max="6920" width="3.7109375" style="229" customWidth="1"/>
    <col min="6921" max="6921" width="20.5703125" style="229" customWidth="1"/>
    <col min="6922" max="6932" width="9.28515625" style="229" customWidth="1"/>
    <col min="6933" max="6935" width="5.5703125" style="229" customWidth="1"/>
    <col min="6936" max="7173" width="9.140625" style="229"/>
    <col min="7174" max="7174" width="3.7109375" style="229" customWidth="1"/>
    <col min="7175" max="7175" width="14.42578125" style="229" customWidth="1"/>
    <col min="7176" max="7176" width="3.7109375" style="229" customWidth="1"/>
    <col min="7177" max="7177" width="20.5703125" style="229" customWidth="1"/>
    <col min="7178" max="7188" width="9.28515625" style="229" customWidth="1"/>
    <col min="7189" max="7191" width="5.5703125" style="229" customWidth="1"/>
    <col min="7192" max="7429" width="9.140625" style="229"/>
    <col min="7430" max="7430" width="3.7109375" style="229" customWidth="1"/>
    <col min="7431" max="7431" width="14.42578125" style="229" customWidth="1"/>
    <col min="7432" max="7432" width="3.7109375" style="229" customWidth="1"/>
    <col min="7433" max="7433" width="20.5703125" style="229" customWidth="1"/>
    <col min="7434" max="7444" width="9.28515625" style="229" customWidth="1"/>
    <col min="7445" max="7447" width="5.5703125" style="229" customWidth="1"/>
    <col min="7448" max="7685" width="9.140625" style="229"/>
    <col min="7686" max="7686" width="3.7109375" style="229" customWidth="1"/>
    <col min="7687" max="7687" width="14.42578125" style="229" customWidth="1"/>
    <col min="7688" max="7688" width="3.7109375" style="229" customWidth="1"/>
    <col min="7689" max="7689" width="20.5703125" style="229" customWidth="1"/>
    <col min="7690" max="7700" width="9.28515625" style="229" customWidth="1"/>
    <col min="7701" max="7703" width="5.5703125" style="229" customWidth="1"/>
    <col min="7704" max="7941" width="9.140625" style="229"/>
    <col min="7942" max="7942" width="3.7109375" style="229" customWidth="1"/>
    <col min="7943" max="7943" width="14.42578125" style="229" customWidth="1"/>
    <col min="7944" max="7944" width="3.7109375" style="229" customWidth="1"/>
    <col min="7945" max="7945" width="20.5703125" style="229" customWidth="1"/>
    <col min="7946" max="7956" width="9.28515625" style="229" customWidth="1"/>
    <col min="7957" max="7959" width="5.5703125" style="229" customWidth="1"/>
    <col min="7960" max="8197" width="9.140625" style="229"/>
    <col min="8198" max="8198" width="3.7109375" style="229" customWidth="1"/>
    <col min="8199" max="8199" width="14.42578125" style="229" customWidth="1"/>
    <col min="8200" max="8200" width="3.7109375" style="229" customWidth="1"/>
    <col min="8201" max="8201" width="20.5703125" style="229" customWidth="1"/>
    <col min="8202" max="8212" width="9.28515625" style="229" customWidth="1"/>
    <col min="8213" max="8215" width="5.5703125" style="229" customWidth="1"/>
    <col min="8216" max="8453" width="9.140625" style="229"/>
    <col min="8454" max="8454" width="3.7109375" style="229" customWidth="1"/>
    <col min="8455" max="8455" width="14.42578125" style="229" customWidth="1"/>
    <col min="8456" max="8456" width="3.7109375" style="229" customWidth="1"/>
    <col min="8457" max="8457" width="20.5703125" style="229" customWidth="1"/>
    <col min="8458" max="8468" width="9.28515625" style="229" customWidth="1"/>
    <col min="8469" max="8471" width="5.5703125" style="229" customWidth="1"/>
    <col min="8472" max="8709" width="9.140625" style="229"/>
    <col min="8710" max="8710" width="3.7109375" style="229" customWidth="1"/>
    <col min="8711" max="8711" width="14.42578125" style="229" customWidth="1"/>
    <col min="8712" max="8712" width="3.7109375" style="229" customWidth="1"/>
    <col min="8713" max="8713" width="20.5703125" style="229" customWidth="1"/>
    <col min="8714" max="8724" width="9.28515625" style="229" customWidth="1"/>
    <col min="8725" max="8727" width="5.5703125" style="229" customWidth="1"/>
    <col min="8728" max="8965" width="9.140625" style="229"/>
    <col min="8966" max="8966" width="3.7109375" style="229" customWidth="1"/>
    <col min="8967" max="8967" width="14.42578125" style="229" customWidth="1"/>
    <col min="8968" max="8968" width="3.7109375" style="229" customWidth="1"/>
    <col min="8969" max="8969" width="20.5703125" style="229" customWidth="1"/>
    <col min="8970" max="8980" width="9.28515625" style="229" customWidth="1"/>
    <col min="8981" max="8983" width="5.5703125" style="229" customWidth="1"/>
    <col min="8984" max="9221" width="9.140625" style="229"/>
    <col min="9222" max="9222" width="3.7109375" style="229" customWidth="1"/>
    <col min="9223" max="9223" width="14.42578125" style="229" customWidth="1"/>
    <col min="9224" max="9224" width="3.7109375" style="229" customWidth="1"/>
    <col min="9225" max="9225" width="20.5703125" style="229" customWidth="1"/>
    <col min="9226" max="9236" width="9.28515625" style="229" customWidth="1"/>
    <col min="9237" max="9239" width="5.5703125" style="229" customWidth="1"/>
    <col min="9240" max="9477" width="9.140625" style="229"/>
    <col min="9478" max="9478" width="3.7109375" style="229" customWidth="1"/>
    <col min="9479" max="9479" width="14.42578125" style="229" customWidth="1"/>
    <col min="9480" max="9480" width="3.7109375" style="229" customWidth="1"/>
    <col min="9481" max="9481" width="20.5703125" style="229" customWidth="1"/>
    <col min="9482" max="9492" width="9.28515625" style="229" customWidth="1"/>
    <col min="9493" max="9495" width="5.5703125" style="229" customWidth="1"/>
    <col min="9496" max="9733" width="9.140625" style="229"/>
    <col min="9734" max="9734" width="3.7109375" style="229" customWidth="1"/>
    <col min="9735" max="9735" width="14.42578125" style="229" customWidth="1"/>
    <col min="9736" max="9736" width="3.7109375" style="229" customWidth="1"/>
    <col min="9737" max="9737" width="20.5703125" style="229" customWidth="1"/>
    <col min="9738" max="9748" width="9.28515625" style="229" customWidth="1"/>
    <col min="9749" max="9751" width="5.5703125" style="229" customWidth="1"/>
    <col min="9752" max="9989" width="9.140625" style="229"/>
    <col min="9990" max="9990" width="3.7109375" style="229" customWidth="1"/>
    <col min="9991" max="9991" width="14.42578125" style="229" customWidth="1"/>
    <col min="9992" max="9992" width="3.7109375" style="229" customWidth="1"/>
    <col min="9993" max="9993" width="20.5703125" style="229" customWidth="1"/>
    <col min="9994" max="10004" width="9.28515625" style="229" customWidth="1"/>
    <col min="10005" max="10007" width="5.5703125" style="229" customWidth="1"/>
    <col min="10008" max="10245" width="9.140625" style="229"/>
    <col min="10246" max="10246" width="3.7109375" style="229" customWidth="1"/>
    <col min="10247" max="10247" width="14.42578125" style="229" customWidth="1"/>
    <col min="10248" max="10248" width="3.7109375" style="229" customWidth="1"/>
    <col min="10249" max="10249" width="20.5703125" style="229" customWidth="1"/>
    <col min="10250" max="10260" width="9.28515625" style="229" customWidth="1"/>
    <col min="10261" max="10263" width="5.5703125" style="229" customWidth="1"/>
    <col min="10264" max="10501" width="9.140625" style="229"/>
    <col min="10502" max="10502" width="3.7109375" style="229" customWidth="1"/>
    <col min="10503" max="10503" width="14.42578125" style="229" customWidth="1"/>
    <col min="10504" max="10504" width="3.7109375" style="229" customWidth="1"/>
    <col min="10505" max="10505" width="20.5703125" style="229" customWidth="1"/>
    <col min="10506" max="10516" width="9.28515625" style="229" customWidth="1"/>
    <col min="10517" max="10519" width="5.5703125" style="229" customWidth="1"/>
    <col min="10520" max="10757" width="9.140625" style="229"/>
    <col min="10758" max="10758" width="3.7109375" style="229" customWidth="1"/>
    <col min="10759" max="10759" width="14.42578125" style="229" customWidth="1"/>
    <col min="10760" max="10760" width="3.7109375" style="229" customWidth="1"/>
    <col min="10761" max="10761" width="20.5703125" style="229" customWidth="1"/>
    <col min="10762" max="10772" width="9.28515625" style="229" customWidth="1"/>
    <col min="10773" max="10775" width="5.5703125" style="229" customWidth="1"/>
    <col min="10776" max="11013" width="9.140625" style="229"/>
    <col min="11014" max="11014" width="3.7109375" style="229" customWidth="1"/>
    <col min="11015" max="11015" width="14.42578125" style="229" customWidth="1"/>
    <col min="11016" max="11016" width="3.7109375" style="229" customWidth="1"/>
    <col min="11017" max="11017" width="20.5703125" style="229" customWidth="1"/>
    <col min="11018" max="11028" width="9.28515625" style="229" customWidth="1"/>
    <col min="11029" max="11031" width="5.5703125" style="229" customWidth="1"/>
    <col min="11032" max="11269" width="9.140625" style="229"/>
    <col min="11270" max="11270" width="3.7109375" style="229" customWidth="1"/>
    <col min="11271" max="11271" width="14.42578125" style="229" customWidth="1"/>
    <col min="11272" max="11272" width="3.7109375" style="229" customWidth="1"/>
    <col min="11273" max="11273" width="20.5703125" style="229" customWidth="1"/>
    <col min="11274" max="11284" width="9.28515625" style="229" customWidth="1"/>
    <col min="11285" max="11287" width="5.5703125" style="229" customWidth="1"/>
    <col min="11288" max="11525" width="9.140625" style="229"/>
    <col min="11526" max="11526" width="3.7109375" style="229" customWidth="1"/>
    <col min="11527" max="11527" width="14.42578125" style="229" customWidth="1"/>
    <col min="11528" max="11528" width="3.7109375" style="229" customWidth="1"/>
    <col min="11529" max="11529" width="20.5703125" style="229" customWidth="1"/>
    <col min="11530" max="11540" width="9.28515625" style="229" customWidth="1"/>
    <col min="11541" max="11543" width="5.5703125" style="229" customWidth="1"/>
    <col min="11544" max="11781" width="9.140625" style="229"/>
    <col min="11782" max="11782" width="3.7109375" style="229" customWidth="1"/>
    <col min="11783" max="11783" width="14.42578125" style="229" customWidth="1"/>
    <col min="11784" max="11784" width="3.7109375" style="229" customWidth="1"/>
    <col min="11785" max="11785" width="20.5703125" style="229" customWidth="1"/>
    <col min="11786" max="11796" width="9.28515625" style="229" customWidth="1"/>
    <col min="11797" max="11799" width="5.5703125" style="229" customWidth="1"/>
    <col min="11800" max="12037" width="9.140625" style="229"/>
    <col min="12038" max="12038" width="3.7109375" style="229" customWidth="1"/>
    <col min="12039" max="12039" width="14.42578125" style="229" customWidth="1"/>
    <col min="12040" max="12040" width="3.7109375" style="229" customWidth="1"/>
    <col min="12041" max="12041" width="20.5703125" style="229" customWidth="1"/>
    <col min="12042" max="12052" width="9.28515625" style="229" customWidth="1"/>
    <col min="12053" max="12055" width="5.5703125" style="229" customWidth="1"/>
    <col min="12056" max="12293" width="9.140625" style="229"/>
    <col min="12294" max="12294" width="3.7109375" style="229" customWidth="1"/>
    <col min="12295" max="12295" width="14.42578125" style="229" customWidth="1"/>
    <col min="12296" max="12296" width="3.7109375" style="229" customWidth="1"/>
    <col min="12297" max="12297" width="20.5703125" style="229" customWidth="1"/>
    <col min="12298" max="12308" width="9.28515625" style="229" customWidth="1"/>
    <col min="12309" max="12311" width="5.5703125" style="229" customWidth="1"/>
    <col min="12312" max="12549" width="9.140625" style="229"/>
    <col min="12550" max="12550" width="3.7109375" style="229" customWidth="1"/>
    <col min="12551" max="12551" width="14.42578125" style="229" customWidth="1"/>
    <col min="12552" max="12552" width="3.7109375" style="229" customWidth="1"/>
    <col min="12553" max="12553" width="20.5703125" style="229" customWidth="1"/>
    <col min="12554" max="12564" width="9.28515625" style="229" customWidth="1"/>
    <col min="12565" max="12567" width="5.5703125" style="229" customWidth="1"/>
    <col min="12568" max="12805" width="9.140625" style="229"/>
    <col min="12806" max="12806" width="3.7109375" style="229" customWidth="1"/>
    <col min="12807" max="12807" width="14.42578125" style="229" customWidth="1"/>
    <col min="12808" max="12808" width="3.7109375" style="229" customWidth="1"/>
    <col min="12809" max="12809" width="20.5703125" style="229" customWidth="1"/>
    <col min="12810" max="12820" width="9.28515625" style="229" customWidth="1"/>
    <col min="12821" max="12823" width="5.5703125" style="229" customWidth="1"/>
    <col min="12824" max="13061" width="9.140625" style="229"/>
    <col min="13062" max="13062" width="3.7109375" style="229" customWidth="1"/>
    <col min="13063" max="13063" width="14.42578125" style="229" customWidth="1"/>
    <col min="13064" max="13064" width="3.7109375" style="229" customWidth="1"/>
    <col min="13065" max="13065" width="20.5703125" style="229" customWidth="1"/>
    <col min="13066" max="13076" width="9.28515625" style="229" customWidth="1"/>
    <col min="13077" max="13079" width="5.5703125" style="229" customWidth="1"/>
    <col min="13080" max="13317" width="9.140625" style="229"/>
    <col min="13318" max="13318" width="3.7109375" style="229" customWidth="1"/>
    <col min="13319" max="13319" width="14.42578125" style="229" customWidth="1"/>
    <col min="13320" max="13320" width="3.7109375" style="229" customWidth="1"/>
    <col min="13321" max="13321" width="20.5703125" style="229" customWidth="1"/>
    <col min="13322" max="13332" width="9.28515625" style="229" customWidth="1"/>
    <col min="13333" max="13335" width="5.5703125" style="229" customWidth="1"/>
    <col min="13336" max="13573" width="9.140625" style="229"/>
    <col min="13574" max="13574" width="3.7109375" style="229" customWidth="1"/>
    <col min="13575" max="13575" width="14.42578125" style="229" customWidth="1"/>
    <col min="13576" max="13576" width="3.7109375" style="229" customWidth="1"/>
    <col min="13577" max="13577" width="20.5703125" style="229" customWidth="1"/>
    <col min="13578" max="13588" width="9.28515625" style="229" customWidth="1"/>
    <col min="13589" max="13591" width="5.5703125" style="229" customWidth="1"/>
    <col min="13592" max="13829" width="9.140625" style="229"/>
    <col min="13830" max="13830" width="3.7109375" style="229" customWidth="1"/>
    <col min="13831" max="13831" width="14.42578125" style="229" customWidth="1"/>
    <col min="13832" max="13832" width="3.7109375" style="229" customWidth="1"/>
    <col min="13833" max="13833" width="20.5703125" style="229" customWidth="1"/>
    <col min="13834" max="13844" width="9.28515625" style="229" customWidth="1"/>
    <col min="13845" max="13847" width="5.5703125" style="229" customWidth="1"/>
    <col min="13848" max="14085" width="9.140625" style="229"/>
    <col min="14086" max="14086" width="3.7109375" style="229" customWidth="1"/>
    <col min="14087" max="14087" width="14.42578125" style="229" customWidth="1"/>
    <col min="14088" max="14088" width="3.7109375" style="229" customWidth="1"/>
    <col min="14089" max="14089" width="20.5703125" style="229" customWidth="1"/>
    <col min="14090" max="14100" width="9.28515625" style="229" customWidth="1"/>
    <col min="14101" max="14103" width="5.5703125" style="229" customWidth="1"/>
    <col min="14104" max="14341" width="9.140625" style="229"/>
    <col min="14342" max="14342" width="3.7109375" style="229" customWidth="1"/>
    <col min="14343" max="14343" width="14.42578125" style="229" customWidth="1"/>
    <col min="14344" max="14344" width="3.7109375" style="229" customWidth="1"/>
    <col min="14345" max="14345" width="20.5703125" style="229" customWidth="1"/>
    <col min="14346" max="14356" width="9.28515625" style="229" customWidth="1"/>
    <col min="14357" max="14359" width="5.5703125" style="229" customWidth="1"/>
    <col min="14360" max="14597" width="9.140625" style="229"/>
    <col min="14598" max="14598" width="3.7109375" style="229" customWidth="1"/>
    <col min="14599" max="14599" width="14.42578125" style="229" customWidth="1"/>
    <col min="14600" max="14600" width="3.7109375" style="229" customWidth="1"/>
    <col min="14601" max="14601" width="20.5703125" style="229" customWidth="1"/>
    <col min="14602" max="14612" width="9.28515625" style="229" customWidth="1"/>
    <col min="14613" max="14615" width="5.5703125" style="229" customWidth="1"/>
    <col min="14616" max="14853" width="9.140625" style="229"/>
    <col min="14854" max="14854" width="3.7109375" style="229" customWidth="1"/>
    <col min="14855" max="14855" width="14.42578125" style="229" customWidth="1"/>
    <col min="14856" max="14856" width="3.7109375" style="229" customWidth="1"/>
    <col min="14857" max="14857" width="20.5703125" style="229" customWidth="1"/>
    <col min="14858" max="14868" width="9.28515625" style="229" customWidth="1"/>
    <col min="14869" max="14871" width="5.5703125" style="229" customWidth="1"/>
    <col min="14872" max="15109" width="9.140625" style="229"/>
    <col min="15110" max="15110" width="3.7109375" style="229" customWidth="1"/>
    <col min="15111" max="15111" width="14.42578125" style="229" customWidth="1"/>
    <col min="15112" max="15112" width="3.7109375" style="229" customWidth="1"/>
    <col min="15113" max="15113" width="20.5703125" style="229" customWidth="1"/>
    <col min="15114" max="15124" width="9.28515625" style="229" customWidth="1"/>
    <col min="15125" max="15127" width="5.5703125" style="229" customWidth="1"/>
    <col min="15128" max="15365" width="9.140625" style="229"/>
    <col min="15366" max="15366" width="3.7109375" style="229" customWidth="1"/>
    <col min="15367" max="15367" width="14.42578125" style="229" customWidth="1"/>
    <col min="15368" max="15368" width="3.7109375" style="229" customWidth="1"/>
    <col min="15369" max="15369" width="20.5703125" style="229" customWidth="1"/>
    <col min="15370" max="15380" width="9.28515625" style="229" customWidth="1"/>
    <col min="15381" max="15383" width="5.5703125" style="229" customWidth="1"/>
    <col min="15384" max="15621" width="9.140625" style="229"/>
    <col min="15622" max="15622" width="3.7109375" style="229" customWidth="1"/>
    <col min="15623" max="15623" width="14.42578125" style="229" customWidth="1"/>
    <col min="15624" max="15624" width="3.7109375" style="229" customWidth="1"/>
    <col min="15625" max="15625" width="20.5703125" style="229" customWidth="1"/>
    <col min="15626" max="15636" width="9.28515625" style="229" customWidth="1"/>
    <col min="15637" max="15639" width="5.5703125" style="229" customWidth="1"/>
    <col min="15640" max="15877" width="9.140625" style="229"/>
    <col min="15878" max="15878" width="3.7109375" style="229" customWidth="1"/>
    <col min="15879" max="15879" width="14.42578125" style="229" customWidth="1"/>
    <col min="15880" max="15880" width="3.7109375" style="229" customWidth="1"/>
    <col min="15881" max="15881" width="20.5703125" style="229" customWidth="1"/>
    <col min="15882" max="15892" width="9.28515625" style="229" customWidth="1"/>
    <col min="15893" max="15895" width="5.5703125" style="229" customWidth="1"/>
    <col min="15896" max="16133" width="9.140625" style="229"/>
    <col min="16134" max="16134" width="3.7109375" style="229" customWidth="1"/>
    <col min="16135" max="16135" width="14.42578125" style="229" customWidth="1"/>
    <col min="16136" max="16136" width="3.7109375" style="229" customWidth="1"/>
    <col min="16137" max="16137" width="20.5703125" style="229" customWidth="1"/>
    <col min="16138" max="16148" width="9.28515625" style="229" customWidth="1"/>
    <col min="16149" max="16151" width="5.5703125" style="229" customWidth="1"/>
    <col min="16152" max="16384" width="9.140625" style="229"/>
  </cols>
  <sheetData>
    <row r="1" spans="1:27" x14ac:dyDescent="0.25">
      <c r="D1" s="996"/>
      <c r="E1" s="996"/>
      <c r="F1" s="996"/>
      <c r="G1" s="996"/>
      <c r="H1" s="996"/>
      <c r="I1" s="996"/>
      <c r="J1" s="996"/>
      <c r="K1" s="996"/>
      <c r="L1" s="996"/>
      <c r="M1" s="996"/>
      <c r="N1" s="996"/>
      <c r="O1" s="996"/>
      <c r="P1" s="996"/>
      <c r="Q1" s="996"/>
      <c r="R1" s="996"/>
      <c r="S1" s="996"/>
      <c r="T1" s="996"/>
      <c r="U1" s="996"/>
    </row>
    <row r="2" spans="1:27" x14ac:dyDescent="0.25">
      <c r="A2" s="453">
        <v>1</v>
      </c>
      <c r="B2" s="453" t="s">
        <v>24</v>
      </c>
      <c r="C2" s="453">
        <f>1+'[10]Land redistribution '!C2</f>
        <v>34</v>
      </c>
      <c r="D2" s="3562" t="s">
        <v>1454</v>
      </c>
      <c r="E2" s="3548"/>
      <c r="F2" s="3548"/>
      <c r="G2" s="3548"/>
      <c r="H2" s="3548"/>
      <c r="I2" s="3548"/>
      <c r="J2" s="3548"/>
      <c r="K2" s="3548"/>
      <c r="L2" s="3548"/>
      <c r="M2" s="3548"/>
      <c r="N2" s="3548"/>
      <c r="O2" s="3548"/>
      <c r="P2" s="3548"/>
      <c r="Q2" s="3548"/>
      <c r="R2" s="3548"/>
      <c r="S2" s="3548"/>
      <c r="T2" s="3548"/>
      <c r="U2" s="3548"/>
      <c r="V2" s="2277"/>
    </row>
    <row r="3" spans="1:27" x14ac:dyDescent="0.25">
      <c r="A3" s="453">
        <v>2</v>
      </c>
      <c r="B3" s="453" t="s">
        <v>26</v>
      </c>
      <c r="C3" s="453"/>
      <c r="D3" s="3562" t="s">
        <v>1455</v>
      </c>
      <c r="E3" s="3548"/>
      <c r="F3" s="3548"/>
      <c r="G3" s="3548"/>
      <c r="H3" s="3548"/>
      <c r="I3" s="3548"/>
      <c r="J3" s="3548"/>
      <c r="K3" s="3548"/>
      <c r="L3" s="3548"/>
      <c r="M3" s="3548"/>
      <c r="N3" s="3548"/>
      <c r="O3" s="3548"/>
      <c r="P3" s="3548"/>
      <c r="Q3" s="3548"/>
      <c r="R3" s="3548"/>
      <c r="S3" s="3548"/>
      <c r="T3" s="3548"/>
      <c r="U3" s="3548"/>
      <c r="V3" s="2278"/>
    </row>
    <row r="4" spans="1:27" ht="14.45" customHeight="1" x14ac:dyDescent="0.25">
      <c r="A4" s="453">
        <v>3</v>
      </c>
      <c r="B4" s="453" t="s">
        <v>28</v>
      </c>
      <c r="C4" s="453"/>
      <c r="D4" s="3562" t="s">
        <v>1880</v>
      </c>
      <c r="E4" s="3548"/>
      <c r="F4" s="3548"/>
      <c r="G4" s="3548"/>
      <c r="H4" s="3548"/>
      <c r="I4" s="3548"/>
      <c r="J4" s="3548"/>
      <c r="K4" s="3548"/>
      <c r="L4" s="3548"/>
      <c r="M4" s="3548"/>
      <c r="N4" s="3548"/>
      <c r="O4" s="3548"/>
      <c r="P4" s="3548"/>
      <c r="Q4" s="3548"/>
      <c r="R4" s="3548"/>
      <c r="S4" s="3548"/>
      <c r="T4" s="3548"/>
      <c r="U4" s="3548"/>
      <c r="V4" s="2279"/>
    </row>
    <row r="5" spans="1:27" ht="14.45" customHeight="1" x14ac:dyDescent="0.25">
      <c r="B5" s="453"/>
      <c r="C5" s="453"/>
      <c r="D5" s="3562" t="s">
        <v>1456</v>
      </c>
      <c r="E5" s="3548"/>
      <c r="F5" s="3548"/>
      <c r="G5" s="3548"/>
      <c r="H5" s="3548"/>
      <c r="I5" s="3548"/>
      <c r="J5" s="3548"/>
      <c r="K5" s="3548"/>
      <c r="L5" s="3548"/>
      <c r="M5" s="3548"/>
      <c r="N5" s="3548"/>
      <c r="O5" s="3548"/>
      <c r="P5" s="3548"/>
      <c r="Q5" s="3548"/>
      <c r="R5" s="3548"/>
      <c r="S5" s="3548"/>
      <c r="T5" s="3548"/>
      <c r="U5" s="3548"/>
      <c r="V5" s="2279"/>
    </row>
    <row r="6" spans="1:27" x14ac:dyDescent="0.25">
      <c r="A6" s="453">
        <v>4</v>
      </c>
      <c r="B6" s="650" t="s">
        <v>1</v>
      </c>
      <c r="C6" s="650"/>
      <c r="V6" s="77"/>
    </row>
    <row r="7" spans="1:27" x14ac:dyDescent="0.25">
      <c r="D7" s="120" t="s">
        <v>31</v>
      </c>
      <c r="E7" s="120" t="s">
        <v>1457</v>
      </c>
      <c r="F7" s="120"/>
      <c r="G7" s="120"/>
      <c r="H7" s="120"/>
      <c r="I7" s="120"/>
      <c r="J7" s="120"/>
      <c r="K7" s="120"/>
      <c r="L7" s="120"/>
      <c r="M7" s="120"/>
      <c r="N7" s="120"/>
      <c r="O7" s="120"/>
      <c r="P7" s="120"/>
      <c r="Q7" s="119"/>
      <c r="R7" s="1024"/>
      <c r="S7" s="1024"/>
      <c r="T7" s="1024"/>
      <c r="U7" s="1024"/>
      <c r="V7" s="1024"/>
      <c r="W7" s="723"/>
    </row>
    <row r="8" spans="1:27" x14ac:dyDescent="0.25">
      <c r="D8" s="2995"/>
      <c r="E8" s="425">
        <v>2001</v>
      </c>
      <c r="F8" s="425">
        <v>2002</v>
      </c>
      <c r="G8" s="425">
        <v>2003</v>
      </c>
      <c r="H8" s="425">
        <v>2004</v>
      </c>
      <c r="I8" s="425">
        <v>2005</v>
      </c>
      <c r="J8" s="425">
        <v>2006</v>
      </c>
      <c r="K8" s="425">
        <v>2007</v>
      </c>
      <c r="L8" s="425">
        <v>2008</v>
      </c>
      <c r="M8" s="425">
        <v>2009</v>
      </c>
      <c r="N8" s="425">
        <v>2010</v>
      </c>
      <c r="O8" s="834">
        <v>2011</v>
      </c>
      <c r="P8" s="834">
        <v>2012</v>
      </c>
      <c r="Q8" s="834">
        <v>2013</v>
      </c>
      <c r="R8" s="834">
        <v>2014</v>
      </c>
      <c r="S8" s="834">
        <v>2015</v>
      </c>
      <c r="T8" s="2776">
        <v>2016</v>
      </c>
      <c r="U8" s="996"/>
    </row>
    <row r="9" spans="1:27" x14ac:dyDescent="0.25">
      <c r="B9" s="3796"/>
      <c r="C9" s="2199">
        <v>1</v>
      </c>
      <c r="D9" s="3472" t="s">
        <v>1458</v>
      </c>
      <c r="E9" s="1229">
        <v>51.8</v>
      </c>
      <c r="F9" s="1229">
        <v>53.6</v>
      </c>
      <c r="G9" s="1229">
        <v>53.2</v>
      </c>
      <c r="H9" s="1229">
        <v>52.9</v>
      </c>
      <c r="I9" s="1229">
        <v>52.8</v>
      </c>
      <c r="J9" s="1229">
        <v>53</v>
      </c>
      <c r="K9" s="1229">
        <v>53.4</v>
      </c>
      <c r="L9" s="1229">
        <v>54.2</v>
      </c>
      <c r="M9" s="1229">
        <v>54.7</v>
      </c>
      <c r="N9" s="1229">
        <v>55.3</v>
      </c>
      <c r="O9" s="1229">
        <v>56.2</v>
      </c>
      <c r="P9" s="1229">
        <v>57.4</v>
      </c>
      <c r="Q9" s="1229">
        <v>58.3</v>
      </c>
      <c r="R9" s="1229">
        <v>58.9</v>
      </c>
      <c r="S9" s="1229">
        <v>59.3</v>
      </c>
      <c r="T9" s="2777">
        <v>59.7</v>
      </c>
      <c r="U9" s="996"/>
      <c r="W9" s="2202"/>
      <c r="X9" s="2203"/>
      <c r="Y9" s="1229"/>
      <c r="Z9" s="1229"/>
      <c r="AA9" s="1057"/>
    </row>
    <row r="10" spans="1:27" ht="13.5" customHeight="1" x14ac:dyDescent="0.25">
      <c r="B10" s="3796"/>
      <c r="C10" s="2199">
        <v>2</v>
      </c>
      <c r="D10" s="3472" t="s">
        <v>1459</v>
      </c>
      <c r="E10" s="1229">
        <v>56.8</v>
      </c>
      <c r="F10" s="1229">
        <v>56.6</v>
      </c>
      <c r="G10" s="1229">
        <v>55.7</v>
      </c>
      <c r="H10" s="1229">
        <v>55.1</v>
      </c>
      <c r="I10" s="1229">
        <v>54.8</v>
      </c>
      <c r="J10" s="1229">
        <v>55</v>
      </c>
      <c r="K10" s="1229">
        <v>55.5</v>
      </c>
      <c r="L10" s="1229">
        <v>56.9</v>
      </c>
      <c r="M10" s="1229">
        <v>57.9</v>
      </c>
      <c r="N10" s="1229">
        <v>58.6</v>
      </c>
      <c r="O10" s="1229">
        <v>60.2</v>
      </c>
      <c r="P10" s="1229">
        <v>62.2</v>
      </c>
      <c r="Q10" s="1229">
        <v>63.6</v>
      </c>
      <c r="R10" s="1229">
        <v>64.2</v>
      </c>
      <c r="S10" s="1229">
        <v>64.7</v>
      </c>
      <c r="T10" s="2777">
        <v>65.099999999999994</v>
      </c>
      <c r="U10" s="996"/>
      <c r="W10" s="2202"/>
      <c r="X10" s="2203"/>
      <c r="Y10" s="1229"/>
      <c r="Z10" s="1229"/>
      <c r="AA10" s="1057"/>
    </row>
    <row r="11" spans="1:27" x14ac:dyDescent="0.25">
      <c r="B11" s="3796"/>
      <c r="C11" s="2199">
        <v>3</v>
      </c>
      <c r="D11" s="3472" t="s">
        <v>1460</v>
      </c>
      <c r="E11" s="1057">
        <v>54.4</v>
      </c>
      <c r="F11" s="1057">
        <v>55.2</v>
      </c>
      <c r="G11" s="1057">
        <v>54.5</v>
      </c>
      <c r="H11" s="1057">
        <v>54</v>
      </c>
      <c r="I11" s="1057">
        <v>53.8</v>
      </c>
      <c r="J11" s="1057">
        <v>54</v>
      </c>
      <c r="K11" s="1057">
        <v>54.5</v>
      </c>
      <c r="L11" s="1057">
        <v>55.6</v>
      </c>
      <c r="M11" s="1057">
        <v>56.4</v>
      </c>
      <c r="N11" s="1057">
        <v>57</v>
      </c>
      <c r="O11" s="1057">
        <v>58.3</v>
      </c>
      <c r="P11" s="1057">
        <v>59.9</v>
      </c>
      <c r="Q11" s="1057">
        <v>61</v>
      </c>
      <c r="R11" s="1057">
        <v>61.6</v>
      </c>
      <c r="S11" s="2280">
        <v>62.1</v>
      </c>
      <c r="T11" s="2778">
        <v>62.4</v>
      </c>
      <c r="U11" s="996"/>
      <c r="W11" s="2202"/>
      <c r="X11" s="2203"/>
      <c r="Y11" s="1229"/>
      <c r="Z11" s="1229"/>
      <c r="AA11" s="1057"/>
    </row>
    <row r="12" spans="1:27" x14ac:dyDescent="0.25">
      <c r="B12" s="2200"/>
      <c r="C12" s="2199">
        <v>4</v>
      </c>
      <c r="D12" s="3473" t="s">
        <v>1461</v>
      </c>
      <c r="E12" s="1281"/>
      <c r="F12" s="1281"/>
      <c r="G12" s="1281"/>
      <c r="H12" s="1281"/>
      <c r="I12" s="1281"/>
      <c r="J12" s="1281"/>
      <c r="K12" s="1281"/>
      <c r="L12" s="1281"/>
      <c r="M12" s="1281">
        <v>54.6</v>
      </c>
      <c r="N12" s="1281">
        <v>56</v>
      </c>
      <c r="O12" s="1281">
        <v>57.8</v>
      </c>
      <c r="P12" s="1281">
        <v>58.5</v>
      </c>
      <c r="Q12" s="1281">
        <v>59.4</v>
      </c>
      <c r="R12" s="1281">
        <v>60</v>
      </c>
      <c r="S12" s="2775">
        <v>60.3</v>
      </c>
      <c r="T12" s="2779"/>
      <c r="U12" s="996"/>
      <c r="W12" s="2202"/>
      <c r="X12" s="2203"/>
      <c r="Y12" s="1229"/>
      <c r="Z12" s="1229"/>
      <c r="AA12" s="1057"/>
    </row>
    <row r="13" spans="1:27" x14ac:dyDescent="0.25">
      <c r="B13" s="2200"/>
      <c r="C13" s="2199">
        <v>5</v>
      </c>
      <c r="D13" s="3472" t="s">
        <v>1462</v>
      </c>
      <c r="E13" s="441"/>
      <c r="F13" s="441"/>
      <c r="G13" s="441"/>
      <c r="H13" s="441"/>
      <c r="I13" s="441"/>
      <c r="J13" s="441"/>
      <c r="K13" s="441"/>
      <c r="L13" s="441"/>
      <c r="M13" s="441">
        <v>59.7</v>
      </c>
      <c r="N13" s="441">
        <v>61.2</v>
      </c>
      <c r="O13" s="441">
        <v>63.2</v>
      </c>
      <c r="P13" s="441">
        <v>64</v>
      </c>
      <c r="Q13" s="441">
        <v>65.099999999999994</v>
      </c>
      <c r="R13" s="441">
        <v>65.8</v>
      </c>
      <c r="S13" s="1057">
        <v>66.400000000000006</v>
      </c>
      <c r="T13" s="2779"/>
      <c r="U13" s="996"/>
      <c r="W13" s="2202"/>
      <c r="X13" s="2203"/>
      <c r="Y13" s="1229"/>
      <c r="Z13" s="1229"/>
      <c r="AA13" s="1057"/>
    </row>
    <row r="14" spans="1:27" x14ac:dyDescent="0.25">
      <c r="B14" s="2200"/>
      <c r="C14" s="2199">
        <v>6</v>
      </c>
      <c r="D14" s="3474" t="s">
        <v>1463</v>
      </c>
      <c r="E14" s="1282"/>
      <c r="F14" s="1282"/>
      <c r="G14" s="1282"/>
      <c r="H14" s="1282"/>
      <c r="I14" s="1282"/>
      <c r="J14" s="1282"/>
      <c r="K14" s="1282"/>
      <c r="L14" s="1282"/>
      <c r="M14" s="1282">
        <v>57.1</v>
      </c>
      <c r="N14" s="1282">
        <v>58.5</v>
      </c>
      <c r="O14" s="1282">
        <v>60.5</v>
      </c>
      <c r="P14" s="1282">
        <v>61.3</v>
      </c>
      <c r="Q14" s="1282">
        <v>62.2</v>
      </c>
      <c r="R14" s="1282">
        <v>62.9</v>
      </c>
      <c r="S14" s="1511">
        <v>63.3</v>
      </c>
      <c r="T14" s="2780"/>
      <c r="U14" s="996"/>
      <c r="W14" s="2202"/>
      <c r="X14" s="2203"/>
      <c r="Y14" s="1229"/>
      <c r="Z14" s="1229"/>
      <c r="AA14" s="1057"/>
    </row>
    <row r="15" spans="1:27" x14ac:dyDescent="0.25">
      <c r="B15" s="2200"/>
      <c r="C15" s="2201"/>
      <c r="D15" s="119"/>
      <c r="E15" s="441"/>
      <c r="F15" s="441"/>
      <c r="G15" s="441"/>
      <c r="H15" s="441"/>
      <c r="I15" s="441"/>
      <c r="J15" s="441"/>
      <c r="K15" s="441"/>
      <c r="L15" s="441"/>
      <c r="M15" s="441"/>
      <c r="N15" s="441"/>
      <c r="O15" s="441"/>
      <c r="P15" s="996"/>
      <c r="Q15" s="996"/>
      <c r="R15" s="996"/>
      <c r="S15" s="996"/>
      <c r="T15" s="996"/>
      <c r="U15" s="996"/>
      <c r="V15" s="996"/>
      <c r="X15" s="1229"/>
      <c r="Y15" s="1229"/>
      <c r="Z15" s="1057"/>
    </row>
    <row r="16" spans="1:27" ht="15" customHeight="1" x14ac:dyDescent="0.25">
      <c r="B16" s="2200"/>
      <c r="C16" s="2201"/>
      <c r="D16" s="120" t="s">
        <v>55</v>
      </c>
      <c r="E16" s="120" t="s">
        <v>1464</v>
      </c>
      <c r="F16" s="1657"/>
      <c r="G16" s="1657"/>
      <c r="H16" s="120"/>
      <c r="I16" s="120"/>
      <c r="J16" s="120"/>
      <c r="K16" s="119"/>
      <c r="L16" s="119"/>
      <c r="M16" s="119"/>
      <c r="N16" s="119"/>
      <c r="O16" s="119"/>
      <c r="P16" s="119"/>
      <c r="Q16" s="119"/>
      <c r="R16" s="996"/>
      <c r="S16" s="996"/>
      <c r="T16" s="996"/>
      <c r="U16" s="996"/>
      <c r="V16" s="996"/>
      <c r="X16" s="1229"/>
      <c r="Y16" s="1229"/>
      <c r="Z16" s="1057"/>
    </row>
    <row r="17" spans="1:26" ht="15" customHeight="1" x14ac:dyDescent="0.25">
      <c r="B17" s="2200"/>
      <c r="C17" s="2201"/>
      <c r="D17" s="2995"/>
      <c r="E17" s="3797" t="s">
        <v>10</v>
      </c>
      <c r="F17" s="3797"/>
      <c r="G17" s="752"/>
      <c r="H17" s="3798" t="s">
        <v>11</v>
      </c>
      <c r="I17" s="3797"/>
      <c r="J17" s="3799"/>
      <c r="K17" s="441"/>
      <c r="L17" s="441"/>
      <c r="M17" s="441"/>
      <c r="N17" s="441"/>
      <c r="O17" s="441"/>
      <c r="P17" s="996"/>
      <c r="Q17" s="996"/>
      <c r="R17" s="996"/>
      <c r="S17" s="996"/>
      <c r="T17" s="996"/>
      <c r="U17" s="996"/>
      <c r="V17" s="996"/>
      <c r="X17" s="1229"/>
      <c r="Y17" s="1229"/>
      <c r="Z17" s="1057"/>
    </row>
    <row r="18" spans="1:26" ht="14.45" customHeight="1" x14ac:dyDescent="0.25">
      <c r="B18" s="2200"/>
      <c r="C18" s="2201"/>
      <c r="D18" s="2205"/>
      <c r="E18" s="436" t="s">
        <v>1465</v>
      </c>
      <c r="F18" s="1578" t="s">
        <v>1466</v>
      </c>
      <c r="G18" s="2281" t="s">
        <v>1467</v>
      </c>
      <c r="H18" s="2205" t="s">
        <v>1465</v>
      </c>
      <c r="I18" s="1964" t="s">
        <v>1466</v>
      </c>
      <c r="J18" s="2204" t="s">
        <v>1467</v>
      </c>
      <c r="K18" s="441"/>
      <c r="L18" s="441"/>
      <c r="M18" s="441"/>
      <c r="N18" s="441"/>
      <c r="O18" s="441"/>
      <c r="P18" s="996"/>
      <c r="Q18" s="996"/>
      <c r="R18" s="996"/>
      <c r="S18" s="996"/>
      <c r="T18" s="996"/>
      <c r="U18" s="996"/>
      <c r="V18" s="996"/>
      <c r="X18" s="1229"/>
      <c r="Y18" s="1229"/>
      <c r="Z18" s="1057"/>
    </row>
    <row r="19" spans="1:26" x14ac:dyDescent="0.25">
      <c r="B19" s="2200"/>
      <c r="C19" s="2201"/>
      <c r="D19" s="3033" t="s">
        <v>415</v>
      </c>
      <c r="E19" s="993">
        <v>47.237909855243508</v>
      </c>
      <c r="F19" s="2282">
        <v>52.93306011027569</v>
      </c>
      <c r="G19" s="993">
        <v>55.260969726899837</v>
      </c>
      <c r="H19" s="991">
        <v>49.002484348374388</v>
      </c>
      <c r="I19" s="990">
        <v>55.108153091641761</v>
      </c>
      <c r="J19" s="992">
        <v>57.770483607390041</v>
      </c>
      <c r="K19" s="441"/>
      <c r="L19" s="441"/>
      <c r="M19" s="441"/>
      <c r="N19" s="441"/>
      <c r="O19" s="441"/>
      <c r="P19" s="996"/>
      <c r="Q19" s="996"/>
      <c r="R19" s="996"/>
      <c r="S19" s="996"/>
      <c r="T19" s="996"/>
      <c r="U19" s="996"/>
      <c r="V19" s="996"/>
      <c r="X19" s="1229"/>
      <c r="Y19" s="1229"/>
      <c r="Z19" s="1057"/>
    </row>
    <row r="20" spans="1:26" x14ac:dyDescent="0.25">
      <c r="B20" s="2200"/>
      <c r="C20" s="2201"/>
      <c r="D20" s="3033" t="s">
        <v>417</v>
      </c>
      <c r="E20" s="993">
        <v>43.063385567781658</v>
      </c>
      <c r="F20" s="2282">
        <v>48.881091718552966</v>
      </c>
      <c r="G20" s="993">
        <v>52.996677353548648</v>
      </c>
      <c r="H20" s="991">
        <v>46.465406388336802</v>
      </c>
      <c r="I20" s="990">
        <v>50.847901508328754</v>
      </c>
      <c r="J20" s="992">
        <v>54.70940092187849</v>
      </c>
      <c r="K20" s="441"/>
      <c r="L20" s="441"/>
      <c r="M20" s="441"/>
      <c r="N20" s="441"/>
      <c r="O20" s="441"/>
      <c r="P20" s="996"/>
      <c r="Q20" s="996"/>
      <c r="R20" s="996"/>
      <c r="S20" s="996"/>
      <c r="T20" s="996"/>
      <c r="U20" s="996"/>
      <c r="V20" s="996"/>
      <c r="X20" s="1229"/>
      <c r="Y20" s="1229"/>
      <c r="Z20" s="1057"/>
    </row>
    <row r="21" spans="1:26" x14ac:dyDescent="0.25">
      <c r="B21" s="2200"/>
      <c r="C21" s="2201"/>
      <c r="D21" s="3033" t="s">
        <v>420</v>
      </c>
      <c r="E21" s="993">
        <v>55.166128306007352</v>
      </c>
      <c r="F21" s="2282">
        <v>59.551550458455289</v>
      </c>
      <c r="G21" s="993">
        <v>61.745183563780088</v>
      </c>
      <c r="H21" s="991">
        <v>58.035541398812299</v>
      </c>
      <c r="I21" s="990">
        <v>60.567808584547819</v>
      </c>
      <c r="J21" s="992">
        <v>64.255137217816781</v>
      </c>
      <c r="K21" s="441"/>
      <c r="L21" s="441"/>
      <c r="M21" s="441"/>
      <c r="N21" s="441"/>
      <c r="O21" s="441"/>
      <c r="P21" s="996"/>
      <c r="Q21" s="996"/>
      <c r="R21" s="996"/>
      <c r="S21" s="996"/>
      <c r="T21" s="996"/>
      <c r="U21" s="996"/>
      <c r="V21" s="996"/>
      <c r="X21" s="1229"/>
      <c r="Y21" s="1229"/>
      <c r="Z21" s="1057"/>
    </row>
    <row r="22" spans="1:26" x14ac:dyDescent="0.25">
      <c r="D22" s="3033" t="s">
        <v>418</v>
      </c>
      <c r="E22" s="993">
        <v>46.082957495712591</v>
      </c>
      <c r="F22" s="2282">
        <v>50.985838495256537</v>
      </c>
      <c r="G22" s="993">
        <v>56.955448602656915</v>
      </c>
      <c r="H22" s="991">
        <v>48.866192386914662</v>
      </c>
      <c r="I22" s="990">
        <v>53.345530741211427</v>
      </c>
      <c r="J22" s="992">
        <v>58.406751871419914</v>
      </c>
      <c r="K22" s="117"/>
      <c r="L22" s="117"/>
      <c r="M22" s="117"/>
      <c r="N22" s="117"/>
      <c r="O22" s="117"/>
      <c r="P22" s="117"/>
      <c r="Q22" s="117"/>
      <c r="R22" s="117"/>
      <c r="S22" s="117"/>
      <c r="T22" s="117"/>
      <c r="U22" s="117"/>
      <c r="V22" s="117"/>
      <c r="X22" s="2202"/>
      <c r="Y22" s="2203"/>
    </row>
    <row r="23" spans="1:26" x14ac:dyDescent="0.25">
      <c r="D23" s="3033" t="s">
        <v>422</v>
      </c>
      <c r="E23" s="993">
        <v>51.989743155132999</v>
      </c>
      <c r="F23" s="2282">
        <v>54.661540165492099</v>
      </c>
      <c r="G23" s="993">
        <v>57.273986995382884</v>
      </c>
      <c r="H23" s="991">
        <v>55.192959148925787</v>
      </c>
      <c r="I23" s="990">
        <v>58.230689679241031</v>
      </c>
      <c r="J23" s="992">
        <v>60.547009346484735</v>
      </c>
      <c r="K23" s="117"/>
      <c r="L23" s="117"/>
      <c r="M23" s="117"/>
      <c r="N23" s="117"/>
      <c r="O23" s="117"/>
      <c r="P23" s="117"/>
      <c r="Q23" s="117"/>
      <c r="R23" s="117"/>
      <c r="S23" s="117"/>
      <c r="T23" s="117"/>
      <c r="U23" s="117"/>
      <c r="V23" s="117"/>
      <c r="X23" s="2202"/>
      <c r="Y23" s="2203"/>
    </row>
    <row r="24" spans="1:26" x14ac:dyDescent="0.25">
      <c r="D24" s="3033" t="s">
        <v>421</v>
      </c>
      <c r="E24" s="993">
        <v>49.133175151343771</v>
      </c>
      <c r="F24" s="2282">
        <v>53.190457407157581</v>
      </c>
      <c r="G24" s="993">
        <v>55.79159648254717</v>
      </c>
      <c r="H24" s="991">
        <v>50.809412250417729</v>
      </c>
      <c r="I24" s="990">
        <v>54.946922993950992</v>
      </c>
      <c r="J24" s="992">
        <v>57.218070201564544</v>
      </c>
      <c r="K24" s="117"/>
      <c r="L24" s="117"/>
      <c r="M24" s="117"/>
      <c r="N24" s="117"/>
      <c r="O24" s="117"/>
      <c r="P24" s="117"/>
      <c r="Q24" s="117"/>
      <c r="R24" s="117"/>
      <c r="S24" s="117"/>
      <c r="T24" s="117"/>
      <c r="U24" s="117"/>
      <c r="V24" s="117"/>
      <c r="X24" s="2202"/>
      <c r="Y24" s="2203"/>
    </row>
    <row r="25" spans="1:26" ht="14.45" customHeight="1" x14ac:dyDescent="0.25">
      <c r="D25" s="3033" t="s">
        <v>416</v>
      </c>
      <c r="E25" s="993">
        <v>51.69738884036618</v>
      </c>
      <c r="F25" s="2282">
        <v>55.139866320824595</v>
      </c>
      <c r="G25" s="993">
        <v>57.852422111689343</v>
      </c>
      <c r="H25" s="991">
        <v>54.079261411439226</v>
      </c>
      <c r="I25" s="990">
        <v>56.284782644099984</v>
      </c>
      <c r="J25" s="992">
        <v>57.782413749264414</v>
      </c>
      <c r="K25" s="117"/>
      <c r="L25" s="117"/>
      <c r="M25" s="117"/>
      <c r="N25" s="117"/>
      <c r="O25" s="117"/>
      <c r="P25" s="117"/>
      <c r="Q25" s="117"/>
      <c r="R25" s="117"/>
      <c r="S25" s="117"/>
      <c r="T25" s="117"/>
      <c r="U25" s="117"/>
      <c r="V25" s="117"/>
      <c r="X25" s="2202"/>
      <c r="Y25" s="2203"/>
    </row>
    <row r="26" spans="1:26" x14ac:dyDescent="0.25">
      <c r="D26" s="3033" t="s">
        <v>419</v>
      </c>
      <c r="E26" s="993">
        <v>48.049268486136768</v>
      </c>
      <c r="F26" s="2282">
        <v>51.651166666320051</v>
      </c>
      <c r="G26" s="993">
        <v>53.464452202473332</v>
      </c>
      <c r="H26" s="991">
        <v>49.542228697419539</v>
      </c>
      <c r="I26" s="990">
        <v>52.178461019589975</v>
      </c>
      <c r="J26" s="992">
        <v>56.116062552387461</v>
      </c>
      <c r="K26" s="117"/>
      <c r="L26" s="117"/>
      <c r="M26" s="117"/>
      <c r="N26" s="117"/>
      <c r="O26" s="117"/>
      <c r="P26" s="117"/>
      <c r="Q26" s="117"/>
      <c r="R26" s="117"/>
      <c r="S26" s="117"/>
      <c r="T26" s="117"/>
      <c r="U26" s="117"/>
      <c r="V26" s="117"/>
      <c r="X26" s="2202"/>
      <c r="Y26" s="2203"/>
    </row>
    <row r="27" spans="1:26" x14ac:dyDescent="0.25">
      <c r="D27" s="3033" t="s">
        <v>414</v>
      </c>
      <c r="E27" s="993">
        <v>58.255686510342024</v>
      </c>
      <c r="F27" s="2282">
        <v>61.380017542595013</v>
      </c>
      <c r="G27" s="993">
        <v>63.66609881399711</v>
      </c>
      <c r="H27" s="991">
        <v>61.901505284628982</v>
      </c>
      <c r="I27" s="990">
        <v>63.666432941488878</v>
      </c>
      <c r="J27" s="992">
        <v>65.967999774099937</v>
      </c>
      <c r="K27" s="117"/>
      <c r="L27" s="117"/>
      <c r="M27" s="117"/>
      <c r="N27" s="117"/>
      <c r="O27" s="117"/>
      <c r="P27" s="117"/>
      <c r="Q27" s="117"/>
      <c r="R27" s="117"/>
      <c r="S27" s="117"/>
      <c r="T27" s="117"/>
      <c r="U27" s="117"/>
      <c r="V27" s="117"/>
      <c r="X27" s="2202"/>
      <c r="Y27" s="2203"/>
    </row>
    <row r="28" spans="1:26" x14ac:dyDescent="0.25">
      <c r="C28" s="2201">
        <v>10</v>
      </c>
      <c r="D28" s="3040" t="s">
        <v>0</v>
      </c>
      <c r="E28" s="2283">
        <v>50.9</v>
      </c>
      <c r="F28" s="2284">
        <v>53.2</v>
      </c>
      <c r="G28" s="988">
        <v>57.5</v>
      </c>
      <c r="H28" s="989">
        <v>54.4</v>
      </c>
      <c r="I28" s="2284">
        <v>55.5</v>
      </c>
      <c r="J28" s="988">
        <v>62.4</v>
      </c>
      <c r="K28" s="117"/>
      <c r="L28" s="117"/>
      <c r="M28" s="117"/>
      <c r="N28" s="117"/>
      <c r="O28" s="117"/>
      <c r="P28" s="117"/>
      <c r="Q28" s="117"/>
      <c r="R28" s="117"/>
      <c r="S28" s="117"/>
      <c r="T28" s="117"/>
      <c r="U28" s="117"/>
      <c r="V28" s="117"/>
      <c r="X28" s="2202"/>
      <c r="Y28" s="2203"/>
    </row>
    <row r="30" spans="1:26" x14ac:dyDescent="0.25">
      <c r="A30" s="453">
        <v>5</v>
      </c>
      <c r="B30" s="453" t="s">
        <v>77</v>
      </c>
      <c r="C30" s="453"/>
      <c r="D30" s="996"/>
      <c r="E30" s="117"/>
      <c r="F30" s="117"/>
      <c r="G30" s="117"/>
      <c r="H30" s="117"/>
      <c r="I30" s="117"/>
      <c r="J30" s="117"/>
      <c r="K30" s="117"/>
      <c r="L30" s="117"/>
      <c r="M30" s="117"/>
      <c r="N30" s="117"/>
      <c r="O30" s="117"/>
      <c r="P30" s="117"/>
      <c r="Q30" s="117"/>
      <c r="R30" s="117"/>
      <c r="S30" s="117"/>
      <c r="T30" s="117"/>
      <c r="U30" s="117"/>
      <c r="V30" s="117"/>
    </row>
    <row r="31" spans="1:26" x14ac:dyDescent="0.25">
      <c r="B31" s="3796"/>
      <c r="D31" s="996"/>
      <c r="E31" s="117"/>
      <c r="F31" s="117"/>
      <c r="G31" s="117"/>
      <c r="H31" s="117"/>
      <c r="I31" s="117"/>
      <c r="J31" s="117"/>
      <c r="K31" s="117"/>
      <c r="L31" s="117"/>
      <c r="M31" s="117"/>
      <c r="N31" s="117"/>
      <c r="O31" s="117"/>
      <c r="P31" s="117"/>
      <c r="Q31" s="117"/>
      <c r="R31" s="117"/>
      <c r="S31" s="117"/>
      <c r="T31" s="117"/>
      <c r="U31" s="117"/>
      <c r="V31" s="117"/>
    </row>
    <row r="32" spans="1:26" x14ac:dyDescent="0.25">
      <c r="B32" s="3796"/>
      <c r="D32" s="996"/>
      <c r="E32" s="117"/>
      <c r="F32" s="117"/>
      <c r="G32" s="117"/>
      <c r="H32" s="117"/>
      <c r="I32" s="117"/>
      <c r="J32" s="117"/>
      <c r="K32" s="117"/>
      <c r="L32" s="117"/>
      <c r="M32" s="117"/>
      <c r="N32" s="117"/>
      <c r="O32" s="117"/>
      <c r="P32" s="117"/>
      <c r="Q32" s="117"/>
      <c r="R32" s="117"/>
      <c r="S32" s="117"/>
      <c r="T32" s="117"/>
      <c r="U32" s="117"/>
      <c r="V32" s="117"/>
    </row>
    <row r="33" spans="2:22" x14ac:dyDescent="0.25">
      <c r="B33" s="3796"/>
      <c r="D33" s="996"/>
      <c r="E33" s="117"/>
      <c r="F33" s="117"/>
      <c r="G33" s="117"/>
      <c r="H33" s="117"/>
      <c r="I33" s="117"/>
      <c r="J33" s="117"/>
      <c r="K33" s="117"/>
      <c r="L33" s="117"/>
      <c r="M33" s="117"/>
      <c r="N33" s="117"/>
      <c r="O33" s="117"/>
      <c r="P33" s="117"/>
      <c r="Q33" s="117"/>
      <c r="R33" s="117"/>
      <c r="S33" s="117"/>
      <c r="T33" s="117"/>
      <c r="U33" s="117"/>
      <c r="V33" s="117"/>
    </row>
    <row r="34" spans="2:22" x14ac:dyDescent="0.25">
      <c r="B34" s="3796"/>
      <c r="D34" s="996"/>
      <c r="E34" s="117"/>
      <c r="F34" s="117"/>
      <c r="G34" s="117"/>
      <c r="H34" s="117"/>
      <c r="I34" s="117"/>
      <c r="J34" s="117"/>
      <c r="K34" s="117"/>
      <c r="L34" s="117"/>
      <c r="M34" s="117"/>
      <c r="N34" s="117"/>
      <c r="O34" s="117"/>
      <c r="P34" s="117"/>
      <c r="Q34" s="117"/>
      <c r="R34" s="117"/>
      <c r="S34" s="117"/>
      <c r="T34" s="117"/>
      <c r="U34" s="117"/>
      <c r="V34" s="117"/>
    </row>
    <row r="35" spans="2:22" x14ac:dyDescent="0.25">
      <c r="B35" s="3796"/>
      <c r="D35" s="996"/>
      <c r="E35" s="117"/>
      <c r="F35" s="117"/>
      <c r="G35" s="117"/>
      <c r="H35" s="117"/>
      <c r="I35" s="117"/>
      <c r="J35" s="117"/>
      <c r="K35" s="117"/>
      <c r="L35" s="117"/>
      <c r="M35" s="117"/>
      <c r="N35" s="117"/>
      <c r="O35" s="117"/>
      <c r="P35" s="117"/>
      <c r="Q35" s="117"/>
      <c r="R35" s="117"/>
      <c r="S35" s="117"/>
      <c r="T35" s="117"/>
      <c r="U35" s="117"/>
      <c r="V35" s="117"/>
    </row>
    <row r="36" spans="2:22" x14ac:dyDescent="0.25">
      <c r="B36" s="3796"/>
      <c r="D36" s="996"/>
      <c r="E36" s="117"/>
      <c r="F36" s="117"/>
      <c r="G36" s="117"/>
      <c r="H36" s="117"/>
      <c r="I36" s="117"/>
      <c r="J36" s="117"/>
      <c r="K36" s="117"/>
      <c r="L36" s="117"/>
      <c r="M36" s="117"/>
      <c r="N36" s="117"/>
      <c r="O36" s="117"/>
      <c r="P36" s="117"/>
      <c r="Q36" s="117"/>
      <c r="R36" s="117"/>
      <c r="S36" s="117"/>
      <c r="T36" s="117"/>
      <c r="U36" s="117"/>
      <c r="V36" s="117"/>
    </row>
    <row r="37" spans="2:22" x14ac:dyDescent="0.25">
      <c r="B37" s="3796"/>
      <c r="D37" s="996"/>
      <c r="E37" s="117"/>
      <c r="F37" s="117"/>
      <c r="G37" s="117"/>
      <c r="H37" s="117"/>
      <c r="I37" s="117"/>
      <c r="J37" s="117"/>
      <c r="K37" s="117"/>
      <c r="L37" s="117"/>
      <c r="M37" s="117"/>
      <c r="N37" s="117"/>
      <c r="O37" s="117"/>
      <c r="P37" s="117"/>
      <c r="Q37" s="117"/>
      <c r="R37" s="117"/>
      <c r="S37" s="117"/>
      <c r="T37" s="117"/>
      <c r="U37" s="117"/>
      <c r="V37" s="117"/>
    </row>
    <row r="38" spans="2:22" x14ac:dyDescent="0.25">
      <c r="B38" s="3796"/>
      <c r="D38" s="996"/>
      <c r="E38" s="117"/>
      <c r="F38" s="117"/>
      <c r="G38" s="117"/>
      <c r="H38" s="117"/>
      <c r="I38" s="117"/>
      <c r="J38" s="117"/>
      <c r="K38" s="117"/>
      <c r="L38" s="117"/>
      <c r="M38" s="117"/>
      <c r="N38" s="117"/>
      <c r="O38" s="117"/>
      <c r="P38" s="117"/>
      <c r="Q38" s="117"/>
      <c r="R38" s="117"/>
      <c r="S38" s="117"/>
      <c r="T38" s="117"/>
      <c r="U38" s="117"/>
      <c r="V38" s="117"/>
    </row>
    <row r="39" spans="2:22" x14ac:dyDescent="0.25">
      <c r="B39" s="3796"/>
      <c r="D39" s="996"/>
      <c r="E39" s="117"/>
      <c r="F39" s="117"/>
      <c r="G39" s="117"/>
      <c r="H39" s="117"/>
      <c r="I39" s="117"/>
      <c r="J39" s="117"/>
      <c r="K39" s="117"/>
      <c r="L39" s="117"/>
      <c r="M39" s="117"/>
      <c r="N39" s="117"/>
      <c r="O39" s="117"/>
      <c r="P39" s="117"/>
      <c r="Q39" s="117"/>
      <c r="R39" s="117"/>
      <c r="S39" s="117"/>
      <c r="T39" s="117"/>
      <c r="U39" s="117"/>
      <c r="V39" s="117"/>
    </row>
    <row r="40" spans="2:22" x14ac:dyDescent="0.25">
      <c r="B40" s="3796"/>
      <c r="D40" s="996"/>
      <c r="E40" s="117"/>
      <c r="F40" s="117"/>
      <c r="G40" s="117"/>
      <c r="H40" s="117"/>
      <c r="I40" s="117"/>
      <c r="J40" s="117"/>
      <c r="K40" s="117"/>
      <c r="L40" s="117"/>
      <c r="M40" s="117"/>
      <c r="N40" s="117"/>
      <c r="O40" s="117"/>
      <c r="P40" s="117"/>
      <c r="Q40" s="117"/>
      <c r="R40" s="117"/>
      <c r="S40" s="117"/>
      <c r="T40" s="117"/>
      <c r="U40" s="117"/>
      <c r="V40" s="117"/>
    </row>
    <row r="41" spans="2:22" x14ac:dyDescent="0.25">
      <c r="D41" s="996"/>
      <c r="E41" s="117"/>
      <c r="F41" s="117"/>
      <c r="G41" s="117"/>
      <c r="H41" s="117"/>
      <c r="I41" s="117"/>
      <c r="J41" s="117"/>
      <c r="K41" s="117"/>
      <c r="L41" s="117"/>
      <c r="M41" s="117"/>
      <c r="N41" s="117"/>
      <c r="O41" s="117"/>
      <c r="P41" s="117"/>
      <c r="Q41" s="117"/>
      <c r="R41" s="117"/>
      <c r="S41" s="117"/>
      <c r="T41" s="117"/>
      <c r="U41" s="117"/>
      <c r="V41" s="117"/>
    </row>
    <row r="42" spans="2:22" x14ac:dyDescent="0.25">
      <c r="D42" s="996"/>
      <c r="E42" s="117"/>
      <c r="F42" s="117"/>
      <c r="G42" s="117"/>
      <c r="H42" s="117"/>
      <c r="I42" s="117"/>
      <c r="J42" s="117"/>
      <c r="K42" s="117"/>
      <c r="L42" s="117"/>
      <c r="M42" s="117"/>
      <c r="N42" s="117"/>
      <c r="O42" s="117"/>
      <c r="P42" s="117"/>
      <c r="Q42" s="117"/>
      <c r="R42" s="117"/>
      <c r="S42" s="117"/>
      <c r="T42" s="117"/>
      <c r="U42" s="117"/>
      <c r="V42" s="117"/>
    </row>
    <row r="43" spans="2:22" x14ac:dyDescent="0.25">
      <c r="B43" s="2171"/>
      <c r="C43" s="2171"/>
      <c r="D43" s="996"/>
      <c r="E43" s="117"/>
      <c r="F43" s="117"/>
      <c r="G43" s="117"/>
      <c r="H43" s="117"/>
      <c r="I43" s="117"/>
      <c r="J43" s="117"/>
      <c r="K43" s="117"/>
      <c r="L43" s="117"/>
      <c r="M43" s="117"/>
      <c r="N43" s="117"/>
      <c r="O43" s="117"/>
      <c r="P43" s="117"/>
      <c r="Q43" s="117"/>
      <c r="R43" s="117"/>
      <c r="S43" s="117"/>
      <c r="T43" s="117"/>
      <c r="U43" s="117"/>
      <c r="V43" s="117"/>
    </row>
    <row r="44" spans="2:22" x14ac:dyDescent="0.25">
      <c r="D44" s="996"/>
      <c r="E44" s="117"/>
      <c r="F44" s="117"/>
      <c r="G44" s="117"/>
      <c r="H44" s="117"/>
      <c r="I44" s="117"/>
      <c r="J44" s="117"/>
      <c r="K44" s="117"/>
      <c r="L44" s="117"/>
      <c r="M44" s="117"/>
      <c r="N44" s="117"/>
      <c r="O44" s="117"/>
      <c r="P44" s="117"/>
      <c r="Q44" s="117"/>
      <c r="R44" s="117"/>
      <c r="S44" s="117"/>
      <c r="T44" s="117"/>
      <c r="U44" s="117"/>
      <c r="V44" s="117"/>
    </row>
    <row r="45" spans="2:22" x14ac:dyDescent="0.25">
      <c r="D45" s="996"/>
      <c r="E45" s="117"/>
      <c r="F45" s="117"/>
      <c r="G45" s="117"/>
      <c r="H45" s="117"/>
      <c r="I45" s="117"/>
      <c r="J45" s="117"/>
      <c r="K45" s="117"/>
      <c r="L45" s="117"/>
      <c r="M45" s="117"/>
      <c r="N45" s="117"/>
      <c r="O45" s="996"/>
      <c r="P45" s="117"/>
      <c r="Q45" s="117"/>
      <c r="R45" s="117"/>
      <c r="S45" s="117"/>
      <c r="T45" s="117"/>
      <c r="U45" s="117"/>
      <c r="V45" s="116"/>
    </row>
    <row r="46" spans="2:22" x14ac:dyDescent="0.25">
      <c r="D46" s="996"/>
      <c r="E46" s="996"/>
      <c r="F46" s="996"/>
      <c r="G46" s="996"/>
      <c r="H46" s="996"/>
      <c r="I46" s="996"/>
      <c r="J46" s="996"/>
      <c r="K46" s="996"/>
      <c r="L46" s="996"/>
      <c r="M46" s="996"/>
      <c r="N46" s="996"/>
      <c r="O46" s="996"/>
      <c r="P46" s="996"/>
      <c r="Q46" s="996"/>
      <c r="R46" s="996"/>
      <c r="S46" s="996"/>
      <c r="T46" s="996"/>
      <c r="U46" s="996"/>
      <c r="V46" s="996"/>
    </row>
    <row r="47" spans="2:22" x14ac:dyDescent="0.25">
      <c r="D47" s="996"/>
      <c r="E47" s="996"/>
      <c r="F47" s="996"/>
      <c r="G47" s="996"/>
      <c r="H47" s="996"/>
      <c r="I47" s="996"/>
      <c r="J47" s="996"/>
      <c r="K47" s="996"/>
      <c r="L47" s="996"/>
      <c r="M47" s="996"/>
      <c r="N47" s="996"/>
      <c r="O47" s="996"/>
      <c r="P47" s="996"/>
      <c r="Q47" s="996"/>
      <c r="R47" s="996"/>
      <c r="S47" s="996"/>
      <c r="T47" s="996"/>
      <c r="U47" s="996"/>
      <c r="V47" s="996"/>
    </row>
    <row r="48" spans="2:22" x14ac:dyDescent="0.25">
      <c r="D48" s="996"/>
      <c r="E48" s="996"/>
      <c r="F48" s="996"/>
      <c r="G48" s="996"/>
      <c r="H48" s="996"/>
      <c r="I48" s="996"/>
      <c r="J48" s="996"/>
      <c r="K48" s="996"/>
      <c r="L48" s="996"/>
      <c r="M48" s="996"/>
      <c r="N48" s="996"/>
      <c r="O48" s="996"/>
      <c r="P48" s="996"/>
      <c r="Q48" s="996"/>
      <c r="R48" s="996"/>
      <c r="S48" s="996"/>
      <c r="T48" s="996"/>
      <c r="U48" s="996"/>
      <c r="V48" s="996"/>
    </row>
    <row r="49" spans="1:23" x14ac:dyDescent="0.25">
      <c r="A49" s="453">
        <v>6</v>
      </c>
      <c r="B49" s="453" t="s">
        <v>78</v>
      </c>
      <c r="C49" s="453"/>
      <c r="D49" s="3553" t="s">
        <v>589</v>
      </c>
      <c r="E49" s="3554"/>
      <c r="F49" s="3554"/>
      <c r="G49" s="3554"/>
      <c r="H49" s="3554"/>
      <c r="I49" s="3554"/>
      <c r="J49" s="3554"/>
      <c r="K49" s="3554"/>
      <c r="L49" s="3554"/>
      <c r="M49" s="3554"/>
      <c r="N49" s="3554"/>
      <c r="O49" s="3554"/>
      <c r="P49" s="3554"/>
      <c r="Q49" s="3554"/>
      <c r="R49" s="3554"/>
      <c r="S49" s="3554"/>
      <c r="T49" s="3554"/>
      <c r="U49" s="3554"/>
      <c r="V49" s="3555"/>
    </row>
    <row r="50" spans="1:23" ht="27.75" customHeight="1" x14ac:dyDescent="0.25">
      <c r="A50" s="472">
        <v>7</v>
      </c>
      <c r="B50" s="472" t="s">
        <v>80</v>
      </c>
      <c r="C50" s="472"/>
      <c r="D50" s="3568" t="s">
        <v>1468</v>
      </c>
      <c r="E50" s="3569"/>
      <c r="F50" s="3569"/>
      <c r="G50" s="3569"/>
      <c r="H50" s="3569"/>
      <c r="I50" s="3569"/>
      <c r="J50" s="3569"/>
      <c r="K50" s="3569"/>
      <c r="L50" s="3569"/>
      <c r="M50" s="3569"/>
      <c r="N50" s="3569"/>
      <c r="O50" s="3569"/>
      <c r="P50" s="3569"/>
      <c r="Q50" s="3569"/>
      <c r="R50" s="3569"/>
      <c r="S50" s="3569"/>
      <c r="T50" s="3569"/>
      <c r="U50" s="3569"/>
      <c r="V50" s="3570"/>
    </row>
    <row r="51" spans="1:23" ht="13.5" customHeight="1" x14ac:dyDescent="0.25">
      <c r="A51" s="453">
        <v>8</v>
      </c>
      <c r="B51" s="453" t="s">
        <v>20</v>
      </c>
      <c r="C51" s="453"/>
      <c r="D51" s="3556" t="s">
        <v>1469</v>
      </c>
      <c r="E51" s="3557"/>
      <c r="F51" s="3557"/>
      <c r="G51" s="3557"/>
      <c r="H51" s="3557"/>
      <c r="I51" s="3557"/>
      <c r="J51" s="3557"/>
      <c r="K51" s="3557"/>
      <c r="L51" s="3557"/>
      <c r="M51" s="3557"/>
      <c r="N51" s="3557"/>
      <c r="O51" s="3557"/>
      <c r="P51" s="3557"/>
      <c r="Q51" s="3557"/>
      <c r="R51" s="3557"/>
      <c r="S51" s="3557"/>
      <c r="T51" s="3557"/>
      <c r="U51" s="3557"/>
      <c r="V51" s="3558"/>
    </row>
    <row r="52" spans="1:23" x14ac:dyDescent="0.25">
      <c r="B52" s="453"/>
      <c r="C52" s="453"/>
      <c r="D52" s="3556" t="s">
        <v>1874</v>
      </c>
      <c r="E52" s="3557"/>
      <c r="F52" s="3557"/>
      <c r="G52" s="3557"/>
      <c r="H52" s="3557"/>
      <c r="I52" s="3557"/>
      <c r="J52" s="3557"/>
      <c r="K52" s="3557"/>
      <c r="L52" s="3557"/>
      <c r="M52" s="3557"/>
      <c r="N52" s="3557"/>
      <c r="O52" s="3557"/>
      <c r="P52" s="3557"/>
      <c r="Q52" s="3557"/>
      <c r="R52" s="3557"/>
      <c r="S52" s="3557"/>
      <c r="T52" s="3557"/>
      <c r="U52" s="3557"/>
      <c r="V52" s="3558"/>
    </row>
    <row r="53" spans="1:23" s="964" customFormat="1" ht="14.25" x14ac:dyDescent="0.2">
      <c r="A53" s="835">
        <v>9</v>
      </c>
      <c r="B53" s="835" t="s">
        <v>83</v>
      </c>
      <c r="C53" s="1791"/>
      <c r="D53" s="3800" t="s">
        <v>1872</v>
      </c>
      <c r="E53" s="3714"/>
      <c r="F53" s="3714"/>
      <c r="G53" s="3714"/>
      <c r="H53" s="3714"/>
      <c r="I53" s="3714"/>
      <c r="J53" s="3714"/>
      <c r="K53" s="3714"/>
      <c r="L53" s="3714"/>
      <c r="M53" s="3714"/>
      <c r="N53" s="3714"/>
      <c r="O53" s="3714"/>
      <c r="P53" s="3714"/>
      <c r="Q53" s="3714"/>
      <c r="R53" s="3714"/>
      <c r="S53" s="3714"/>
      <c r="T53" s="3714"/>
      <c r="U53" s="3714"/>
      <c r="V53" s="3715"/>
    </row>
    <row r="54" spans="1:23" x14ac:dyDescent="0.25">
      <c r="B54" s="453"/>
      <c r="D54" s="57"/>
      <c r="E54" s="57"/>
      <c r="F54" s="57"/>
      <c r="G54" s="57"/>
      <c r="H54" s="57"/>
      <c r="I54" s="57"/>
      <c r="J54" s="57"/>
      <c r="K54" s="57"/>
      <c r="L54" s="57"/>
      <c r="M54" s="57"/>
      <c r="N54" s="57"/>
      <c r="O54" s="723"/>
      <c r="P54" s="723"/>
      <c r="Q54" s="723"/>
      <c r="R54" s="723"/>
      <c r="S54" s="723"/>
      <c r="T54" s="723"/>
      <c r="U54" s="723"/>
      <c r="V54" s="723"/>
      <c r="W54" s="723"/>
    </row>
    <row r="55" spans="1:23" x14ac:dyDescent="0.25">
      <c r="B55" s="453"/>
      <c r="D55" s="57"/>
      <c r="E55" s="57"/>
      <c r="F55" s="57"/>
      <c r="G55" s="57"/>
      <c r="H55" s="57"/>
      <c r="I55" s="57"/>
      <c r="J55" s="57"/>
      <c r="K55" s="57"/>
      <c r="L55" s="57"/>
      <c r="M55" s="57"/>
      <c r="N55" s="57"/>
      <c r="O55" s="723"/>
      <c r="P55" s="723"/>
      <c r="Q55" s="723"/>
      <c r="R55" s="723"/>
      <c r="S55" s="723"/>
      <c r="T55" s="723"/>
      <c r="U55" s="723"/>
      <c r="V55" s="723"/>
      <c r="W55" s="723"/>
    </row>
    <row r="56" spans="1:23" x14ac:dyDescent="0.25">
      <c r="B56" s="453"/>
      <c r="D56" s="57"/>
      <c r="E56" s="57"/>
      <c r="F56" s="57"/>
      <c r="G56" s="57"/>
      <c r="H56" s="57"/>
      <c r="I56" s="57"/>
      <c r="J56" s="57"/>
      <c r="K56" s="57"/>
      <c r="L56" s="57"/>
      <c r="M56" s="57"/>
      <c r="N56" s="57"/>
      <c r="O56" s="723"/>
      <c r="P56" s="723"/>
      <c r="Q56" s="723"/>
      <c r="R56" s="723"/>
      <c r="S56" s="723"/>
      <c r="T56" s="723"/>
      <c r="U56" s="723"/>
      <c r="V56" s="723"/>
      <c r="W56" s="723"/>
    </row>
    <row r="57" spans="1:23" x14ac:dyDescent="0.25">
      <c r="B57" s="453"/>
      <c r="D57" s="57"/>
      <c r="E57" s="57"/>
      <c r="F57" s="57"/>
      <c r="G57" s="57"/>
      <c r="H57" s="57"/>
      <c r="I57" s="57"/>
      <c r="J57" s="57"/>
      <c r="K57" s="57"/>
      <c r="L57" s="57"/>
      <c r="M57" s="57"/>
      <c r="N57" s="57"/>
      <c r="O57" s="723"/>
      <c r="P57" s="723"/>
      <c r="Q57" s="723"/>
      <c r="R57" s="723"/>
      <c r="S57" s="723"/>
      <c r="T57" s="723"/>
      <c r="U57" s="723"/>
      <c r="V57" s="723"/>
      <c r="W57" s="723"/>
    </row>
    <row r="58" spans="1:23" x14ac:dyDescent="0.25">
      <c r="B58" s="453"/>
      <c r="D58" s="57"/>
      <c r="E58" s="57"/>
      <c r="F58" s="57"/>
      <c r="G58" s="57"/>
      <c r="H58" s="57"/>
      <c r="I58" s="57"/>
      <c r="J58" s="57"/>
      <c r="K58" s="57"/>
      <c r="L58" s="57"/>
      <c r="M58" s="57"/>
      <c r="N58" s="57"/>
      <c r="O58" s="723"/>
      <c r="P58" s="723"/>
      <c r="Q58" s="723"/>
      <c r="R58" s="723"/>
      <c r="S58" s="723"/>
      <c r="T58" s="723"/>
      <c r="U58" s="723"/>
      <c r="V58" s="723"/>
      <c r="W58" s="723"/>
    </row>
  </sheetData>
  <mergeCells count="13">
    <mergeCell ref="D2:U2"/>
    <mergeCell ref="D53:V53"/>
    <mergeCell ref="D3:U3"/>
    <mergeCell ref="D4:U4"/>
    <mergeCell ref="D5:U5"/>
    <mergeCell ref="D50:V50"/>
    <mergeCell ref="D51:V51"/>
    <mergeCell ref="D52:V52"/>
    <mergeCell ref="B9:B11"/>
    <mergeCell ref="E17:F17"/>
    <mergeCell ref="H17:J17"/>
    <mergeCell ref="B31:B40"/>
    <mergeCell ref="D49:V49"/>
  </mergeCells>
  <pageMargins left="0.74803149606299213" right="0.74803149606299213" top="0.98425196850393704" bottom="0.98425196850393704" header="0.51181102362204722" footer="0.51181102362204722"/>
  <pageSetup paperSize="9" scale="58"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60"/>
  <sheetViews>
    <sheetView showGridLines="0" view="pageBreakPreview" zoomScale="80" zoomScaleNormal="100" zoomScaleSheetLayoutView="80" workbookViewId="0">
      <selection activeCell="D32" sqref="D32:W32"/>
    </sheetView>
  </sheetViews>
  <sheetFormatPr defaultColWidth="9.140625" defaultRowHeight="15" x14ac:dyDescent="0.2"/>
  <cols>
    <col min="1" max="1" width="3.7109375" style="965" customWidth="1"/>
    <col min="2" max="2" width="14.42578125" style="1277" customWidth="1"/>
    <col min="3" max="3" width="3.7109375" style="1277" customWidth="1"/>
    <col min="4" max="4" width="25.5703125" style="964" customWidth="1"/>
    <col min="5" max="15" width="7.42578125" style="964" customWidth="1"/>
    <col min="16" max="19" width="6.5703125" style="964" customWidth="1"/>
    <col min="20" max="20" width="6.42578125" style="964" customWidth="1"/>
    <col min="21" max="21" width="5.5703125" style="964" customWidth="1"/>
    <col min="22" max="23" width="7.85546875" style="964" customWidth="1"/>
    <col min="24" max="257" width="9.140625" style="964"/>
    <col min="258" max="258" width="3.7109375" style="964" customWidth="1"/>
    <col min="259" max="259" width="14.42578125" style="964" customWidth="1"/>
    <col min="260" max="260" width="3.7109375" style="964" customWidth="1"/>
    <col min="261" max="261" width="25.5703125" style="964" customWidth="1"/>
    <col min="262" max="272" width="7.42578125" style="964" customWidth="1"/>
    <col min="273" max="275" width="6.5703125" style="964" customWidth="1"/>
    <col min="276" max="277" width="9.140625" style="964"/>
    <col min="278" max="278" width="7.85546875" style="964" customWidth="1"/>
    <col min="279" max="513" width="9.140625" style="964"/>
    <col min="514" max="514" width="3.7109375" style="964" customWidth="1"/>
    <col min="515" max="515" width="14.42578125" style="964" customWidth="1"/>
    <col min="516" max="516" width="3.7109375" style="964" customWidth="1"/>
    <col min="517" max="517" width="25.5703125" style="964" customWidth="1"/>
    <col min="518" max="528" width="7.42578125" style="964" customWidth="1"/>
    <col min="529" max="531" width="6.5703125" style="964" customWidth="1"/>
    <col min="532" max="533" width="9.140625" style="964"/>
    <col min="534" max="534" width="7.85546875" style="964" customWidth="1"/>
    <col min="535" max="769" width="9.140625" style="964"/>
    <col min="770" max="770" width="3.7109375" style="964" customWidth="1"/>
    <col min="771" max="771" width="14.42578125" style="964" customWidth="1"/>
    <col min="772" max="772" width="3.7109375" style="964" customWidth="1"/>
    <col min="773" max="773" width="25.5703125" style="964" customWidth="1"/>
    <col min="774" max="784" width="7.42578125" style="964" customWidth="1"/>
    <col min="785" max="787" width="6.5703125" style="964" customWidth="1"/>
    <col min="788" max="789" width="9.140625" style="964"/>
    <col min="790" max="790" width="7.85546875" style="964" customWidth="1"/>
    <col min="791" max="1025" width="9.140625" style="964"/>
    <col min="1026" max="1026" width="3.7109375" style="964" customWidth="1"/>
    <col min="1027" max="1027" width="14.42578125" style="964" customWidth="1"/>
    <col min="1028" max="1028" width="3.7109375" style="964" customWidth="1"/>
    <col min="1029" max="1029" width="25.5703125" style="964" customWidth="1"/>
    <col min="1030" max="1040" width="7.42578125" style="964" customWidth="1"/>
    <col min="1041" max="1043" width="6.5703125" style="964" customWidth="1"/>
    <col min="1044" max="1045" width="9.140625" style="964"/>
    <col min="1046" max="1046" width="7.85546875" style="964" customWidth="1"/>
    <col min="1047" max="1281" width="9.140625" style="964"/>
    <col min="1282" max="1282" width="3.7109375" style="964" customWidth="1"/>
    <col min="1283" max="1283" width="14.42578125" style="964" customWidth="1"/>
    <col min="1284" max="1284" width="3.7109375" style="964" customWidth="1"/>
    <col min="1285" max="1285" width="25.5703125" style="964" customWidth="1"/>
    <col min="1286" max="1296" width="7.42578125" style="964" customWidth="1"/>
    <col min="1297" max="1299" width="6.5703125" style="964" customWidth="1"/>
    <col min="1300" max="1301" width="9.140625" style="964"/>
    <col min="1302" max="1302" width="7.85546875" style="964" customWidth="1"/>
    <col min="1303" max="1537" width="9.140625" style="964"/>
    <col min="1538" max="1538" width="3.7109375" style="964" customWidth="1"/>
    <col min="1539" max="1539" width="14.42578125" style="964" customWidth="1"/>
    <col min="1540" max="1540" width="3.7109375" style="964" customWidth="1"/>
    <col min="1541" max="1541" width="25.5703125" style="964" customWidth="1"/>
    <col min="1542" max="1552" width="7.42578125" style="964" customWidth="1"/>
    <col min="1553" max="1555" width="6.5703125" style="964" customWidth="1"/>
    <col min="1556" max="1557" width="9.140625" style="964"/>
    <col min="1558" max="1558" width="7.85546875" style="964" customWidth="1"/>
    <col min="1559" max="1793" width="9.140625" style="964"/>
    <col min="1794" max="1794" width="3.7109375" style="964" customWidth="1"/>
    <col min="1795" max="1795" width="14.42578125" style="964" customWidth="1"/>
    <col min="1796" max="1796" width="3.7109375" style="964" customWidth="1"/>
    <col min="1797" max="1797" width="25.5703125" style="964" customWidth="1"/>
    <col min="1798" max="1808" width="7.42578125" style="964" customWidth="1"/>
    <col min="1809" max="1811" width="6.5703125" style="964" customWidth="1"/>
    <col min="1812" max="1813" width="9.140625" style="964"/>
    <col min="1814" max="1814" width="7.85546875" style="964" customWidth="1"/>
    <col min="1815" max="2049" width="9.140625" style="964"/>
    <col min="2050" max="2050" width="3.7109375" style="964" customWidth="1"/>
    <col min="2051" max="2051" width="14.42578125" style="964" customWidth="1"/>
    <col min="2052" max="2052" width="3.7109375" style="964" customWidth="1"/>
    <col min="2053" max="2053" width="25.5703125" style="964" customWidth="1"/>
    <col min="2054" max="2064" width="7.42578125" style="964" customWidth="1"/>
    <col min="2065" max="2067" width="6.5703125" style="964" customWidth="1"/>
    <col min="2068" max="2069" width="9.140625" style="964"/>
    <col min="2070" max="2070" width="7.85546875" style="964" customWidth="1"/>
    <col min="2071" max="2305" width="9.140625" style="964"/>
    <col min="2306" max="2306" width="3.7109375" style="964" customWidth="1"/>
    <col min="2307" max="2307" width="14.42578125" style="964" customWidth="1"/>
    <col min="2308" max="2308" width="3.7109375" style="964" customWidth="1"/>
    <col min="2309" max="2309" width="25.5703125" style="964" customWidth="1"/>
    <col min="2310" max="2320" width="7.42578125" style="964" customWidth="1"/>
    <col min="2321" max="2323" width="6.5703125" style="964" customWidth="1"/>
    <col min="2324" max="2325" width="9.140625" style="964"/>
    <col min="2326" max="2326" width="7.85546875" style="964" customWidth="1"/>
    <col min="2327" max="2561" width="9.140625" style="964"/>
    <col min="2562" max="2562" width="3.7109375" style="964" customWidth="1"/>
    <col min="2563" max="2563" width="14.42578125" style="964" customWidth="1"/>
    <col min="2564" max="2564" width="3.7109375" style="964" customWidth="1"/>
    <col min="2565" max="2565" width="25.5703125" style="964" customWidth="1"/>
    <col min="2566" max="2576" width="7.42578125" style="964" customWidth="1"/>
    <col min="2577" max="2579" width="6.5703125" style="964" customWidth="1"/>
    <col min="2580" max="2581" width="9.140625" style="964"/>
    <col min="2582" max="2582" width="7.85546875" style="964" customWidth="1"/>
    <col min="2583" max="2817" width="9.140625" style="964"/>
    <col min="2818" max="2818" width="3.7109375" style="964" customWidth="1"/>
    <col min="2819" max="2819" width="14.42578125" style="964" customWidth="1"/>
    <col min="2820" max="2820" width="3.7109375" style="964" customWidth="1"/>
    <col min="2821" max="2821" width="25.5703125" style="964" customWidth="1"/>
    <col min="2822" max="2832" width="7.42578125" style="964" customWidth="1"/>
    <col min="2833" max="2835" width="6.5703125" style="964" customWidth="1"/>
    <col min="2836" max="2837" width="9.140625" style="964"/>
    <col min="2838" max="2838" width="7.85546875" style="964" customWidth="1"/>
    <col min="2839" max="3073" width="9.140625" style="964"/>
    <col min="3074" max="3074" width="3.7109375" style="964" customWidth="1"/>
    <col min="3075" max="3075" width="14.42578125" style="964" customWidth="1"/>
    <col min="3076" max="3076" width="3.7109375" style="964" customWidth="1"/>
    <col min="3077" max="3077" width="25.5703125" style="964" customWidth="1"/>
    <col min="3078" max="3088" width="7.42578125" style="964" customWidth="1"/>
    <col min="3089" max="3091" width="6.5703125" style="964" customWidth="1"/>
    <col min="3092" max="3093" width="9.140625" style="964"/>
    <col min="3094" max="3094" width="7.85546875" style="964" customWidth="1"/>
    <col min="3095" max="3329" width="9.140625" style="964"/>
    <col min="3330" max="3330" width="3.7109375" style="964" customWidth="1"/>
    <col min="3331" max="3331" width="14.42578125" style="964" customWidth="1"/>
    <col min="3332" max="3332" width="3.7109375" style="964" customWidth="1"/>
    <col min="3333" max="3333" width="25.5703125" style="964" customWidth="1"/>
    <col min="3334" max="3344" width="7.42578125" style="964" customWidth="1"/>
    <col min="3345" max="3347" width="6.5703125" style="964" customWidth="1"/>
    <col min="3348" max="3349" width="9.140625" style="964"/>
    <col min="3350" max="3350" width="7.85546875" style="964" customWidth="1"/>
    <col min="3351" max="3585" width="9.140625" style="964"/>
    <col min="3586" max="3586" width="3.7109375" style="964" customWidth="1"/>
    <col min="3587" max="3587" width="14.42578125" style="964" customWidth="1"/>
    <col min="3588" max="3588" width="3.7109375" style="964" customWidth="1"/>
    <col min="3589" max="3589" width="25.5703125" style="964" customWidth="1"/>
    <col min="3590" max="3600" width="7.42578125" style="964" customWidth="1"/>
    <col min="3601" max="3603" width="6.5703125" style="964" customWidth="1"/>
    <col min="3604" max="3605" width="9.140625" style="964"/>
    <col min="3606" max="3606" width="7.85546875" style="964" customWidth="1"/>
    <col min="3607" max="3841" width="9.140625" style="964"/>
    <col min="3842" max="3842" width="3.7109375" style="964" customWidth="1"/>
    <col min="3843" max="3843" width="14.42578125" style="964" customWidth="1"/>
    <col min="3844" max="3844" width="3.7109375" style="964" customWidth="1"/>
    <col min="3845" max="3845" width="25.5703125" style="964" customWidth="1"/>
    <col min="3846" max="3856" width="7.42578125" style="964" customWidth="1"/>
    <col min="3857" max="3859" width="6.5703125" style="964" customWidth="1"/>
    <col min="3860" max="3861" width="9.140625" style="964"/>
    <col min="3862" max="3862" width="7.85546875" style="964" customWidth="1"/>
    <col min="3863" max="4097" width="9.140625" style="964"/>
    <col min="4098" max="4098" width="3.7109375" style="964" customWidth="1"/>
    <col min="4099" max="4099" width="14.42578125" style="964" customWidth="1"/>
    <col min="4100" max="4100" width="3.7109375" style="964" customWidth="1"/>
    <col min="4101" max="4101" width="25.5703125" style="964" customWidth="1"/>
    <col min="4102" max="4112" width="7.42578125" style="964" customWidth="1"/>
    <col min="4113" max="4115" width="6.5703125" style="964" customWidth="1"/>
    <col min="4116" max="4117" width="9.140625" style="964"/>
    <col min="4118" max="4118" width="7.85546875" style="964" customWidth="1"/>
    <col min="4119" max="4353" width="9.140625" style="964"/>
    <col min="4354" max="4354" width="3.7109375" style="964" customWidth="1"/>
    <col min="4355" max="4355" width="14.42578125" style="964" customWidth="1"/>
    <col min="4356" max="4356" width="3.7109375" style="964" customWidth="1"/>
    <col min="4357" max="4357" width="25.5703125" style="964" customWidth="1"/>
    <col min="4358" max="4368" width="7.42578125" style="964" customWidth="1"/>
    <col min="4369" max="4371" width="6.5703125" style="964" customWidth="1"/>
    <col min="4372" max="4373" width="9.140625" style="964"/>
    <col min="4374" max="4374" width="7.85546875" style="964" customWidth="1"/>
    <col min="4375" max="4609" width="9.140625" style="964"/>
    <col min="4610" max="4610" width="3.7109375" style="964" customWidth="1"/>
    <col min="4611" max="4611" width="14.42578125" style="964" customWidth="1"/>
    <col min="4612" max="4612" width="3.7109375" style="964" customWidth="1"/>
    <col min="4613" max="4613" width="25.5703125" style="964" customWidth="1"/>
    <col min="4614" max="4624" width="7.42578125" style="964" customWidth="1"/>
    <col min="4625" max="4627" width="6.5703125" style="964" customWidth="1"/>
    <col min="4628" max="4629" width="9.140625" style="964"/>
    <col min="4630" max="4630" width="7.85546875" style="964" customWidth="1"/>
    <col min="4631" max="4865" width="9.140625" style="964"/>
    <col min="4866" max="4866" width="3.7109375" style="964" customWidth="1"/>
    <col min="4867" max="4867" width="14.42578125" style="964" customWidth="1"/>
    <col min="4868" max="4868" width="3.7109375" style="964" customWidth="1"/>
    <col min="4869" max="4869" width="25.5703125" style="964" customWidth="1"/>
    <col min="4870" max="4880" width="7.42578125" style="964" customWidth="1"/>
    <col min="4881" max="4883" width="6.5703125" style="964" customWidth="1"/>
    <col min="4884" max="4885" width="9.140625" style="964"/>
    <col min="4886" max="4886" width="7.85546875" style="964" customWidth="1"/>
    <col min="4887" max="5121" width="9.140625" style="964"/>
    <col min="5122" max="5122" width="3.7109375" style="964" customWidth="1"/>
    <col min="5123" max="5123" width="14.42578125" style="964" customWidth="1"/>
    <col min="5124" max="5124" width="3.7109375" style="964" customWidth="1"/>
    <col min="5125" max="5125" width="25.5703125" style="964" customWidth="1"/>
    <col min="5126" max="5136" width="7.42578125" style="964" customWidth="1"/>
    <col min="5137" max="5139" width="6.5703125" style="964" customWidth="1"/>
    <col min="5140" max="5141" width="9.140625" style="964"/>
    <col min="5142" max="5142" width="7.85546875" style="964" customWidth="1"/>
    <col min="5143" max="5377" width="9.140625" style="964"/>
    <col min="5378" max="5378" width="3.7109375" style="964" customWidth="1"/>
    <col min="5379" max="5379" width="14.42578125" style="964" customWidth="1"/>
    <col min="5380" max="5380" width="3.7109375" style="964" customWidth="1"/>
    <col min="5381" max="5381" width="25.5703125" style="964" customWidth="1"/>
    <col min="5382" max="5392" width="7.42578125" style="964" customWidth="1"/>
    <col min="5393" max="5395" width="6.5703125" style="964" customWidth="1"/>
    <col min="5396" max="5397" width="9.140625" style="964"/>
    <col min="5398" max="5398" width="7.85546875" style="964" customWidth="1"/>
    <col min="5399" max="5633" width="9.140625" style="964"/>
    <col min="5634" max="5634" width="3.7109375" style="964" customWidth="1"/>
    <col min="5635" max="5635" width="14.42578125" style="964" customWidth="1"/>
    <col min="5636" max="5636" width="3.7109375" style="964" customWidth="1"/>
    <col min="5637" max="5637" width="25.5703125" style="964" customWidth="1"/>
    <col min="5638" max="5648" width="7.42578125" style="964" customWidth="1"/>
    <col min="5649" max="5651" width="6.5703125" style="964" customWidth="1"/>
    <col min="5652" max="5653" width="9.140625" style="964"/>
    <col min="5654" max="5654" width="7.85546875" style="964" customWidth="1"/>
    <col min="5655" max="5889" width="9.140625" style="964"/>
    <col min="5890" max="5890" width="3.7109375" style="964" customWidth="1"/>
    <col min="5891" max="5891" width="14.42578125" style="964" customWidth="1"/>
    <col min="5892" max="5892" width="3.7109375" style="964" customWidth="1"/>
    <col min="5893" max="5893" width="25.5703125" style="964" customWidth="1"/>
    <col min="5894" max="5904" width="7.42578125" style="964" customWidth="1"/>
    <col min="5905" max="5907" width="6.5703125" style="964" customWidth="1"/>
    <col min="5908" max="5909" width="9.140625" style="964"/>
    <col min="5910" max="5910" width="7.85546875" style="964" customWidth="1"/>
    <col min="5911" max="6145" width="9.140625" style="964"/>
    <col min="6146" max="6146" width="3.7109375" style="964" customWidth="1"/>
    <col min="6147" max="6147" width="14.42578125" style="964" customWidth="1"/>
    <col min="6148" max="6148" width="3.7109375" style="964" customWidth="1"/>
    <col min="6149" max="6149" width="25.5703125" style="964" customWidth="1"/>
    <col min="6150" max="6160" width="7.42578125" style="964" customWidth="1"/>
    <col min="6161" max="6163" width="6.5703125" style="964" customWidth="1"/>
    <col min="6164" max="6165" width="9.140625" style="964"/>
    <col min="6166" max="6166" width="7.85546875" style="964" customWidth="1"/>
    <col min="6167" max="6401" width="9.140625" style="964"/>
    <col min="6402" max="6402" width="3.7109375" style="964" customWidth="1"/>
    <col min="6403" max="6403" width="14.42578125" style="964" customWidth="1"/>
    <col min="6404" max="6404" width="3.7109375" style="964" customWidth="1"/>
    <col min="6405" max="6405" width="25.5703125" style="964" customWidth="1"/>
    <col min="6406" max="6416" width="7.42578125" style="964" customWidth="1"/>
    <col min="6417" max="6419" width="6.5703125" style="964" customWidth="1"/>
    <col min="6420" max="6421" width="9.140625" style="964"/>
    <col min="6422" max="6422" width="7.85546875" style="964" customWidth="1"/>
    <col min="6423" max="6657" width="9.140625" style="964"/>
    <col min="6658" max="6658" width="3.7109375" style="964" customWidth="1"/>
    <col min="6659" max="6659" width="14.42578125" style="964" customWidth="1"/>
    <col min="6660" max="6660" width="3.7109375" style="964" customWidth="1"/>
    <col min="6661" max="6661" width="25.5703125" style="964" customWidth="1"/>
    <col min="6662" max="6672" width="7.42578125" style="964" customWidth="1"/>
    <col min="6673" max="6675" width="6.5703125" style="964" customWidth="1"/>
    <col min="6676" max="6677" width="9.140625" style="964"/>
    <col min="6678" max="6678" width="7.85546875" style="964" customWidth="1"/>
    <col min="6679" max="6913" width="9.140625" style="964"/>
    <col min="6914" max="6914" width="3.7109375" style="964" customWidth="1"/>
    <col min="6915" max="6915" width="14.42578125" style="964" customWidth="1"/>
    <col min="6916" max="6916" width="3.7109375" style="964" customWidth="1"/>
    <col min="6917" max="6917" width="25.5703125" style="964" customWidth="1"/>
    <col min="6918" max="6928" width="7.42578125" style="964" customWidth="1"/>
    <col min="6929" max="6931" width="6.5703125" style="964" customWidth="1"/>
    <col min="6932" max="6933" width="9.140625" style="964"/>
    <col min="6934" max="6934" width="7.85546875" style="964" customWidth="1"/>
    <col min="6935" max="7169" width="9.140625" style="964"/>
    <col min="7170" max="7170" width="3.7109375" style="964" customWidth="1"/>
    <col min="7171" max="7171" width="14.42578125" style="964" customWidth="1"/>
    <col min="7172" max="7172" width="3.7109375" style="964" customWidth="1"/>
    <col min="7173" max="7173" width="25.5703125" style="964" customWidth="1"/>
    <col min="7174" max="7184" width="7.42578125" style="964" customWidth="1"/>
    <col min="7185" max="7187" width="6.5703125" style="964" customWidth="1"/>
    <col min="7188" max="7189" width="9.140625" style="964"/>
    <col min="7190" max="7190" width="7.85546875" style="964" customWidth="1"/>
    <col min="7191" max="7425" width="9.140625" style="964"/>
    <col min="7426" max="7426" width="3.7109375" style="964" customWidth="1"/>
    <col min="7427" max="7427" width="14.42578125" style="964" customWidth="1"/>
    <col min="7428" max="7428" width="3.7109375" style="964" customWidth="1"/>
    <col min="7429" max="7429" width="25.5703125" style="964" customWidth="1"/>
    <col min="7430" max="7440" width="7.42578125" style="964" customWidth="1"/>
    <col min="7441" max="7443" width="6.5703125" style="964" customWidth="1"/>
    <col min="7444" max="7445" width="9.140625" style="964"/>
    <col min="7446" max="7446" width="7.85546875" style="964" customWidth="1"/>
    <col min="7447" max="7681" width="9.140625" style="964"/>
    <col min="7682" max="7682" width="3.7109375" style="964" customWidth="1"/>
    <col min="7683" max="7683" width="14.42578125" style="964" customWidth="1"/>
    <col min="7684" max="7684" width="3.7109375" style="964" customWidth="1"/>
    <col min="7685" max="7685" width="25.5703125" style="964" customWidth="1"/>
    <col min="7686" max="7696" width="7.42578125" style="964" customWidth="1"/>
    <col min="7697" max="7699" width="6.5703125" style="964" customWidth="1"/>
    <col min="7700" max="7701" width="9.140625" style="964"/>
    <col min="7702" max="7702" width="7.85546875" style="964" customWidth="1"/>
    <col min="7703" max="7937" width="9.140625" style="964"/>
    <col min="7938" max="7938" width="3.7109375" style="964" customWidth="1"/>
    <col min="7939" max="7939" width="14.42578125" style="964" customWidth="1"/>
    <col min="7940" max="7940" width="3.7109375" style="964" customWidth="1"/>
    <col min="7941" max="7941" width="25.5703125" style="964" customWidth="1"/>
    <col min="7942" max="7952" width="7.42578125" style="964" customWidth="1"/>
    <col min="7953" max="7955" width="6.5703125" style="964" customWidth="1"/>
    <col min="7956" max="7957" width="9.140625" style="964"/>
    <col min="7958" max="7958" width="7.85546875" style="964" customWidth="1"/>
    <col min="7959" max="8193" width="9.140625" style="964"/>
    <col min="8194" max="8194" width="3.7109375" style="964" customWidth="1"/>
    <col min="8195" max="8195" width="14.42578125" style="964" customWidth="1"/>
    <col min="8196" max="8196" width="3.7109375" style="964" customWidth="1"/>
    <col min="8197" max="8197" width="25.5703125" style="964" customWidth="1"/>
    <col min="8198" max="8208" width="7.42578125" style="964" customWidth="1"/>
    <col min="8209" max="8211" width="6.5703125" style="964" customWidth="1"/>
    <col min="8212" max="8213" width="9.140625" style="964"/>
    <col min="8214" max="8214" width="7.85546875" style="964" customWidth="1"/>
    <col min="8215" max="8449" width="9.140625" style="964"/>
    <col min="8450" max="8450" width="3.7109375" style="964" customWidth="1"/>
    <col min="8451" max="8451" width="14.42578125" style="964" customWidth="1"/>
    <col min="8452" max="8452" width="3.7109375" style="964" customWidth="1"/>
    <col min="8453" max="8453" width="25.5703125" style="964" customWidth="1"/>
    <col min="8454" max="8464" width="7.42578125" style="964" customWidth="1"/>
    <col min="8465" max="8467" width="6.5703125" style="964" customWidth="1"/>
    <col min="8468" max="8469" width="9.140625" style="964"/>
    <col min="8470" max="8470" width="7.85546875" style="964" customWidth="1"/>
    <col min="8471" max="8705" width="9.140625" style="964"/>
    <col min="8706" max="8706" width="3.7109375" style="964" customWidth="1"/>
    <col min="8707" max="8707" width="14.42578125" style="964" customWidth="1"/>
    <col min="8708" max="8708" width="3.7109375" style="964" customWidth="1"/>
    <col min="8709" max="8709" width="25.5703125" style="964" customWidth="1"/>
    <col min="8710" max="8720" width="7.42578125" style="964" customWidth="1"/>
    <col min="8721" max="8723" width="6.5703125" style="964" customWidth="1"/>
    <col min="8724" max="8725" width="9.140625" style="964"/>
    <col min="8726" max="8726" width="7.85546875" style="964" customWidth="1"/>
    <col min="8727" max="8961" width="9.140625" style="964"/>
    <col min="8962" max="8962" width="3.7109375" style="964" customWidth="1"/>
    <col min="8963" max="8963" width="14.42578125" style="964" customWidth="1"/>
    <col min="8964" max="8964" width="3.7109375" style="964" customWidth="1"/>
    <col min="8965" max="8965" width="25.5703125" style="964" customWidth="1"/>
    <col min="8966" max="8976" width="7.42578125" style="964" customWidth="1"/>
    <col min="8977" max="8979" width="6.5703125" style="964" customWidth="1"/>
    <col min="8980" max="8981" width="9.140625" style="964"/>
    <col min="8982" max="8982" width="7.85546875" style="964" customWidth="1"/>
    <col min="8983" max="9217" width="9.140625" style="964"/>
    <col min="9218" max="9218" width="3.7109375" style="964" customWidth="1"/>
    <col min="9219" max="9219" width="14.42578125" style="964" customWidth="1"/>
    <col min="9220" max="9220" width="3.7109375" style="964" customWidth="1"/>
    <col min="9221" max="9221" width="25.5703125" style="964" customWidth="1"/>
    <col min="9222" max="9232" width="7.42578125" style="964" customWidth="1"/>
    <col min="9233" max="9235" width="6.5703125" style="964" customWidth="1"/>
    <col min="9236" max="9237" width="9.140625" style="964"/>
    <col min="9238" max="9238" width="7.85546875" style="964" customWidth="1"/>
    <col min="9239" max="9473" width="9.140625" style="964"/>
    <col min="9474" max="9474" width="3.7109375" style="964" customWidth="1"/>
    <col min="9475" max="9475" width="14.42578125" style="964" customWidth="1"/>
    <col min="9476" max="9476" width="3.7109375" style="964" customWidth="1"/>
    <col min="9477" max="9477" width="25.5703125" style="964" customWidth="1"/>
    <col min="9478" max="9488" width="7.42578125" style="964" customWidth="1"/>
    <col min="9489" max="9491" width="6.5703125" style="964" customWidth="1"/>
    <col min="9492" max="9493" width="9.140625" style="964"/>
    <col min="9494" max="9494" width="7.85546875" style="964" customWidth="1"/>
    <col min="9495" max="9729" width="9.140625" style="964"/>
    <col min="9730" max="9730" width="3.7109375" style="964" customWidth="1"/>
    <col min="9731" max="9731" width="14.42578125" style="964" customWidth="1"/>
    <col min="9732" max="9732" width="3.7109375" style="964" customWidth="1"/>
    <col min="9733" max="9733" width="25.5703125" style="964" customWidth="1"/>
    <col min="9734" max="9744" width="7.42578125" style="964" customWidth="1"/>
    <col min="9745" max="9747" width="6.5703125" style="964" customWidth="1"/>
    <col min="9748" max="9749" width="9.140625" style="964"/>
    <col min="9750" max="9750" width="7.85546875" style="964" customWidth="1"/>
    <col min="9751" max="9985" width="9.140625" style="964"/>
    <col min="9986" max="9986" width="3.7109375" style="964" customWidth="1"/>
    <col min="9987" max="9987" width="14.42578125" style="964" customWidth="1"/>
    <col min="9988" max="9988" width="3.7109375" style="964" customWidth="1"/>
    <col min="9989" max="9989" width="25.5703125" style="964" customWidth="1"/>
    <col min="9990" max="10000" width="7.42578125" style="964" customWidth="1"/>
    <col min="10001" max="10003" width="6.5703125" style="964" customWidth="1"/>
    <col min="10004" max="10005" width="9.140625" style="964"/>
    <col min="10006" max="10006" width="7.85546875" style="964" customWidth="1"/>
    <col min="10007" max="10241" width="9.140625" style="964"/>
    <col min="10242" max="10242" width="3.7109375" style="964" customWidth="1"/>
    <col min="10243" max="10243" width="14.42578125" style="964" customWidth="1"/>
    <col min="10244" max="10244" width="3.7109375" style="964" customWidth="1"/>
    <col min="10245" max="10245" width="25.5703125" style="964" customWidth="1"/>
    <col min="10246" max="10256" width="7.42578125" style="964" customWidth="1"/>
    <col min="10257" max="10259" width="6.5703125" style="964" customWidth="1"/>
    <col min="10260" max="10261" width="9.140625" style="964"/>
    <col min="10262" max="10262" width="7.85546875" style="964" customWidth="1"/>
    <col min="10263" max="10497" width="9.140625" style="964"/>
    <col min="10498" max="10498" width="3.7109375" style="964" customWidth="1"/>
    <col min="10499" max="10499" width="14.42578125" style="964" customWidth="1"/>
    <col min="10500" max="10500" width="3.7109375" style="964" customWidth="1"/>
    <col min="10501" max="10501" width="25.5703125" style="964" customWidth="1"/>
    <col min="10502" max="10512" width="7.42578125" style="964" customWidth="1"/>
    <col min="10513" max="10515" width="6.5703125" style="964" customWidth="1"/>
    <col min="10516" max="10517" width="9.140625" style="964"/>
    <col min="10518" max="10518" width="7.85546875" style="964" customWidth="1"/>
    <col min="10519" max="10753" width="9.140625" style="964"/>
    <col min="10754" max="10754" width="3.7109375" style="964" customWidth="1"/>
    <col min="10755" max="10755" width="14.42578125" style="964" customWidth="1"/>
    <col min="10756" max="10756" width="3.7109375" style="964" customWidth="1"/>
    <col min="10757" max="10757" width="25.5703125" style="964" customWidth="1"/>
    <col min="10758" max="10768" width="7.42578125" style="964" customWidth="1"/>
    <col min="10769" max="10771" width="6.5703125" style="964" customWidth="1"/>
    <col min="10772" max="10773" width="9.140625" style="964"/>
    <col min="10774" max="10774" width="7.85546875" style="964" customWidth="1"/>
    <col min="10775" max="11009" width="9.140625" style="964"/>
    <col min="11010" max="11010" width="3.7109375" style="964" customWidth="1"/>
    <col min="11011" max="11011" width="14.42578125" style="964" customWidth="1"/>
    <col min="11012" max="11012" width="3.7109375" style="964" customWidth="1"/>
    <col min="11013" max="11013" width="25.5703125" style="964" customWidth="1"/>
    <col min="11014" max="11024" width="7.42578125" style="964" customWidth="1"/>
    <col min="11025" max="11027" width="6.5703125" style="964" customWidth="1"/>
    <col min="11028" max="11029" width="9.140625" style="964"/>
    <col min="11030" max="11030" width="7.85546875" style="964" customWidth="1"/>
    <col min="11031" max="11265" width="9.140625" style="964"/>
    <col min="11266" max="11266" width="3.7109375" style="964" customWidth="1"/>
    <col min="11267" max="11267" width="14.42578125" style="964" customWidth="1"/>
    <col min="11268" max="11268" width="3.7109375" style="964" customWidth="1"/>
    <col min="11269" max="11269" width="25.5703125" style="964" customWidth="1"/>
    <col min="11270" max="11280" width="7.42578125" style="964" customWidth="1"/>
    <col min="11281" max="11283" width="6.5703125" style="964" customWidth="1"/>
    <col min="11284" max="11285" width="9.140625" style="964"/>
    <col min="11286" max="11286" width="7.85546875" style="964" customWidth="1"/>
    <col min="11287" max="11521" width="9.140625" style="964"/>
    <col min="11522" max="11522" width="3.7109375" style="964" customWidth="1"/>
    <col min="11523" max="11523" width="14.42578125" style="964" customWidth="1"/>
    <col min="11524" max="11524" width="3.7109375" style="964" customWidth="1"/>
    <col min="11525" max="11525" width="25.5703125" style="964" customWidth="1"/>
    <col min="11526" max="11536" width="7.42578125" style="964" customWidth="1"/>
    <col min="11537" max="11539" width="6.5703125" style="964" customWidth="1"/>
    <col min="11540" max="11541" width="9.140625" style="964"/>
    <col min="11542" max="11542" width="7.85546875" style="964" customWidth="1"/>
    <col min="11543" max="11777" width="9.140625" style="964"/>
    <col min="11778" max="11778" width="3.7109375" style="964" customWidth="1"/>
    <col min="11779" max="11779" width="14.42578125" style="964" customWidth="1"/>
    <col min="11780" max="11780" width="3.7109375" style="964" customWidth="1"/>
    <col min="11781" max="11781" width="25.5703125" style="964" customWidth="1"/>
    <col min="11782" max="11792" width="7.42578125" style="964" customWidth="1"/>
    <col min="11793" max="11795" width="6.5703125" style="964" customWidth="1"/>
    <col min="11796" max="11797" width="9.140625" style="964"/>
    <col min="11798" max="11798" width="7.85546875" style="964" customWidth="1"/>
    <col min="11799" max="12033" width="9.140625" style="964"/>
    <col min="12034" max="12034" width="3.7109375" style="964" customWidth="1"/>
    <col min="12035" max="12035" width="14.42578125" style="964" customWidth="1"/>
    <col min="12036" max="12036" width="3.7109375" style="964" customWidth="1"/>
    <col min="12037" max="12037" width="25.5703125" style="964" customWidth="1"/>
    <col min="12038" max="12048" width="7.42578125" style="964" customWidth="1"/>
    <col min="12049" max="12051" width="6.5703125" style="964" customWidth="1"/>
    <col min="12052" max="12053" width="9.140625" style="964"/>
    <col min="12054" max="12054" width="7.85546875" style="964" customWidth="1"/>
    <col min="12055" max="12289" width="9.140625" style="964"/>
    <col min="12290" max="12290" width="3.7109375" style="964" customWidth="1"/>
    <col min="12291" max="12291" width="14.42578125" style="964" customWidth="1"/>
    <col min="12292" max="12292" width="3.7109375" style="964" customWidth="1"/>
    <col min="12293" max="12293" width="25.5703125" style="964" customWidth="1"/>
    <col min="12294" max="12304" width="7.42578125" style="964" customWidth="1"/>
    <col min="12305" max="12307" width="6.5703125" style="964" customWidth="1"/>
    <col min="12308" max="12309" width="9.140625" style="964"/>
    <col min="12310" max="12310" width="7.85546875" style="964" customWidth="1"/>
    <col min="12311" max="12545" width="9.140625" style="964"/>
    <col min="12546" max="12546" width="3.7109375" style="964" customWidth="1"/>
    <col min="12547" max="12547" width="14.42578125" style="964" customWidth="1"/>
    <col min="12548" max="12548" width="3.7109375" style="964" customWidth="1"/>
    <col min="12549" max="12549" width="25.5703125" style="964" customWidth="1"/>
    <col min="12550" max="12560" width="7.42578125" style="964" customWidth="1"/>
    <col min="12561" max="12563" width="6.5703125" style="964" customWidth="1"/>
    <col min="12564" max="12565" width="9.140625" style="964"/>
    <col min="12566" max="12566" width="7.85546875" style="964" customWidth="1"/>
    <col min="12567" max="12801" width="9.140625" style="964"/>
    <col min="12802" max="12802" width="3.7109375" style="964" customWidth="1"/>
    <col min="12803" max="12803" width="14.42578125" style="964" customWidth="1"/>
    <col min="12804" max="12804" width="3.7109375" style="964" customWidth="1"/>
    <col min="12805" max="12805" width="25.5703125" style="964" customWidth="1"/>
    <col min="12806" max="12816" width="7.42578125" style="964" customWidth="1"/>
    <col min="12817" max="12819" width="6.5703125" style="964" customWidth="1"/>
    <col min="12820" max="12821" width="9.140625" style="964"/>
    <col min="12822" max="12822" width="7.85546875" style="964" customWidth="1"/>
    <col min="12823" max="13057" width="9.140625" style="964"/>
    <col min="13058" max="13058" width="3.7109375" style="964" customWidth="1"/>
    <col min="13059" max="13059" width="14.42578125" style="964" customWidth="1"/>
    <col min="13060" max="13060" width="3.7109375" style="964" customWidth="1"/>
    <col min="13061" max="13061" width="25.5703125" style="964" customWidth="1"/>
    <col min="13062" max="13072" width="7.42578125" style="964" customWidth="1"/>
    <col min="13073" max="13075" width="6.5703125" style="964" customWidth="1"/>
    <col min="13076" max="13077" width="9.140625" style="964"/>
    <col min="13078" max="13078" width="7.85546875" style="964" customWidth="1"/>
    <col min="13079" max="13313" width="9.140625" style="964"/>
    <col min="13314" max="13314" width="3.7109375" style="964" customWidth="1"/>
    <col min="13315" max="13315" width="14.42578125" style="964" customWidth="1"/>
    <col min="13316" max="13316" width="3.7109375" style="964" customWidth="1"/>
    <col min="13317" max="13317" width="25.5703125" style="964" customWidth="1"/>
    <col min="13318" max="13328" width="7.42578125" style="964" customWidth="1"/>
    <col min="13329" max="13331" width="6.5703125" style="964" customWidth="1"/>
    <col min="13332" max="13333" width="9.140625" style="964"/>
    <col min="13334" max="13334" width="7.85546875" style="964" customWidth="1"/>
    <col min="13335" max="13569" width="9.140625" style="964"/>
    <col min="13570" max="13570" width="3.7109375" style="964" customWidth="1"/>
    <col min="13571" max="13571" width="14.42578125" style="964" customWidth="1"/>
    <col min="13572" max="13572" width="3.7109375" style="964" customWidth="1"/>
    <col min="13573" max="13573" width="25.5703125" style="964" customWidth="1"/>
    <col min="13574" max="13584" width="7.42578125" style="964" customWidth="1"/>
    <col min="13585" max="13587" width="6.5703125" style="964" customWidth="1"/>
    <col min="13588" max="13589" width="9.140625" style="964"/>
    <col min="13590" max="13590" width="7.85546875" style="964" customWidth="1"/>
    <col min="13591" max="13825" width="9.140625" style="964"/>
    <col min="13826" max="13826" width="3.7109375" style="964" customWidth="1"/>
    <col min="13827" max="13827" width="14.42578125" style="964" customWidth="1"/>
    <col min="13828" max="13828" width="3.7109375" style="964" customWidth="1"/>
    <col min="13829" max="13829" width="25.5703125" style="964" customWidth="1"/>
    <col min="13830" max="13840" width="7.42578125" style="964" customWidth="1"/>
    <col min="13841" max="13843" width="6.5703125" style="964" customWidth="1"/>
    <col min="13844" max="13845" width="9.140625" style="964"/>
    <col min="13846" max="13846" width="7.85546875" style="964" customWidth="1"/>
    <col min="13847" max="14081" width="9.140625" style="964"/>
    <col min="14082" max="14082" width="3.7109375" style="964" customWidth="1"/>
    <col min="14083" max="14083" width="14.42578125" style="964" customWidth="1"/>
    <col min="14084" max="14084" width="3.7109375" style="964" customWidth="1"/>
    <col min="14085" max="14085" width="25.5703125" style="964" customWidth="1"/>
    <col min="14086" max="14096" width="7.42578125" style="964" customWidth="1"/>
    <col min="14097" max="14099" width="6.5703125" style="964" customWidth="1"/>
    <col min="14100" max="14101" width="9.140625" style="964"/>
    <col min="14102" max="14102" width="7.85546875" style="964" customWidth="1"/>
    <col min="14103" max="14337" width="9.140625" style="964"/>
    <col min="14338" max="14338" width="3.7109375" style="964" customWidth="1"/>
    <col min="14339" max="14339" width="14.42578125" style="964" customWidth="1"/>
    <col min="14340" max="14340" width="3.7109375" style="964" customWidth="1"/>
    <col min="14341" max="14341" width="25.5703125" style="964" customWidth="1"/>
    <col min="14342" max="14352" width="7.42578125" style="964" customWidth="1"/>
    <col min="14353" max="14355" width="6.5703125" style="964" customWidth="1"/>
    <col min="14356" max="14357" width="9.140625" style="964"/>
    <col min="14358" max="14358" width="7.85546875" style="964" customWidth="1"/>
    <col min="14359" max="14593" width="9.140625" style="964"/>
    <col min="14594" max="14594" width="3.7109375" style="964" customWidth="1"/>
    <col min="14595" max="14595" width="14.42578125" style="964" customWidth="1"/>
    <col min="14596" max="14596" width="3.7109375" style="964" customWidth="1"/>
    <col min="14597" max="14597" width="25.5703125" style="964" customWidth="1"/>
    <col min="14598" max="14608" width="7.42578125" style="964" customWidth="1"/>
    <col min="14609" max="14611" width="6.5703125" style="964" customWidth="1"/>
    <col min="14612" max="14613" width="9.140625" style="964"/>
    <col min="14614" max="14614" width="7.85546875" style="964" customWidth="1"/>
    <col min="14615" max="14849" width="9.140625" style="964"/>
    <col min="14850" max="14850" width="3.7109375" style="964" customWidth="1"/>
    <col min="14851" max="14851" width="14.42578125" style="964" customWidth="1"/>
    <col min="14852" max="14852" width="3.7109375" style="964" customWidth="1"/>
    <col min="14853" max="14853" width="25.5703125" style="964" customWidth="1"/>
    <col min="14854" max="14864" width="7.42578125" style="964" customWidth="1"/>
    <col min="14865" max="14867" width="6.5703125" style="964" customWidth="1"/>
    <col min="14868" max="14869" width="9.140625" style="964"/>
    <col min="14870" max="14870" width="7.85546875" style="964" customWidth="1"/>
    <col min="14871" max="15105" width="9.140625" style="964"/>
    <col min="15106" max="15106" width="3.7109375" style="964" customWidth="1"/>
    <col min="15107" max="15107" width="14.42578125" style="964" customWidth="1"/>
    <col min="15108" max="15108" width="3.7109375" style="964" customWidth="1"/>
    <col min="15109" max="15109" width="25.5703125" style="964" customWidth="1"/>
    <col min="15110" max="15120" width="7.42578125" style="964" customWidth="1"/>
    <col min="15121" max="15123" width="6.5703125" style="964" customWidth="1"/>
    <col min="15124" max="15125" width="9.140625" style="964"/>
    <col min="15126" max="15126" width="7.85546875" style="964" customWidth="1"/>
    <col min="15127" max="15361" width="9.140625" style="964"/>
    <col min="15362" max="15362" width="3.7109375" style="964" customWidth="1"/>
    <col min="15363" max="15363" width="14.42578125" style="964" customWidth="1"/>
    <col min="15364" max="15364" width="3.7109375" style="964" customWidth="1"/>
    <col min="15365" max="15365" width="25.5703125" style="964" customWidth="1"/>
    <col min="15366" max="15376" width="7.42578125" style="964" customWidth="1"/>
    <col min="15377" max="15379" width="6.5703125" style="964" customWidth="1"/>
    <col min="15380" max="15381" width="9.140625" style="964"/>
    <col min="15382" max="15382" width="7.85546875" style="964" customWidth="1"/>
    <col min="15383" max="15617" width="9.140625" style="964"/>
    <col min="15618" max="15618" width="3.7109375" style="964" customWidth="1"/>
    <col min="15619" max="15619" width="14.42578125" style="964" customWidth="1"/>
    <col min="15620" max="15620" width="3.7109375" style="964" customWidth="1"/>
    <col min="15621" max="15621" width="25.5703125" style="964" customWidth="1"/>
    <col min="15622" max="15632" width="7.42578125" style="964" customWidth="1"/>
    <col min="15633" max="15635" width="6.5703125" style="964" customWidth="1"/>
    <col min="15636" max="15637" width="9.140625" style="964"/>
    <col min="15638" max="15638" width="7.85546875" style="964" customWidth="1"/>
    <col min="15639" max="15873" width="9.140625" style="964"/>
    <col min="15874" max="15874" width="3.7109375" style="964" customWidth="1"/>
    <col min="15875" max="15875" width="14.42578125" style="964" customWidth="1"/>
    <col min="15876" max="15876" width="3.7109375" style="964" customWidth="1"/>
    <col min="15877" max="15877" width="25.5703125" style="964" customWidth="1"/>
    <col min="15878" max="15888" width="7.42578125" style="964" customWidth="1"/>
    <col min="15889" max="15891" width="6.5703125" style="964" customWidth="1"/>
    <col min="15892" max="15893" width="9.140625" style="964"/>
    <col min="15894" max="15894" width="7.85546875" style="964" customWidth="1"/>
    <col min="15895" max="16129" width="9.140625" style="964"/>
    <col min="16130" max="16130" width="3.7109375" style="964" customWidth="1"/>
    <col min="16131" max="16131" width="14.42578125" style="964" customWidth="1"/>
    <col min="16132" max="16132" width="3.7109375" style="964" customWidth="1"/>
    <col min="16133" max="16133" width="25.5703125" style="964" customWidth="1"/>
    <col min="16134" max="16144" width="7.42578125" style="964" customWidth="1"/>
    <col min="16145" max="16147" width="6.5703125" style="964" customWidth="1"/>
    <col min="16148" max="16149" width="9.140625" style="964"/>
    <col min="16150" max="16150" width="7.85546875" style="964" customWidth="1"/>
    <col min="16151" max="16384" width="9.140625" style="964"/>
  </cols>
  <sheetData>
    <row r="1" spans="1:23" x14ac:dyDescent="0.2">
      <c r="R1" s="964" t="s">
        <v>166</v>
      </c>
    </row>
    <row r="2" spans="1:23" ht="13.9" customHeight="1" x14ac:dyDescent="0.2">
      <c r="A2" s="835">
        <v>1</v>
      </c>
      <c r="B2" s="835" t="s">
        <v>24</v>
      </c>
      <c r="C2" s="835">
        <f>1+'[21]Life Expectancy '!C2</f>
        <v>35</v>
      </c>
      <c r="D2" s="3626" t="s">
        <v>1470</v>
      </c>
      <c r="E2" s="3627"/>
      <c r="F2" s="3627"/>
      <c r="G2" s="3627"/>
      <c r="H2" s="3627"/>
      <c r="I2" s="3627"/>
      <c r="J2" s="3627"/>
      <c r="K2" s="3627"/>
      <c r="L2" s="3627"/>
      <c r="M2" s="3627"/>
      <c r="N2" s="3627"/>
      <c r="O2" s="3627"/>
      <c r="P2" s="3627"/>
      <c r="Q2" s="3627"/>
      <c r="R2" s="3627"/>
      <c r="S2" s="3627"/>
      <c r="T2" s="3627"/>
      <c r="U2" s="3627"/>
      <c r="V2" s="3627"/>
      <c r="W2" s="3628"/>
    </row>
    <row r="3" spans="1:23" ht="13.9" customHeight="1" x14ac:dyDescent="0.2">
      <c r="A3" s="835">
        <v>2</v>
      </c>
      <c r="B3" s="835" t="s">
        <v>26</v>
      </c>
      <c r="C3" s="835"/>
      <c r="D3" s="3632" t="s">
        <v>1455</v>
      </c>
      <c r="E3" s="3633"/>
      <c r="F3" s="3633"/>
      <c r="G3" s="3633"/>
      <c r="H3" s="3633"/>
      <c r="I3" s="3633"/>
      <c r="J3" s="3633"/>
      <c r="K3" s="3633"/>
      <c r="L3" s="3633"/>
      <c r="M3" s="3633"/>
      <c r="N3" s="3633"/>
      <c r="O3" s="3633"/>
      <c r="P3" s="3633"/>
      <c r="Q3" s="3633"/>
      <c r="R3" s="3633"/>
      <c r="S3" s="3633"/>
      <c r="T3" s="3633"/>
      <c r="U3" s="3633"/>
      <c r="V3" s="3633"/>
      <c r="W3" s="3634"/>
    </row>
    <row r="4" spans="1:23" ht="13.9" customHeight="1" x14ac:dyDescent="0.2">
      <c r="A4" s="835">
        <v>3</v>
      </c>
      <c r="B4" s="835" t="s">
        <v>28</v>
      </c>
      <c r="C4" s="835"/>
      <c r="D4" s="3804" t="s">
        <v>1875</v>
      </c>
      <c r="E4" s="3805"/>
      <c r="F4" s="3805"/>
      <c r="G4" s="3805"/>
      <c r="H4" s="3805"/>
      <c r="I4" s="3805"/>
      <c r="J4" s="3805"/>
      <c r="K4" s="3805"/>
      <c r="L4" s="3805"/>
      <c r="M4" s="3805"/>
      <c r="N4" s="3805"/>
      <c r="O4" s="3805"/>
      <c r="P4" s="3805"/>
      <c r="Q4" s="3805"/>
      <c r="R4" s="3805"/>
      <c r="S4" s="3805"/>
      <c r="T4" s="3805"/>
      <c r="U4" s="3805"/>
      <c r="V4" s="3805"/>
      <c r="W4" s="3806"/>
    </row>
    <row r="5" spans="1:23" ht="13.9" customHeight="1" x14ac:dyDescent="0.2">
      <c r="A5" s="835"/>
      <c r="B5" s="835"/>
      <c r="C5" s="835"/>
      <c r="D5" s="3632" t="s">
        <v>1471</v>
      </c>
      <c r="E5" s="3633"/>
      <c r="F5" s="3633"/>
      <c r="G5" s="3633"/>
      <c r="H5" s="3633"/>
      <c r="I5" s="3633"/>
      <c r="J5" s="3633"/>
      <c r="K5" s="3633"/>
      <c r="L5" s="3633"/>
      <c r="M5" s="3633"/>
      <c r="N5" s="3633"/>
      <c r="O5" s="3633"/>
      <c r="P5" s="3633"/>
      <c r="Q5" s="3633"/>
      <c r="R5" s="3633"/>
      <c r="S5" s="3633"/>
      <c r="T5" s="3633"/>
      <c r="U5" s="3633"/>
      <c r="V5" s="3633"/>
      <c r="W5" s="3634"/>
    </row>
    <row r="6" spans="1:23" ht="13.9" customHeight="1" x14ac:dyDescent="0.2">
      <c r="A6" s="835"/>
      <c r="B6" s="835"/>
      <c r="C6" s="835"/>
      <c r="D6" s="3632" t="s">
        <v>1472</v>
      </c>
      <c r="E6" s="3633"/>
      <c r="F6" s="3633"/>
      <c r="G6" s="3633"/>
      <c r="H6" s="3633"/>
      <c r="I6" s="3633"/>
      <c r="J6" s="3633"/>
      <c r="K6" s="3633"/>
      <c r="L6" s="3633"/>
      <c r="M6" s="3633"/>
      <c r="N6" s="3633"/>
      <c r="O6" s="3633"/>
      <c r="P6" s="3633"/>
      <c r="Q6" s="3633"/>
      <c r="R6" s="3633"/>
      <c r="S6" s="3633"/>
      <c r="T6" s="3633"/>
      <c r="U6" s="3633"/>
      <c r="V6" s="3633"/>
      <c r="W6" s="3634"/>
    </row>
    <row r="7" spans="1:23" ht="14.25" x14ac:dyDescent="0.2">
      <c r="A7" s="835">
        <v>4</v>
      </c>
      <c r="B7" s="418" t="s">
        <v>1</v>
      </c>
      <c r="C7" s="418"/>
      <c r="D7" s="2273"/>
      <c r="E7" s="628"/>
      <c r="F7" s="628"/>
      <c r="G7" s="628"/>
      <c r="H7" s="628"/>
      <c r="I7" s="628"/>
      <c r="J7" s="628"/>
      <c r="K7" s="628"/>
    </row>
    <row r="8" spans="1:23" ht="14.25" x14ac:dyDescent="0.2">
      <c r="A8" s="835"/>
      <c r="B8" s="418"/>
      <c r="C8" s="418"/>
      <c r="D8" s="977" t="s">
        <v>31</v>
      </c>
      <c r="E8" s="983" t="s">
        <v>1473</v>
      </c>
      <c r="F8" s="2235"/>
      <c r="G8" s="983"/>
      <c r="H8" s="983"/>
      <c r="I8" s="628"/>
      <c r="J8" s="628"/>
      <c r="K8" s="628"/>
    </row>
    <row r="9" spans="1:23" ht="14.25" x14ac:dyDescent="0.2">
      <c r="A9" s="835"/>
      <c r="B9" s="418"/>
      <c r="C9" s="418"/>
      <c r="D9" s="3282"/>
      <c r="E9" s="635"/>
      <c r="F9" s="635"/>
      <c r="G9" s="635"/>
      <c r="H9" s="834"/>
      <c r="I9" s="834">
        <v>2002</v>
      </c>
      <c r="J9" s="834">
        <v>2003</v>
      </c>
      <c r="K9" s="834">
        <v>2004</v>
      </c>
      <c r="L9" s="834">
        <v>2005</v>
      </c>
      <c r="M9" s="834">
        <v>2006</v>
      </c>
      <c r="N9" s="834">
        <v>2007</v>
      </c>
      <c r="O9" s="834">
        <v>2008</v>
      </c>
      <c r="P9" s="834">
        <v>2009</v>
      </c>
      <c r="Q9" s="834">
        <v>2010</v>
      </c>
      <c r="R9" s="834">
        <v>2011</v>
      </c>
      <c r="S9" s="834">
        <v>2012</v>
      </c>
      <c r="T9" s="834">
        <v>2013</v>
      </c>
      <c r="U9" s="834">
        <v>2014</v>
      </c>
      <c r="V9" s="834">
        <v>2015</v>
      </c>
      <c r="W9" s="2786">
        <v>2016</v>
      </c>
    </row>
    <row r="10" spans="1:23" ht="14.25" x14ac:dyDescent="0.2">
      <c r="A10" s="835"/>
      <c r="B10" s="418"/>
      <c r="C10" s="1283"/>
      <c r="D10" s="2249" t="s">
        <v>1474</v>
      </c>
      <c r="E10" s="432"/>
      <c r="F10" s="432"/>
      <c r="G10" s="432"/>
      <c r="H10" s="432"/>
      <c r="I10" s="432">
        <v>48.2</v>
      </c>
      <c r="J10" s="432">
        <v>48.2</v>
      </c>
      <c r="K10" s="432">
        <v>48.4</v>
      </c>
      <c r="L10" s="432">
        <v>48.7</v>
      </c>
      <c r="M10" s="432">
        <v>48.6</v>
      </c>
      <c r="N10" s="432">
        <v>48</v>
      </c>
      <c r="O10" s="432">
        <v>46.8</v>
      </c>
      <c r="P10" s="432">
        <v>43.4</v>
      </c>
      <c r="Q10" s="432">
        <v>41.2</v>
      </c>
      <c r="R10" s="432">
        <v>39.700000000000003</v>
      </c>
      <c r="S10" s="432">
        <v>38.6</v>
      </c>
      <c r="T10" s="432">
        <v>37.700000000000003</v>
      </c>
      <c r="U10" s="432">
        <v>36.6</v>
      </c>
      <c r="V10" s="432">
        <v>34.4</v>
      </c>
      <c r="W10" s="2787">
        <v>33.700000000000003</v>
      </c>
    </row>
    <row r="11" spans="1:23" ht="14.25" x14ac:dyDescent="0.2">
      <c r="A11" s="835"/>
      <c r="B11" s="418"/>
      <c r="C11" s="1283"/>
      <c r="D11" s="2250" t="s">
        <v>1475</v>
      </c>
      <c r="E11" s="436"/>
      <c r="F11" s="436"/>
      <c r="G11" s="436"/>
      <c r="H11" s="436"/>
      <c r="I11" s="436">
        <v>70.8</v>
      </c>
      <c r="J11" s="436">
        <v>71.099999999999994</v>
      </c>
      <c r="K11" s="436">
        <v>71.5</v>
      </c>
      <c r="L11" s="436">
        <v>71.8</v>
      </c>
      <c r="M11" s="436">
        <v>71.3</v>
      </c>
      <c r="N11" s="436">
        <v>70</v>
      </c>
      <c r="O11" s="436">
        <v>67.5</v>
      </c>
      <c r="P11" s="436">
        <v>63.9</v>
      </c>
      <c r="Q11" s="436">
        <v>58.8</v>
      </c>
      <c r="R11" s="436">
        <v>55.6</v>
      </c>
      <c r="S11" s="436">
        <v>53.2</v>
      </c>
      <c r="T11" s="436">
        <v>51.3</v>
      </c>
      <c r="U11" s="436">
        <v>49.3</v>
      </c>
      <c r="V11" s="436">
        <v>46.6</v>
      </c>
      <c r="W11" s="2281">
        <v>44.4</v>
      </c>
    </row>
    <row r="12" spans="1:23" ht="14.25" x14ac:dyDescent="0.2">
      <c r="A12" s="835"/>
      <c r="B12" s="418"/>
      <c r="C12" s="418"/>
      <c r="D12" s="1664"/>
      <c r="H12" s="1225"/>
      <c r="I12" s="1225"/>
      <c r="J12" s="1225"/>
      <c r="K12" s="1225"/>
      <c r="L12" s="1225"/>
      <c r="M12" s="1225"/>
      <c r="N12" s="1225"/>
      <c r="O12" s="1225"/>
      <c r="P12" s="1225"/>
    </row>
    <row r="13" spans="1:23" x14ac:dyDescent="0.2">
      <c r="B13" s="1224"/>
      <c r="C13" s="1224"/>
      <c r="D13" s="977" t="s">
        <v>55</v>
      </c>
      <c r="E13" s="983" t="s">
        <v>1476</v>
      </c>
      <c r="F13" s="2235"/>
      <c r="G13" s="983"/>
      <c r="H13" s="983"/>
      <c r="I13" s="983"/>
      <c r="J13" s="983"/>
      <c r="K13" s="983"/>
      <c r="L13" s="2235"/>
      <c r="M13" s="2235"/>
      <c r="N13" s="2235"/>
      <c r="O13" s="2235"/>
    </row>
    <row r="14" spans="1:23" hidden="1" x14ac:dyDescent="0.2">
      <c r="B14" s="1224"/>
      <c r="C14" s="1224"/>
      <c r="D14" s="1284"/>
      <c r="E14" s="800">
        <v>1998</v>
      </c>
      <c r="F14" s="800">
        <v>1999</v>
      </c>
      <c r="G14" s="800">
        <v>2000</v>
      </c>
      <c r="H14" s="800">
        <v>2001</v>
      </c>
      <c r="I14" s="800">
        <v>2002</v>
      </c>
      <c r="J14" s="800">
        <v>2003</v>
      </c>
      <c r="K14" s="800">
        <v>2004</v>
      </c>
      <c r="L14" s="800">
        <v>2005</v>
      </c>
      <c r="M14" s="800">
        <v>2006</v>
      </c>
      <c r="N14" s="800">
        <v>2007</v>
      </c>
      <c r="O14" s="800">
        <v>2008</v>
      </c>
      <c r="P14" s="800">
        <v>2009</v>
      </c>
      <c r="Q14" s="800">
        <v>2010</v>
      </c>
      <c r="R14" s="800">
        <v>2011</v>
      </c>
      <c r="S14" s="800">
        <v>2012</v>
      </c>
      <c r="T14" s="800">
        <v>2013</v>
      </c>
      <c r="U14" s="800">
        <v>2014</v>
      </c>
      <c r="V14" s="1097">
        <v>2015</v>
      </c>
    </row>
    <row r="15" spans="1:23" ht="15.75" hidden="1" customHeight="1" x14ac:dyDescent="0.2">
      <c r="B15" s="1224"/>
      <c r="C15" s="1283">
        <v>2</v>
      </c>
      <c r="D15" s="629" t="s">
        <v>1477</v>
      </c>
      <c r="E15" s="984"/>
      <c r="F15" s="984"/>
      <c r="G15" s="984"/>
      <c r="H15" s="984"/>
      <c r="I15" s="984"/>
      <c r="J15" s="984"/>
      <c r="K15" s="984"/>
      <c r="L15" s="984"/>
      <c r="M15" s="984"/>
      <c r="N15" s="984"/>
      <c r="O15" s="984"/>
      <c r="P15" s="984"/>
      <c r="Q15" s="984"/>
      <c r="R15" s="984"/>
      <c r="S15" s="984"/>
      <c r="T15" s="984"/>
      <c r="U15" s="984"/>
      <c r="V15" s="2781"/>
    </row>
    <row r="16" spans="1:23" ht="15.75" hidden="1" customHeight="1" x14ac:dyDescent="0.2">
      <c r="B16" s="2274"/>
      <c r="C16" s="1328"/>
      <c r="D16" s="798" t="s">
        <v>1478</v>
      </c>
      <c r="E16" s="432"/>
      <c r="F16" s="432"/>
      <c r="G16" s="432"/>
      <c r="H16" s="432">
        <v>28.8</v>
      </c>
      <c r="I16" s="432">
        <v>33.1</v>
      </c>
      <c r="J16" s="432">
        <v>36.5</v>
      </c>
      <c r="K16" s="432">
        <v>38.1</v>
      </c>
      <c r="L16" s="984"/>
      <c r="M16" s="984"/>
      <c r="N16" s="984"/>
      <c r="O16" s="984"/>
      <c r="P16" s="984"/>
      <c r="Q16" s="984"/>
      <c r="R16" s="984"/>
      <c r="S16" s="984"/>
      <c r="T16" s="984"/>
      <c r="U16" s="984"/>
      <c r="V16" s="2781"/>
    </row>
    <row r="17" spans="1:23" ht="15.75" hidden="1" customHeight="1" x14ac:dyDescent="0.2">
      <c r="B17" s="2274"/>
      <c r="C17" s="1328"/>
      <c r="D17" s="1221" t="s">
        <v>1479</v>
      </c>
      <c r="E17" s="432"/>
      <c r="F17" s="432"/>
      <c r="G17" s="432"/>
      <c r="H17" s="432">
        <v>39.6</v>
      </c>
      <c r="I17" s="432">
        <v>44.7</v>
      </c>
      <c r="J17" s="432">
        <v>49.3</v>
      </c>
      <c r="K17" s="432">
        <v>52.8</v>
      </c>
      <c r="L17" s="984"/>
      <c r="M17" s="984"/>
      <c r="N17" s="984"/>
      <c r="O17" s="984"/>
      <c r="P17" s="984"/>
      <c r="Q17" s="984"/>
      <c r="R17" s="984"/>
      <c r="S17" s="984"/>
      <c r="T17" s="984"/>
      <c r="U17" s="1286"/>
      <c r="V17" s="2784"/>
    </row>
    <row r="18" spans="1:23" ht="15.75" hidden="1" customHeight="1" x14ac:dyDescent="0.2">
      <c r="B18" s="2274"/>
      <c r="C18" s="1328">
        <v>3</v>
      </c>
      <c r="D18" s="967" t="s">
        <v>1480</v>
      </c>
      <c r="E18" s="427"/>
      <c r="F18" s="427"/>
      <c r="G18" s="427"/>
      <c r="H18" s="427"/>
      <c r="I18" s="427"/>
      <c r="J18" s="427"/>
      <c r="K18" s="427"/>
      <c r="L18" s="1285"/>
      <c r="M18" s="1285"/>
      <c r="N18" s="1285"/>
      <c r="O18" s="1285"/>
      <c r="P18" s="1285"/>
      <c r="Q18" s="1285"/>
      <c r="R18" s="1285"/>
      <c r="S18" s="1285"/>
      <c r="T18" s="1285"/>
      <c r="U18" s="984"/>
      <c r="V18" s="2781"/>
    </row>
    <row r="19" spans="1:23" ht="15.75" hidden="1" customHeight="1" x14ac:dyDescent="0.2">
      <c r="B19" s="2274"/>
      <c r="C19" s="1328"/>
      <c r="D19" s="798" t="s">
        <v>1478</v>
      </c>
      <c r="E19" s="432">
        <v>55</v>
      </c>
      <c r="F19" s="432">
        <v>56</v>
      </c>
      <c r="G19" s="432">
        <v>58</v>
      </c>
      <c r="H19" s="432">
        <v>58</v>
      </c>
      <c r="I19" s="432">
        <v>59</v>
      </c>
      <c r="J19" s="432">
        <v>59</v>
      </c>
      <c r="K19" s="432">
        <v>59</v>
      </c>
      <c r="L19" s="984"/>
      <c r="M19" s="984"/>
      <c r="N19" s="984"/>
      <c r="O19" s="984"/>
      <c r="P19" s="984"/>
      <c r="Q19" s="984"/>
      <c r="R19" s="984"/>
      <c r="S19" s="984"/>
      <c r="T19" s="984"/>
      <c r="U19" s="984"/>
      <c r="V19" s="2781"/>
    </row>
    <row r="20" spans="1:23" ht="15.75" hidden="1" customHeight="1" x14ac:dyDescent="0.2">
      <c r="B20" s="2274"/>
      <c r="C20" s="1328"/>
      <c r="D20" s="1221" t="s">
        <v>1479</v>
      </c>
      <c r="E20" s="434">
        <v>81</v>
      </c>
      <c r="F20" s="434">
        <v>86</v>
      </c>
      <c r="G20" s="434">
        <v>91</v>
      </c>
      <c r="H20" s="434">
        <v>96</v>
      </c>
      <c r="I20" s="434">
        <v>100</v>
      </c>
      <c r="J20" s="434">
        <v>104</v>
      </c>
      <c r="K20" s="434">
        <v>106</v>
      </c>
      <c r="L20" s="1286"/>
      <c r="M20" s="1286"/>
      <c r="N20" s="1286"/>
      <c r="O20" s="1286"/>
      <c r="P20" s="1286"/>
      <c r="Q20" s="1286"/>
      <c r="R20" s="1286"/>
      <c r="S20" s="1286"/>
      <c r="T20" s="1286"/>
      <c r="U20" s="1286"/>
      <c r="V20" s="2784"/>
    </row>
    <row r="21" spans="1:23" ht="15.75" hidden="1" customHeight="1" x14ac:dyDescent="0.2">
      <c r="C21" s="1328">
        <v>4</v>
      </c>
      <c r="D21" s="967" t="s">
        <v>1481</v>
      </c>
      <c r="E21" s="984"/>
      <c r="F21" s="984"/>
      <c r="G21" s="984"/>
      <c r="H21" s="984"/>
      <c r="I21" s="984"/>
      <c r="J21" s="984"/>
      <c r="K21" s="984"/>
      <c r="L21" s="984"/>
      <c r="M21" s="984"/>
      <c r="N21" s="984"/>
      <c r="O21" s="984"/>
      <c r="P21" s="984"/>
      <c r="Q21" s="984"/>
      <c r="R21" s="984"/>
      <c r="S21" s="984"/>
      <c r="T21" s="984"/>
      <c r="U21" s="984"/>
      <c r="V21" s="2785"/>
    </row>
    <row r="22" spans="1:23" ht="15.75" hidden="1" customHeight="1" x14ac:dyDescent="0.2">
      <c r="C22" s="1328"/>
      <c r="D22" s="798" t="s">
        <v>1478</v>
      </c>
      <c r="E22" s="432">
        <v>48</v>
      </c>
      <c r="F22" s="984"/>
      <c r="G22" s="984"/>
      <c r="H22" s="984"/>
      <c r="I22" s="984"/>
      <c r="J22" s="432">
        <v>43</v>
      </c>
      <c r="K22" s="984"/>
      <c r="L22" s="984"/>
      <c r="M22" s="984"/>
      <c r="N22" s="984"/>
      <c r="O22" s="984"/>
      <c r="P22" s="984"/>
      <c r="Q22" s="984"/>
      <c r="R22" s="984"/>
      <c r="S22" s="984"/>
      <c r="T22" s="984"/>
      <c r="U22" s="984"/>
      <c r="V22" s="2781"/>
    </row>
    <row r="23" spans="1:23" ht="15.75" hidden="1" customHeight="1" x14ac:dyDescent="0.2">
      <c r="B23" s="2274"/>
      <c r="C23" s="1328"/>
      <c r="D23" s="1221" t="s">
        <v>1479</v>
      </c>
      <c r="E23" s="1287"/>
      <c r="F23" s="1287"/>
      <c r="G23" s="1287"/>
      <c r="H23" s="1287"/>
      <c r="I23" s="1287"/>
      <c r="J23" s="1287">
        <v>58</v>
      </c>
      <c r="K23" s="1287"/>
      <c r="L23" s="1287"/>
      <c r="M23" s="1287"/>
      <c r="N23" s="1287"/>
      <c r="O23" s="1287"/>
      <c r="P23" s="1247"/>
      <c r="Q23" s="1247"/>
      <c r="R23" s="1247"/>
      <c r="S23" s="1247"/>
      <c r="T23" s="1247"/>
      <c r="U23" s="1247"/>
      <c r="V23" s="2781"/>
    </row>
    <row r="24" spans="1:23" ht="15.75" customHeight="1" x14ac:dyDescent="0.2">
      <c r="B24" s="2274"/>
      <c r="C24" s="1328"/>
      <c r="D24" s="3475" t="s">
        <v>1482</v>
      </c>
      <c r="E24" s="432"/>
      <c r="F24" s="432"/>
      <c r="G24" s="432"/>
      <c r="H24" s="432"/>
      <c r="I24" s="432"/>
      <c r="J24" s="432"/>
      <c r="K24" s="432"/>
      <c r="L24" s="432"/>
      <c r="M24" s="432"/>
      <c r="N24" s="432"/>
      <c r="O24" s="984"/>
      <c r="P24" s="3470"/>
      <c r="Q24" s="3470"/>
      <c r="R24" s="3470"/>
      <c r="S24" s="3470"/>
      <c r="T24" s="3470"/>
      <c r="U24" s="3470"/>
      <c r="V24" s="3471"/>
    </row>
    <row r="25" spans="1:23" x14ac:dyDescent="0.2">
      <c r="B25" s="2274"/>
      <c r="C25" s="1328"/>
      <c r="D25" s="2955" t="s">
        <v>1478</v>
      </c>
      <c r="E25" s="1247"/>
      <c r="F25" s="1247"/>
      <c r="G25" s="1247"/>
      <c r="H25" s="1247"/>
      <c r="I25" s="1247"/>
      <c r="J25" s="1247"/>
      <c r="K25" s="1247"/>
      <c r="L25" s="1247"/>
      <c r="M25" s="1247"/>
      <c r="N25" s="1247"/>
      <c r="O25" s="1247"/>
      <c r="P25" s="1247">
        <v>39</v>
      </c>
      <c r="Q25" s="1247">
        <v>35</v>
      </c>
      <c r="R25" s="1247">
        <v>28</v>
      </c>
      <c r="S25" s="1247">
        <v>27</v>
      </c>
      <c r="T25" s="1247">
        <v>29</v>
      </c>
      <c r="U25" s="1247">
        <v>28</v>
      </c>
      <c r="V25" s="2782">
        <v>27</v>
      </c>
    </row>
    <row r="26" spans="1:23" ht="15.75" customHeight="1" x14ac:dyDescent="0.2">
      <c r="B26" s="2274"/>
      <c r="C26" s="1328"/>
      <c r="D26" s="3124" t="s">
        <v>1479</v>
      </c>
      <c r="E26" s="1288"/>
      <c r="F26" s="1288"/>
      <c r="G26" s="1288"/>
      <c r="H26" s="1288"/>
      <c r="I26" s="1288"/>
      <c r="J26" s="1288"/>
      <c r="K26" s="1288"/>
      <c r="L26" s="1288"/>
      <c r="M26" s="1288"/>
      <c r="N26" s="1288"/>
      <c r="O26" s="1288"/>
      <c r="P26" s="1288">
        <v>56</v>
      </c>
      <c r="Q26" s="1288">
        <v>52</v>
      </c>
      <c r="R26" s="1288">
        <v>40</v>
      </c>
      <c r="S26" s="1288">
        <v>41</v>
      </c>
      <c r="T26" s="1288">
        <v>41</v>
      </c>
      <c r="U26" s="1288">
        <v>40</v>
      </c>
      <c r="V26" s="2783">
        <v>37</v>
      </c>
    </row>
    <row r="27" spans="1:23" s="2275" customFormat="1" ht="15.75" customHeight="1" x14ac:dyDescent="0.2">
      <c r="A27" s="965"/>
      <c r="B27" s="1361"/>
      <c r="C27" s="1361"/>
      <c r="D27" s="1289"/>
      <c r="E27" s="1290"/>
      <c r="F27" s="1290"/>
      <c r="G27" s="1290"/>
      <c r="H27" s="1290"/>
      <c r="I27" s="1290"/>
      <c r="J27" s="1290"/>
      <c r="K27" s="1290"/>
      <c r="L27" s="1290"/>
      <c r="M27" s="1290"/>
      <c r="N27" s="1290"/>
    </row>
    <row r="29" spans="1:23" ht="15" customHeight="1" x14ac:dyDescent="0.2">
      <c r="A29" s="835">
        <v>5</v>
      </c>
      <c r="B29" s="835" t="s">
        <v>78</v>
      </c>
      <c r="C29" s="835"/>
      <c r="D29" s="3615" t="s">
        <v>167</v>
      </c>
      <c r="E29" s="3616"/>
      <c r="F29" s="3616"/>
      <c r="G29" s="3616"/>
      <c r="H29" s="3616"/>
      <c r="I29" s="3616"/>
      <c r="J29" s="3616"/>
      <c r="K29" s="3616"/>
      <c r="L29" s="3616"/>
      <c r="M29" s="3616"/>
      <c r="N29" s="3616"/>
      <c r="O29" s="3616"/>
      <c r="P29" s="3616"/>
      <c r="Q29" s="3616"/>
      <c r="R29" s="3616"/>
      <c r="S29" s="3616"/>
      <c r="T29" s="3616"/>
      <c r="U29" s="3616"/>
      <c r="V29" s="3616"/>
      <c r="W29" s="3617"/>
    </row>
    <row r="30" spans="1:23" ht="26.25" customHeight="1" x14ac:dyDescent="0.2">
      <c r="A30" s="963">
        <v>6</v>
      </c>
      <c r="B30" s="963" t="s">
        <v>80</v>
      </c>
      <c r="C30" s="963"/>
      <c r="D30" s="3807" t="s">
        <v>1878</v>
      </c>
      <c r="E30" s="3808"/>
      <c r="F30" s="3808"/>
      <c r="G30" s="3808"/>
      <c r="H30" s="3808"/>
      <c r="I30" s="3808"/>
      <c r="J30" s="3808"/>
      <c r="K30" s="3808"/>
      <c r="L30" s="3808"/>
      <c r="M30" s="3808"/>
      <c r="N30" s="3808"/>
      <c r="O30" s="3808"/>
      <c r="P30" s="3808"/>
      <c r="Q30" s="3808"/>
      <c r="R30" s="3808"/>
      <c r="S30" s="3808"/>
      <c r="T30" s="3808"/>
      <c r="U30" s="3808"/>
      <c r="V30" s="3808"/>
      <c r="W30" s="3809"/>
    </row>
    <row r="31" spans="1:23" ht="13.9" customHeight="1" x14ac:dyDescent="0.2">
      <c r="A31" s="835">
        <v>7</v>
      </c>
      <c r="B31" s="835" t="s">
        <v>20</v>
      </c>
      <c r="C31" s="1791"/>
      <c r="D31" s="3807" t="s">
        <v>1876</v>
      </c>
      <c r="E31" s="3808"/>
      <c r="F31" s="3808"/>
      <c r="G31" s="3808"/>
      <c r="H31" s="3808"/>
      <c r="I31" s="3808"/>
      <c r="J31" s="3808"/>
      <c r="K31" s="3808"/>
      <c r="L31" s="3808"/>
      <c r="M31" s="3808"/>
      <c r="N31" s="3808"/>
      <c r="O31" s="3808"/>
      <c r="P31" s="3808"/>
      <c r="Q31" s="3808"/>
      <c r="R31" s="3808"/>
      <c r="S31" s="3808"/>
      <c r="T31" s="3808"/>
      <c r="U31" s="3808"/>
      <c r="V31" s="3808"/>
      <c r="W31" s="3809"/>
    </row>
    <row r="32" spans="1:23" ht="14.25" customHeight="1" x14ac:dyDescent="0.2">
      <c r="A32" s="835"/>
      <c r="B32" s="835"/>
      <c r="C32" s="1791"/>
      <c r="D32" s="3807" t="s">
        <v>1877</v>
      </c>
      <c r="E32" s="3808"/>
      <c r="F32" s="3808"/>
      <c r="G32" s="3808"/>
      <c r="H32" s="3808"/>
      <c r="I32" s="3808"/>
      <c r="J32" s="3808"/>
      <c r="K32" s="3808"/>
      <c r="L32" s="3808"/>
      <c r="M32" s="3808"/>
      <c r="N32" s="3808"/>
      <c r="O32" s="3808"/>
      <c r="P32" s="3808"/>
      <c r="Q32" s="3808"/>
      <c r="R32" s="3808"/>
      <c r="S32" s="3808"/>
      <c r="T32" s="3808"/>
      <c r="U32" s="3808"/>
      <c r="V32" s="3808"/>
      <c r="W32" s="3809"/>
    </row>
    <row r="33" spans="1:23" ht="14.25" hidden="1" x14ac:dyDescent="0.2">
      <c r="A33" s="835"/>
      <c r="B33" s="835"/>
      <c r="C33" s="835"/>
      <c r="D33" s="3801" t="s">
        <v>1483</v>
      </c>
      <c r="E33" s="3802"/>
      <c r="F33" s="3802"/>
      <c r="G33" s="3802"/>
      <c r="H33" s="3802"/>
      <c r="I33" s="3802"/>
      <c r="J33" s="3802"/>
      <c r="K33" s="3802"/>
      <c r="L33" s="3802"/>
      <c r="M33" s="3802"/>
      <c r="N33" s="3802"/>
      <c r="O33" s="3802"/>
      <c r="P33" s="3802"/>
      <c r="Q33" s="3802"/>
      <c r="R33" s="3802"/>
      <c r="S33" s="3802"/>
      <c r="T33" s="3802"/>
      <c r="U33" s="3802"/>
      <c r="V33" s="3802"/>
      <c r="W33" s="3803"/>
    </row>
    <row r="34" spans="1:23" ht="28.15" hidden="1" customHeight="1" x14ac:dyDescent="0.2">
      <c r="A34" s="835"/>
      <c r="B34" s="835"/>
      <c r="C34" s="1791"/>
      <c r="D34" s="3801" t="s">
        <v>1484</v>
      </c>
      <c r="E34" s="3802"/>
      <c r="F34" s="3802"/>
      <c r="G34" s="3802"/>
      <c r="H34" s="3802"/>
      <c r="I34" s="3802"/>
      <c r="J34" s="3802"/>
      <c r="K34" s="3802"/>
      <c r="L34" s="3802"/>
      <c r="M34" s="3802"/>
      <c r="N34" s="3802"/>
      <c r="O34" s="3802"/>
      <c r="P34" s="3802"/>
      <c r="Q34" s="3802"/>
      <c r="R34" s="3802"/>
      <c r="S34" s="3802"/>
      <c r="T34" s="3802"/>
      <c r="U34" s="3802"/>
      <c r="V34" s="3802"/>
      <c r="W34" s="3803"/>
    </row>
    <row r="35" spans="1:23" ht="27.75" customHeight="1" x14ac:dyDescent="0.2">
      <c r="A35" s="835">
        <v>8</v>
      </c>
      <c r="B35" s="835" t="s">
        <v>83</v>
      </c>
      <c r="D35" s="3801" t="s">
        <v>1485</v>
      </c>
      <c r="E35" s="3802"/>
      <c r="F35" s="3802"/>
      <c r="G35" s="3802"/>
      <c r="H35" s="3802"/>
      <c r="I35" s="3802"/>
      <c r="J35" s="3802"/>
      <c r="K35" s="3802"/>
      <c r="L35" s="3802"/>
      <c r="M35" s="3802"/>
      <c r="N35" s="3802"/>
      <c r="O35" s="3802"/>
      <c r="P35" s="3802"/>
      <c r="Q35" s="3802"/>
      <c r="R35" s="3802"/>
      <c r="S35" s="3802"/>
      <c r="T35" s="3802"/>
      <c r="U35" s="3802"/>
      <c r="V35" s="3802"/>
      <c r="W35" s="3803"/>
    </row>
    <row r="36" spans="1:23" x14ac:dyDescent="0.2">
      <c r="T36" s="1291"/>
    </row>
    <row r="37" spans="1:23" x14ac:dyDescent="0.2">
      <c r="D37" s="798"/>
      <c r="E37" s="432"/>
      <c r="F37" s="432"/>
      <c r="G37" s="432"/>
      <c r="H37" s="432"/>
      <c r="I37" s="432"/>
      <c r="J37" s="432"/>
      <c r="K37" s="432"/>
      <c r="L37" s="432"/>
      <c r="M37" s="432"/>
    </row>
    <row r="58" spans="4:20" x14ac:dyDescent="0.2">
      <c r="D58" s="2276"/>
      <c r="E58" s="635"/>
      <c r="F58" s="635"/>
      <c r="G58" s="635"/>
      <c r="H58" s="834">
        <v>2002</v>
      </c>
      <c r="I58" s="834">
        <v>2003</v>
      </c>
      <c r="J58" s="834">
        <v>2004</v>
      </c>
      <c r="K58" s="834">
        <v>2005</v>
      </c>
      <c r="L58" s="834">
        <v>2006</v>
      </c>
      <c r="M58" s="834">
        <v>2007</v>
      </c>
      <c r="N58" s="834">
        <v>2008</v>
      </c>
      <c r="O58" s="834">
        <v>2009</v>
      </c>
      <c r="P58" s="834">
        <v>2010</v>
      </c>
      <c r="Q58" s="834">
        <v>2011</v>
      </c>
      <c r="R58" s="834">
        <v>2012</v>
      </c>
      <c r="S58" s="834">
        <v>2013</v>
      </c>
      <c r="T58" s="834">
        <v>2014</v>
      </c>
    </row>
    <row r="59" spans="4:20" x14ac:dyDescent="0.2">
      <c r="E59" s="432"/>
      <c r="F59" s="432"/>
      <c r="G59" s="861" t="s">
        <v>1474</v>
      </c>
      <c r="H59" s="432">
        <v>57.8</v>
      </c>
      <c r="I59" s="432">
        <v>56.2</v>
      </c>
      <c r="J59" s="432">
        <v>54.3</v>
      </c>
      <c r="K59" s="432">
        <v>52</v>
      </c>
      <c r="L59" s="432">
        <v>49.4</v>
      </c>
      <c r="M59" s="432">
        <v>45.8</v>
      </c>
      <c r="N59" s="432">
        <v>45</v>
      </c>
      <c r="O59" s="432">
        <v>40.9</v>
      </c>
      <c r="P59" s="432">
        <v>38.9</v>
      </c>
      <c r="Q59" s="432">
        <v>37.799999999999997</v>
      </c>
      <c r="R59" s="432">
        <v>36.799999999999997</v>
      </c>
      <c r="S59" s="432">
        <v>35.200000000000003</v>
      </c>
      <c r="T59" s="432">
        <v>34.4</v>
      </c>
    </row>
    <row r="60" spans="4:20" x14ac:dyDescent="0.2">
      <c r="E60" s="1247"/>
      <c r="F60" s="1247"/>
      <c r="G60" s="2251" t="s">
        <v>1475</v>
      </c>
      <c r="H60" s="436">
        <v>85.2</v>
      </c>
      <c r="I60" s="436">
        <v>83.5</v>
      </c>
      <c r="J60" s="436">
        <v>80.900000000000006</v>
      </c>
      <c r="K60" s="436">
        <v>77.400000000000006</v>
      </c>
      <c r="L60" s="436">
        <v>72.900000000000006</v>
      </c>
      <c r="M60" s="436">
        <v>67.400000000000006</v>
      </c>
      <c r="N60" s="436">
        <v>64.7</v>
      </c>
      <c r="O60" s="436">
        <v>59.9</v>
      </c>
      <c r="P60" s="436">
        <v>53.8</v>
      </c>
      <c r="Q60" s="436">
        <v>50.4</v>
      </c>
      <c r="R60" s="436">
        <v>48.3</v>
      </c>
      <c r="S60" s="436">
        <v>45.6</v>
      </c>
      <c r="T60" s="436">
        <v>44.1</v>
      </c>
    </row>
  </sheetData>
  <mergeCells count="12">
    <mergeCell ref="D34:W34"/>
    <mergeCell ref="D35:W35"/>
    <mergeCell ref="D2:W2"/>
    <mergeCell ref="D3:W3"/>
    <mergeCell ref="D4:W4"/>
    <mergeCell ref="D5:W5"/>
    <mergeCell ref="D6:W6"/>
    <mergeCell ref="D29:W29"/>
    <mergeCell ref="D30:W30"/>
    <mergeCell ref="D31:W31"/>
    <mergeCell ref="D32:W32"/>
    <mergeCell ref="D33:W33"/>
  </mergeCells>
  <pageMargins left="0.74803149606299213" right="0.74803149606299213" top="0.98425196850393704" bottom="0.98425196850393704" header="0.51181102362204722" footer="0.51181102362204722"/>
  <pageSetup paperSize="9" scale="6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V90"/>
  <sheetViews>
    <sheetView showGridLines="0" tabSelected="1" view="pageBreakPreview" topLeftCell="C1" zoomScaleNormal="100" zoomScaleSheetLayoutView="100" workbookViewId="0">
      <selection activeCell="R78" sqref="R78"/>
    </sheetView>
  </sheetViews>
  <sheetFormatPr defaultColWidth="9.140625" defaultRowHeight="15" x14ac:dyDescent="0.2"/>
  <cols>
    <col min="1" max="1" width="8.42578125" style="965" customWidth="1"/>
    <col min="2" max="2" width="14.42578125" style="1277" customWidth="1"/>
    <col min="3" max="3" width="3.7109375" style="1277" customWidth="1"/>
    <col min="4" max="4" width="26.140625" style="964" customWidth="1"/>
    <col min="5" max="13" width="8" style="1761" customWidth="1"/>
    <col min="14" max="15" width="10.42578125" style="964" bestFit="1" customWidth="1"/>
    <col min="16" max="16384" width="9.140625" style="964"/>
  </cols>
  <sheetData>
    <row r="2" spans="1:22" ht="13.9" customHeight="1" x14ac:dyDescent="0.2">
      <c r="A2" s="835">
        <v>1</v>
      </c>
      <c r="B2" s="835" t="s">
        <v>24</v>
      </c>
      <c r="C2" s="835">
        <v>36</v>
      </c>
      <c r="D2" s="3629" t="s">
        <v>1891</v>
      </c>
      <c r="E2" s="3630"/>
      <c r="F2" s="3630"/>
      <c r="G2" s="3630"/>
      <c r="H2" s="3630"/>
      <c r="I2" s="3630"/>
      <c r="J2" s="3630"/>
      <c r="K2" s="3630"/>
      <c r="L2" s="3630"/>
      <c r="M2" s="3630"/>
      <c r="N2" s="3630"/>
      <c r="O2" s="3630"/>
      <c r="P2" s="3630"/>
      <c r="Q2" s="3630"/>
      <c r="R2" s="3630"/>
      <c r="S2" s="3630"/>
      <c r="T2" s="3630"/>
      <c r="U2" s="3630"/>
      <c r="V2" s="3631"/>
    </row>
    <row r="3" spans="1:22" ht="13.9" customHeight="1" x14ac:dyDescent="0.2">
      <c r="A3" s="835">
        <v>2</v>
      </c>
      <c r="B3" s="835" t="s">
        <v>26</v>
      </c>
      <c r="C3" s="835"/>
      <c r="D3" s="3615" t="s">
        <v>1455</v>
      </c>
      <c r="E3" s="3616"/>
      <c r="F3" s="3616"/>
      <c r="G3" s="3616"/>
      <c r="H3" s="3616"/>
      <c r="I3" s="3616"/>
      <c r="J3" s="3616"/>
      <c r="K3" s="3616"/>
      <c r="L3" s="3616"/>
      <c r="M3" s="3616"/>
      <c r="N3" s="3616"/>
      <c r="O3" s="3616"/>
      <c r="P3" s="3616"/>
      <c r="Q3" s="3616"/>
      <c r="R3" s="3616"/>
      <c r="S3" s="3616"/>
      <c r="T3" s="3616"/>
      <c r="U3" s="3616"/>
      <c r="V3" s="3617"/>
    </row>
    <row r="4" spans="1:22" ht="13.9" customHeight="1" x14ac:dyDescent="0.2">
      <c r="A4" s="835">
        <v>3</v>
      </c>
      <c r="B4" s="835" t="s">
        <v>28</v>
      </c>
      <c r="C4" s="835"/>
      <c r="D4" s="3615" t="s">
        <v>1486</v>
      </c>
      <c r="E4" s="3616"/>
      <c r="F4" s="3616"/>
      <c r="G4" s="3616"/>
      <c r="H4" s="3616"/>
      <c r="I4" s="3616"/>
      <c r="J4" s="3616"/>
      <c r="K4" s="3616"/>
      <c r="L4" s="3616"/>
      <c r="M4" s="3616"/>
      <c r="N4" s="3616"/>
      <c r="O4" s="3616"/>
      <c r="P4" s="3616"/>
      <c r="Q4" s="3616"/>
      <c r="R4" s="3616"/>
      <c r="S4" s="3616"/>
      <c r="T4" s="3616"/>
      <c r="U4" s="3616"/>
      <c r="V4" s="3617"/>
    </row>
    <row r="5" spans="1:22" ht="13.9" customHeight="1" x14ac:dyDescent="0.2">
      <c r="A5" s="835"/>
      <c r="B5" s="835"/>
      <c r="C5" s="835"/>
      <c r="D5" s="1471"/>
      <c r="E5" s="1471"/>
      <c r="F5" s="1471"/>
      <c r="G5" s="1471"/>
      <c r="H5" s="416"/>
      <c r="I5" s="416"/>
      <c r="J5" s="416"/>
      <c r="K5" s="416"/>
      <c r="L5" s="416"/>
      <c r="M5" s="416"/>
      <c r="N5" s="416"/>
      <c r="O5" s="416"/>
      <c r="P5" s="416"/>
      <c r="Q5" s="416"/>
      <c r="R5" s="416"/>
      <c r="S5" s="416"/>
      <c r="T5" s="416"/>
      <c r="U5" s="416"/>
    </row>
    <row r="6" spans="1:22" ht="14.25" x14ac:dyDescent="0.2">
      <c r="A6" s="835">
        <v>4</v>
      </c>
      <c r="B6" s="418" t="s">
        <v>1</v>
      </c>
      <c r="C6" s="418"/>
    </row>
    <row r="7" spans="1:22" s="401" customFormat="1" ht="12.75" x14ac:dyDescent="0.2">
      <c r="A7" s="1224"/>
      <c r="B7" s="1222"/>
      <c r="C7" s="1222"/>
      <c r="D7" s="1253" t="s">
        <v>103</v>
      </c>
      <c r="E7" s="2260" t="s">
        <v>1892</v>
      </c>
      <c r="F7" s="1801"/>
      <c r="G7" s="1801"/>
      <c r="H7" s="1769"/>
      <c r="I7" s="770"/>
      <c r="J7" s="770"/>
      <c r="K7" s="770"/>
      <c r="L7" s="770"/>
      <c r="M7" s="770"/>
      <c r="N7" s="424"/>
      <c r="O7" s="432"/>
      <c r="P7" s="432"/>
      <c r="Q7" s="432"/>
      <c r="R7" s="432"/>
      <c r="S7" s="432"/>
      <c r="T7" s="432"/>
      <c r="U7" s="432"/>
      <c r="V7" s="432"/>
    </row>
    <row r="8" spans="1:22" s="401" customFormat="1" ht="11.25" x14ac:dyDescent="0.2">
      <c r="A8" s="1224"/>
      <c r="B8" s="1222"/>
      <c r="C8" s="1222"/>
      <c r="D8" s="635"/>
      <c r="E8" s="1504"/>
      <c r="F8" s="1504"/>
      <c r="G8" s="800">
        <v>2001</v>
      </c>
      <c r="H8" s="800">
        <v>2002</v>
      </c>
      <c r="I8" s="800">
        <v>2003</v>
      </c>
      <c r="J8" s="800">
        <v>2004</v>
      </c>
      <c r="K8" s="800">
        <v>2005</v>
      </c>
      <c r="L8" s="800">
        <v>2006</v>
      </c>
      <c r="M8" s="800">
        <v>2007</v>
      </c>
      <c r="N8" s="800">
        <v>2008</v>
      </c>
      <c r="O8" s="800">
        <v>2009</v>
      </c>
      <c r="P8" s="800">
        <v>2010</v>
      </c>
      <c r="Q8" s="800">
        <v>2011</v>
      </c>
      <c r="R8" s="800">
        <v>2012</v>
      </c>
      <c r="S8" s="800">
        <v>2013</v>
      </c>
      <c r="T8" s="800">
        <v>2014</v>
      </c>
      <c r="U8" s="1097">
        <v>2015</v>
      </c>
      <c r="V8" s="432"/>
    </row>
    <row r="9" spans="1:22" s="401" customFormat="1" ht="22.5" x14ac:dyDescent="0.2">
      <c r="A9" s="1292"/>
      <c r="B9" s="1222"/>
      <c r="C9" s="1293"/>
      <c r="D9" s="796" t="str">
        <f>D2</f>
        <v>Severe acute malnutrition under five years</v>
      </c>
      <c r="E9" s="1273" t="s">
        <v>1487</v>
      </c>
      <c r="F9" s="1273"/>
      <c r="G9" s="1294">
        <v>88971</v>
      </c>
      <c r="H9" s="1294">
        <v>83957</v>
      </c>
      <c r="I9" s="1294">
        <v>64718</v>
      </c>
      <c r="J9" s="1294">
        <v>39785</v>
      </c>
      <c r="K9" s="1294">
        <v>30082</v>
      </c>
      <c r="L9" s="1294">
        <v>29176</v>
      </c>
      <c r="M9" s="1294">
        <v>29165</v>
      </c>
      <c r="N9" s="1294">
        <v>27064</v>
      </c>
      <c r="O9" s="1294">
        <v>28029</v>
      </c>
      <c r="P9" s="1294">
        <v>25057</v>
      </c>
      <c r="Q9" s="1294">
        <v>23521</v>
      </c>
      <c r="R9" s="1294">
        <v>20786</v>
      </c>
      <c r="S9" s="1294">
        <v>22313</v>
      </c>
      <c r="T9" s="1294">
        <v>25312</v>
      </c>
      <c r="U9" s="2788">
        <v>23545</v>
      </c>
      <c r="V9" s="432"/>
    </row>
    <row r="10" spans="1:22" s="401" customFormat="1" ht="11.25" hidden="1" x14ac:dyDescent="0.2">
      <c r="A10" s="1292"/>
      <c r="B10" s="1222"/>
      <c r="C10" s="1293"/>
      <c r="D10" s="798"/>
      <c r="E10" s="1271"/>
      <c r="F10" s="1271"/>
      <c r="G10" s="1271"/>
      <c r="H10" s="895"/>
      <c r="I10" s="895"/>
      <c r="J10" s="895"/>
      <c r="K10" s="895"/>
      <c r="L10" s="895"/>
      <c r="M10" s="895"/>
      <c r="N10" s="895"/>
      <c r="O10" s="895"/>
      <c r="P10" s="432"/>
      <c r="Q10" s="432"/>
      <c r="R10" s="432"/>
      <c r="S10" s="432"/>
      <c r="T10" s="432"/>
      <c r="U10" s="432"/>
      <c r="V10" s="432"/>
    </row>
    <row r="11" spans="1:22" s="401" customFormat="1" ht="11.25" hidden="1" x14ac:dyDescent="0.2">
      <c r="A11" s="1292"/>
      <c r="B11" s="1222"/>
      <c r="C11" s="1293"/>
      <c r="D11" s="798"/>
      <c r="E11" s="1271"/>
      <c r="F11" s="1271"/>
      <c r="G11" s="1271"/>
      <c r="H11" s="895"/>
      <c r="I11" s="895"/>
      <c r="J11" s="895"/>
      <c r="K11" s="895"/>
      <c r="L11" s="895"/>
      <c r="M11" s="895"/>
      <c r="N11" s="895"/>
      <c r="O11" s="895"/>
      <c r="P11" s="432"/>
      <c r="Q11" s="432"/>
      <c r="R11" s="432"/>
      <c r="S11" s="432"/>
      <c r="T11" s="432"/>
      <c r="U11" s="432"/>
      <c r="V11" s="432"/>
    </row>
    <row r="12" spans="1:22" s="401" customFormat="1" ht="11.25" hidden="1" customHeight="1" x14ac:dyDescent="0.2">
      <c r="A12" s="1292"/>
      <c r="B12" s="1222"/>
      <c r="C12" s="1293">
        <v>2</v>
      </c>
      <c r="D12" s="967" t="s">
        <v>1488</v>
      </c>
      <c r="E12" s="1295"/>
      <c r="F12" s="1061"/>
      <c r="G12" s="1061"/>
      <c r="H12" s="1061"/>
      <c r="I12" s="1061"/>
      <c r="J12" s="1061"/>
      <c r="K12" s="1061"/>
      <c r="L12" s="1061"/>
      <c r="M12" s="1061"/>
      <c r="N12" s="895"/>
      <c r="O12" s="895"/>
      <c r="P12" s="432"/>
      <c r="Q12" s="432"/>
      <c r="R12" s="432"/>
      <c r="S12" s="432"/>
      <c r="T12" s="432"/>
      <c r="U12" s="432"/>
      <c r="V12" s="432"/>
    </row>
    <row r="13" spans="1:22" s="401" customFormat="1" ht="11.25" hidden="1" customHeight="1" x14ac:dyDescent="0.2">
      <c r="A13" s="1292"/>
      <c r="B13" s="1222"/>
      <c r="C13" s="1293"/>
      <c r="D13" s="967"/>
      <c r="E13" s="1295"/>
      <c r="F13" s="1061"/>
      <c r="G13" s="1061"/>
      <c r="H13" s="1061"/>
      <c r="I13" s="1061"/>
      <c r="J13" s="1061"/>
      <c r="K13" s="1061"/>
      <c r="L13" s="1061"/>
      <c r="M13" s="1061"/>
      <c r="N13" s="895"/>
      <c r="O13" s="895"/>
      <c r="P13" s="432"/>
      <c r="Q13" s="432"/>
      <c r="R13" s="432"/>
      <c r="S13" s="432"/>
      <c r="T13" s="432"/>
      <c r="U13" s="432"/>
      <c r="V13" s="432"/>
    </row>
    <row r="14" spans="1:22" s="401" customFormat="1" ht="14.25" hidden="1" customHeight="1" x14ac:dyDescent="0.2">
      <c r="A14" s="1292"/>
      <c r="B14" s="1222"/>
      <c r="C14" s="1222"/>
      <c r="D14" s="2231"/>
      <c r="E14" s="1296">
        <v>1994</v>
      </c>
      <c r="F14" s="3652">
        <v>1999</v>
      </c>
      <c r="G14" s="3653"/>
      <c r="H14" s="1297">
        <v>2003</v>
      </c>
      <c r="I14" s="1297">
        <v>2005</v>
      </c>
      <c r="J14" s="3654">
        <v>2008</v>
      </c>
      <c r="K14" s="3652"/>
      <c r="L14" s="3652"/>
      <c r="M14" s="3652"/>
      <c r="N14" s="3652"/>
      <c r="O14" s="3655"/>
      <c r="P14" s="432"/>
      <c r="Q14" s="432"/>
      <c r="R14" s="432"/>
      <c r="S14" s="432"/>
      <c r="T14" s="432"/>
      <c r="U14" s="432"/>
      <c r="V14" s="432"/>
    </row>
    <row r="15" spans="1:22" s="401" customFormat="1" ht="33.75" hidden="1" customHeight="1" x14ac:dyDescent="0.2">
      <c r="A15" s="1292"/>
      <c r="B15" s="1222"/>
      <c r="C15" s="1222"/>
      <c r="D15" s="2231"/>
      <c r="E15" s="1296" t="s">
        <v>1489</v>
      </c>
      <c r="F15" s="971" t="s">
        <v>1490</v>
      </c>
      <c r="G15" s="1296" t="s">
        <v>1491</v>
      </c>
      <c r="H15" s="1297" t="s">
        <v>1492</v>
      </c>
      <c r="I15" s="1297" t="s">
        <v>1493</v>
      </c>
      <c r="J15" s="2789" t="s">
        <v>1494</v>
      </c>
      <c r="K15" s="971" t="s">
        <v>1495</v>
      </c>
      <c r="L15" s="971" t="s">
        <v>1496</v>
      </c>
      <c r="M15" s="971" t="s">
        <v>1497</v>
      </c>
      <c r="N15" s="971" t="s">
        <v>1498</v>
      </c>
      <c r="O15" s="2772" t="s">
        <v>1499</v>
      </c>
      <c r="P15" s="432"/>
      <c r="Q15" s="432"/>
      <c r="R15" s="432"/>
      <c r="S15" s="432"/>
      <c r="T15" s="432"/>
      <c r="U15" s="432"/>
      <c r="V15" s="432"/>
    </row>
    <row r="16" spans="1:22" s="401" customFormat="1" ht="11.25" hidden="1" customHeight="1" x14ac:dyDescent="0.2">
      <c r="A16" s="1292"/>
      <c r="B16" s="1222"/>
      <c r="C16" s="1222"/>
      <c r="D16" s="1008" t="s">
        <v>415</v>
      </c>
      <c r="E16" s="2261">
        <v>28.8</v>
      </c>
      <c r="F16" s="1300">
        <v>20.5</v>
      </c>
      <c r="G16" s="2262" t="s">
        <v>528</v>
      </c>
      <c r="H16" s="2263">
        <v>28.5</v>
      </c>
      <c r="I16" s="2263">
        <v>18</v>
      </c>
      <c r="J16" s="2790">
        <v>17.5</v>
      </c>
      <c r="K16" s="2264" t="s">
        <v>528</v>
      </c>
      <c r="L16" s="2264" t="s">
        <v>528</v>
      </c>
      <c r="M16" s="2264" t="s">
        <v>528</v>
      </c>
      <c r="N16" s="1298" t="s">
        <v>528</v>
      </c>
      <c r="O16" s="2791" t="s">
        <v>528</v>
      </c>
      <c r="P16" s="432"/>
      <c r="Q16" s="432"/>
      <c r="R16" s="432"/>
      <c r="S16" s="432"/>
      <c r="T16" s="432"/>
      <c r="U16" s="432"/>
      <c r="V16" s="432"/>
    </row>
    <row r="17" spans="1:22" s="401" customFormat="1" ht="11.25" hidden="1" customHeight="1" x14ac:dyDescent="0.2">
      <c r="A17" s="1292"/>
      <c r="B17" s="1222"/>
      <c r="C17" s="1222"/>
      <c r="D17" s="1008" t="s">
        <v>417</v>
      </c>
      <c r="E17" s="2261">
        <v>28.7</v>
      </c>
      <c r="F17" s="1300">
        <v>29.6</v>
      </c>
      <c r="G17" s="2261" t="s">
        <v>528</v>
      </c>
      <c r="H17" s="1299">
        <v>32.9</v>
      </c>
      <c r="I17" s="1299">
        <v>28.2</v>
      </c>
      <c r="J17" s="2792">
        <v>14.7</v>
      </c>
      <c r="K17" s="1300" t="s">
        <v>528</v>
      </c>
      <c r="L17" s="1300" t="s">
        <v>528</v>
      </c>
      <c r="M17" s="1300" t="s">
        <v>528</v>
      </c>
      <c r="N17" s="895" t="s">
        <v>528</v>
      </c>
      <c r="O17" s="2793" t="s">
        <v>528</v>
      </c>
      <c r="P17" s="432"/>
      <c r="Q17" s="432"/>
      <c r="R17" s="432"/>
      <c r="S17" s="432"/>
      <c r="T17" s="432"/>
      <c r="U17" s="432"/>
      <c r="V17" s="432"/>
    </row>
    <row r="18" spans="1:22" s="401" customFormat="1" ht="11.25" hidden="1" customHeight="1" x14ac:dyDescent="0.2">
      <c r="A18" s="1292"/>
      <c r="B18" s="1222"/>
      <c r="C18" s="1222"/>
      <c r="D18" s="1008" t="s">
        <v>420</v>
      </c>
      <c r="E18" s="2261">
        <v>11.5</v>
      </c>
      <c r="F18" s="1300">
        <v>20.399999999999999</v>
      </c>
      <c r="G18" s="2261" t="s">
        <v>528</v>
      </c>
      <c r="H18" s="1299">
        <v>26.5</v>
      </c>
      <c r="I18" s="1299">
        <v>16.8</v>
      </c>
      <c r="J18" s="2792">
        <v>13.2</v>
      </c>
      <c r="K18" s="1300" t="s">
        <v>528</v>
      </c>
      <c r="L18" s="1300" t="s">
        <v>528</v>
      </c>
      <c r="M18" s="1300" t="s">
        <v>528</v>
      </c>
      <c r="N18" s="895" t="s">
        <v>528</v>
      </c>
      <c r="O18" s="2793" t="s">
        <v>528</v>
      </c>
      <c r="P18" s="432"/>
      <c r="Q18" s="432"/>
      <c r="R18" s="432"/>
      <c r="S18" s="432"/>
      <c r="T18" s="432"/>
      <c r="U18" s="432"/>
      <c r="V18" s="432"/>
    </row>
    <row r="19" spans="1:22" s="401" customFormat="1" ht="11.25" hidden="1" customHeight="1" x14ac:dyDescent="0.2">
      <c r="A19" s="1292"/>
      <c r="B19" s="1222"/>
      <c r="C19" s="1222"/>
      <c r="D19" s="1008" t="s">
        <v>418</v>
      </c>
      <c r="E19" s="2261">
        <v>15.6</v>
      </c>
      <c r="F19" s="1300">
        <v>18.5</v>
      </c>
      <c r="G19" s="2261" t="s">
        <v>528</v>
      </c>
      <c r="H19" s="1299">
        <v>13.3</v>
      </c>
      <c r="I19" s="1299">
        <v>15.1</v>
      </c>
      <c r="J19" s="2792">
        <v>11.7</v>
      </c>
      <c r="K19" s="1300" t="s">
        <v>528</v>
      </c>
      <c r="L19" s="1300" t="s">
        <v>528</v>
      </c>
      <c r="M19" s="1300" t="s">
        <v>528</v>
      </c>
      <c r="N19" s="895" t="s">
        <v>528</v>
      </c>
      <c r="O19" s="2793" t="s">
        <v>528</v>
      </c>
      <c r="P19" s="432"/>
      <c r="Q19" s="432"/>
      <c r="R19" s="432"/>
      <c r="S19" s="432"/>
      <c r="T19" s="432"/>
      <c r="U19" s="432"/>
      <c r="V19" s="432"/>
    </row>
    <row r="20" spans="1:22" s="401" customFormat="1" ht="11.25" hidden="1" customHeight="1" x14ac:dyDescent="0.2">
      <c r="A20" s="1292"/>
      <c r="B20" s="1222"/>
      <c r="C20" s="1222"/>
      <c r="D20" s="1008" t="s">
        <v>422</v>
      </c>
      <c r="E20" s="2261">
        <v>34.200000000000003</v>
      </c>
      <c r="F20" s="1300">
        <v>23.1</v>
      </c>
      <c r="G20" s="2261" t="s">
        <v>528</v>
      </c>
      <c r="H20" s="1299">
        <v>26.6</v>
      </c>
      <c r="I20" s="1299">
        <v>23.8</v>
      </c>
      <c r="J20" s="2792">
        <v>12.8</v>
      </c>
      <c r="K20" s="1300" t="s">
        <v>528</v>
      </c>
      <c r="L20" s="1300" t="s">
        <v>528</v>
      </c>
      <c r="M20" s="1300" t="s">
        <v>528</v>
      </c>
      <c r="N20" s="895" t="s">
        <v>528</v>
      </c>
      <c r="O20" s="2793" t="s">
        <v>528</v>
      </c>
      <c r="P20" s="432"/>
      <c r="Q20" s="432"/>
      <c r="R20" s="432"/>
      <c r="S20" s="432"/>
      <c r="T20" s="432"/>
      <c r="U20" s="432"/>
      <c r="V20" s="432"/>
    </row>
    <row r="21" spans="1:22" s="401" customFormat="1" ht="11.25" hidden="1" customHeight="1" x14ac:dyDescent="0.2">
      <c r="A21" s="1292"/>
      <c r="B21" s="1222"/>
      <c r="C21" s="1222"/>
      <c r="D21" s="1008" t="s">
        <v>421</v>
      </c>
      <c r="E21" s="2261">
        <v>20.399999999999999</v>
      </c>
      <c r="F21" s="1300">
        <v>26.4</v>
      </c>
      <c r="G21" s="2261" t="s">
        <v>528</v>
      </c>
      <c r="H21" s="1299">
        <v>22.2</v>
      </c>
      <c r="I21" s="1299">
        <v>17.8</v>
      </c>
      <c r="J21" s="2792">
        <v>11.3</v>
      </c>
      <c r="K21" s="1300" t="s">
        <v>528</v>
      </c>
      <c r="L21" s="1300" t="s">
        <v>528</v>
      </c>
      <c r="M21" s="1300" t="s">
        <v>528</v>
      </c>
      <c r="N21" s="895" t="s">
        <v>528</v>
      </c>
      <c r="O21" s="2793" t="s">
        <v>528</v>
      </c>
      <c r="P21" s="432"/>
      <c r="Q21" s="432"/>
      <c r="R21" s="432"/>
      <c r="S21" s="432"/>
      <c r="T21" s="432"/>
      <c r="U21" s="432"/>
      <c r="V21" s="432"/>
    </row>
    <row r="22" spans="1:22" s="401" customFormat="1" ht="11.25" hidden="1" customHeight="1" x14ac:dyDescent="0.2">
      <c r="A22" s="1292"/>
      <c r="B22" s="1222"/>
      <c r="C22" s="1222"/>
      <c r="D22" s="1008" t="s">
        <v>419</v>
      </c>
      <c r="E22" s="2261">
        <v>22.8</v>
      </c>
      <c r="F22" s="1300">
        <v>29.6</v>
      </c>
      <c r="G22" s="2261" t="s">
        <v>528</v>
      </c>
      <c r="H22" s="1299">
        <v>37.1</v>
      </c>
      <c r="I22" s="1299">
        <v>27.7</v>
      </c>
      <c r="J22" s="2792">
        <v>19.399999999999999</v>
      </c>
      <c r="K22" s="1300" t="s">
        <v>528</v>
      </c>
      <c r="L22" s="1300" t="s">
        <v>528</v>
      </c>
      <c r="M22" s="1300" t="s">
        <v>528</v>
      </c>
      <c r="N22" s="895" t="s">
        <v>528</v>
      </c>
      <c r="O22" s="2793" t="s">
        <v>528</v>
      </c>
      <c r="P22" s="432"/>
      <c r="Q22" s="432"/>
      <c r="R22" s="432"/>
      <c r="S22" s="432"/>
      <c r="T22" s="432"/>
      <c r="U22" s="432"/>
      <c r="V22" s="432"/>
    </row>
    <row r="23" spans="1:22" s="401" customFormat="1" ht="11.25" hidden="1" customHeight="1" x14ac:dyDescent="0.2">
      <c r="A23" s="1292"/>
      <c r="B23" s="1222"/>
      <c r="C23" s="1222"/>
      <c r="D23" s="1008" t="s">
        <v>416</v>
      </c>
      <c r="E23" s="2261">
        <v>24.7</v>
      </c>
      <c r="F23" s="1300">
        <v>24.9</v>
      </c>
      <c r="G23" s="2261" t="s">
        <v>528</v>
      </c>
      <c r="H23" s="1299">
        <v>24</v>
      </c>
      <c r="I23" s="1299">
        <v>15.1</v>
      </c>
      <c r="J23" s="2792">
        <v>12.3</v>
      </c>
      <c r="K23" s="1300" t="s">
        <v>528</v>
      </c>
      <c r="L23" s="1300" t="s">
        <v>528</v>
      </c>
      <c r="M23" s="1300" t="s">
        <v>528</v>
      </c>
      <c r="N23" s="895" t="s">
        <v>528</v>
      </c>
      <c r="O23" s="2793" t="s">
        <v>528</v>
      </c>
      <c r="P23" s="432"/>
      <c r="Q23" s="432"/>
      <c r="R23" s="432"/>
      <c r="S23" s="432"/>
      <c r="T23" s="432"/>
      <c r="U23" s="432"/>
      <c r="V23" s="432"/>
    </row>
    <row r="24" spans="1:22" s="401" customFormat="1" ht="11.25" hidden="1" customHeight="1" x14ac:dyDescent="0.2">
      <c r="A24" s="1292"/>
      <c r="B24" s="1222"/>
      <c r="C24" s="1222"/>
      <c r="D24" s="1008" t="s">
        <v>414</v>
      </c>
      <c r="E24" s="2261">
        <v>11.6</v>
      </c>
      <c r="F24" s="1300">
        <v>14.5</v>
      </c>
      <c r="G24" s="2265" t="s">
        <v>528</v>
      </c>
      <c r="H24" s="2266">
        <v>34.700000000000003</v>
      </c>
      <c r="I24" s="2266">
        <v>12</v>
      </c>
      <c r="J24" s="2794">
        <v>9.6999999999999993</v>
      </c>
      <c r="K24" s="1301" t="s">
        <v>528</v>
      </c>
      <c r="L24" s="1301" t="s">
        <v>528</v>
      </c>
      <c r="M24" s="1301" t="s">
        <v>528</v>
      </c>
      <c r="N24" s="1220" t="s">
        <v>528</v>
      </c>
      <c r="O24" s="2795" t="s">
        <v>528</v>
      </c>
      <c r="P24" s="432"/>
      <c r="Q24" s="432"/>
      <c r="R24" s="432"/>
      <c r="S24" s="432"/>
      <c r="T24" s="432"/>
      <c r="U24" s="432"/>
      <c r="V24" s="432"/>
    </row>
    <row r="25" spans="1:22" s="401" customFormat="1" ht="11.25" hidden="1" customHeight="1" x14ac:dyDescent="0.2">
      <c r="A25" s="1292"/>
      <c r="B25" s="1222"/>
      <c r="C25" s="1222"/>
      <c r="D25" s="1302" t="s">
        <v>0</v>
      </c>
      <c r="E25" s="1303">
        <v>22.9</v>
      </c>
      <c r="F25" s="1304">
        <v>21.6</v>
      </c>
      <c r="G25" s="1303">
        <v>23.8</v>
      </c>
      <c r="H25" s="1305">
        <v>27.4</v>
      </c>
      <c r="I25" s="1305">
        <v>18</v>
      </c>
      <c r="J25" s="2796">
        <v>13.1</v>
      </c>
      <c r="K25" s="1304">
        <v>12.6</v>
      </c>
      <c r="L25" s="1304">
        <v>14.4</v>
      </c>
      <c r="M25" s="1304">
        <v>11.1</v>
      </c>
      <c r="N25" s="1304">
        <v>15.2</v>
      </c>
      <c r="O25" s="2797">
        <v>17.100000000000001</v>
      </c>
      <c r="P25" s="432"/>
      <c r="Q25" s="432"/>
      <c r="R25" s="432"/>
      <c r="S25" s="432"/>
      <c r="T25" s="432"/>
      <c r="U25" s="432"/>
      <c r="V25" s="432"/>
    </row>
    <row r="26" spans="1:22" s="401" customFormat="1" ht="11.25" hidden="1" customHeight="1" x14ac:dyDescent="0.2">
      <c r="A26" s="1292"/>
      <c r="B26" s="1222"/>
      <c r="C26" s="1222"/>
      <c r="D26" s="798"/>
      <c r="E26" s="1295"/>
      <c r="F26" s="1295"/>
      <c r="G26" s="1295"/>
      <c r="H26" s="1295"/>
      <c r="I26" s="1295"/>
      <c r="J26" s="1295"/>
      <c r="K26" s="1295"/>
      <c r="L26" s="1295"/>
      <c r="M26" s="1295"/>
      <c r="N26" s="1295"/>
      <c r="O26" s="1295"/>
      <c r="P26" s="432"/>
      <c r="Q26" s="432"/>
      <c r="R26" s="432"/>
      <c r="S26" s="432"/>
      <c r="T26" s="432"/>
      <c r="U26" s="432"/>
      <c r="V26" s="432"/>
    </row>
    <row r="27" spans="1:22" s="401" customFormat="1" ht="14.25" hidden="1" customHeight="1" x14ac:dyDescent="0.2">
      <c r="A27" s="1292"/>
      <c r="B27" s="1222"/>
      <c r="C27" s="1293"/>
      <c r="D27" s="1668" t="s">
        <v>103</v>
      </c>
      <c r="E27" s="2260" t="s">
        <v>1500</v>
      </c>
      <c r="F27" s="2267"/>
      <c r="G27" s="2267"/>
      <c r="H27" s="1761"/>
      <c r="I27" s="1761"/>
      <c r="J27" s="1761"/>
      <c r="K27" s="1761"/>
      <c r="L27" s="1761"/>
      <c r="M27" s="2268"/>
      <c r="O27" s="895"/>
      <c r="P27" s="432"/>
      <c r="Q27" s="432"/>
      <c r="R27" s="432"/>
      <c r="S27" s="432"/>
      <c r="T27" s="432"/>
      <c r="U27" s="432"/>
      <c r="V27" s="432"/>
    </row>
    <row r="28" spans="1:22" s="401" customFormat="1" ht="14.25" hidden="1" customHeight="1" x14ac:dyDescent="0.2">
      <c r="A28" s="1292"/>
      <c r="B28" s="1222"/>
      <c r="C28" s="1293">
        <v>3</v>
      </c>
      <c r="D28" s="2269">
        <v>2005</v>
      </c>
      <c r="E28" s="770"/>
      <c r="F28" s="1761"/>
      <c r="G28" s="1761"/>
      <c r="H28" s="1761"/>
      <c r="I28" s="633"/>
      <c r="J28" s="1761"/>
      <c r="K28" s="1761"/>
      <c r="L28" s="1761"/>
      <c r="M28" s="2268"/>
      <c r="N28" s="895"/>
      <c r="O28" s="895"/>
      <c r="P28" s="432"/>
      <c r="Q28" s="432"/>
      <c r="R28" s="432"/>
      <c r="S28" s="432"/>
      <c r="T28" s="432"/>
      <c r="U28" s="432"/>
      <c r="V28" s="432"/>
    </row>
    <row r="29" spans="1:22" s="401" customFormat="1" ht="14.25" hidden="1" customHeight="1" x14ac:dyDescent="0.2">
      <c r="A29" s="1292"/>
      <c r="B29" s="1222"/>
      <c r="C29" s="1222"/>
      <c r="D29" s="2231"/>
      <c r="E29" s="2270" t="s">
        <v>1501</v>
      </c>
      <c r="F29" s="2270" t="s">
        <v>1502</v>
      </c>
      <c r="G29" s="2271" t="s">
        <v>1503</v>
      </c>
      <c r="H29" s="2270" t="s">
        <v>1504</v>
      </c>
      <c r="I29" s="2270" t="s">
        <v>1505</v>
      </c>
      <c r="J29" s="2271" t="s">
        <v>1506</v>
      </c>
      <c r="K29" s="2270" t="s">
        <v>1507</v>
      </c>
      <c r="L29" s="2270" t="s">
        <v>1508</v>
      </c>
      <c r="M29" s="2271" t="s">
        <v>1509</v>
      </c>
      <c r="N29" s="895"/>
      <c r="O29" s="895"/>
      <c r="P29" s="432"/>
      <c r="Q29" s="432"/>
      <c r="R29" s="432"/>
      <c r="S29" s="432"/>
      <c r="T29" s="432"/>
      <c r="U29" s="432"/>
      <c r="V29" s="432"/>
    </row>
    <row r="30" spans="1:22" s="401" customFormat="1" ht="11.25" hidden="1" customHeight="1" x14ac:dyDescent="0.2">
      <c r="A30" s="1292"/>
      <c r="B30" s="1222"/>
      <c r="C30" s="1222"/>
      <c r="D30" s="1008" t="s">
        <v>415</v>
      </c>
      <c r="E30" s="1300">
        <v>8.82</v>
      </c>
      <c r="F30" s="1300">
        <v>22.35</v>
      </c>
      <c r="G30" s="1306">
        <v>52.35</v>
      </c>
      <c r="H30" s="1300">
        <v>0</v>
      </c>
      <c r="I30" s="1300">
        <v>10</v>
      </c>
      <c r="J30" s="1306">
        <v>29.41</v>
      </c>
      <c r="K30" s="1300">
        <v>1.76</v>
      </c>
      <c r="L30" s="1300">
        <v>6.47</v>
      </c>
      <c r="M30" s="1306">
        <v>15.88</v>
      </c>
      <c r="N30" s="895"/>
      <c r="O30" s="895"/>
      <c r="P30" s="432"/>
      <c r="Q30" s="432"/>
      <c r="R30" s="432"/>
      <c r="S30" s="432"/>
      <c r="T30" s="432"/>
      <c r="U30" s="432"/>
      <c r="V30" s="432"/>
    </row>
    <row r="31" spans="1:22" s="401" customFormat="1" ht="11.25" hidden="1" customHeight="1" x14ac:dyDescent="0.2">
      <c r="A31" s="1292"/>
      <c r="B31" s="1222"/>
      <c r="C31" s="1222"/>
      <c r="D31" s="1008" t="s">
        <v>417</v>
      </c>
      <c r="E31" s="1300">
        <v>8.42</v>
      </c>
      <c r="F31" s="1300">
        <v>34.74</v>
      </c>
      <c r="G31" s="1306">
        <v>66.319999999999993</v>
      </c>
      <c r="H31" s="1300">
        <v>1.05</v>
      </c>
      <c r="I31" s="1300">
        <v>16.84</v>
      </c>
      <c r="J31" s="1306">
        <v>49.47</v>
      </c>
      <c r="K31" s="1300">
        <v>0</v>
      </c>
      <c r="L31" s="1300">
        <v>3.16</v>
      </c>
      <c r="M31" s="1306">
        <v>18.95</v>
      </c>
      <c r="N31" s="895"/>
      <c r="O31" s="895"/>
      <c r="P31" s="432"/>
      <c r="Q31" s="432"/>
      <c r="R31" s="432"/>
      <c r="S31" s="432"/>
      <c r="T31" s="432"/>
      <c r="U31" s="432"/>
      <c r="V31" s="432"/>
    </row>
    <row r="32" spans="1:22" s="401" customFormat="1" ht="11.25" hidden="1" customHeight="1" x14ac:dyDescent="0.2">
      <c r="A32" s="1292"/>
      <c r="B32" s="1222"/>
      <c r="C32" s="1222"/>
      <c r="D32" s="1008" t="s">
        <v>420</v>
      </c>
      <c r="E32" s="1300">
        <v>7.17</v>
      </c>
      <c r="F32" s="1300">
        <v>21.5</v>
      </c>
      <c r="G32" s="1306">
        <v>47.1</v>
      </c>
      <c r="H32" s="1300">
        <v>0.68</v>
      </c>
      <c r="I32" s="1300">
        <v>8.19</v>
      </c>
      <c r="J32" s="1306">
        <v>36.520000000000003</v>
      </c>
      <c r="K32" s="1300">
        <v>1.02</v>
      </c>
      <c r="L32" s="1300">
        <v>4.4400000000000004</v>
      </c>
      <c r="M32" s="1306">
        <v>19.8</v>
      </c>
      <c r="N32" s="895"/>
      <c r="O32" s="895"/>
      <c r="P32" s="432"/>
      <c r="Q32" s="432"/>
      <c r="R32" s="432"/>
      <c r="S32" s="432"/>
      <c r="T32" s="432"/>
      <c r="U32" s="432"/>
      <c r="V32" s="432"/>
    </row>
    <row r="33" spans="1:22" s="401" customFormat="1" ht="11.25" hidden="1" customHeight="1" x14ac:dyDescent="0.2">
      <c r="A33" s="1292"/>
      <c r="B33" s="1222"/>
      <c r="C33" s="1222"/>
      <c r="D33" s="1008" t="s">
        <v>418</v>
      </c>
      <c r="E33" s="1300">
        <v>3.29</v>
      </c>
      <c r="F33" s="1300">
        <v>17.28</v>
      </c>
      <c r="G33" s="1306">
        <v>53.91</v>
      </c>
      <c r="H33" s="1300">
        <v>0.82</v>
      </c>
      <c r="I33" s="1300">
        <v>4.12</v>
      </c>
      <c r="J33" s="1306">
        <v>29.22</v>
      </c>
      <c r="K33" s="1300">
        <v>0</v>
      </c>
      <c r="L33" s="1300">
        <v>1.65</v>
      </c>
      <c r="M33" s="1306">
        <v>4.9400000000000004</v>
      </c>
      <c r="N33" s="895"/>
      <c r="O33" s="895"/>
      <c r="P33" s="432"/>
      <c r="Q33" s="432"/>
      <c r="R33" s="432"/>
      <c r="S33" s="432"/>
      <c r="T33" s="432"/>
      <c r="U33" s="432"/>
      <c r="V33" s="432"/>
    </row>
    <row r="34" spans="1:22" s="401" customFormat="1" ht="11.25" hidden="1" customHeight="1" x14ac:dyDescent="0.2">
      <c r="A34" s="1292"/>
      <c r="B34" s="1222"/>
      <c r="C34" s="1222"/>
      <c r="D34" s="1008" t="s">
        <v>422</v>
      </c>
      <c r="E34" s="1300">
        <v>9.14</v>
      </c>
      <c r="F34" s="1300">
        <v>28.49</v>
      </c>
      <c r="G34" s="1306">
        <v>59.14</v>
      </c>
      <c r="H34" s="1300">
        <v>2.15</v>
      </c>
      <c r="I34" s="1300">
        <v>12.9</v>
      </c>
      <c r="J34" s="1306">
        <v>44.62</v>
      </c>
      <c r="K34" s="1300">
        <v>0.54</v>
      </c>
      <c r="L34" s="1300">
        <v>4.3</v>
      </c>
      <c r="M34" s="1306">
        <v>20.43</v>
      </c>
      <c r="N34" s="895"/>
      <c r="O34" s="895"/>
      <c r="P34" s="432"/>
      <c r="Q34" s="432"/>
      <c r="R34" s="432"/>
      <c r="S34" s="432"/>
      <c r="T34" s="432"/>
      <c r="U34" s="432"/>
      <c r="V34" s="432"/>
    </row>
    <row r="35" spans="1:22" s="401" customFormat="1" ht="11.25" hidden="1" customHeight="1" x14ac:dyDescent="0.2">
      <c r="A35" s="1292"/>
      <c r="B35" s="1222"/>
      <c r="C35" s="1222"/>
      <c r="D35" s="1008" t="s">
        <v>421</v>
      </c>
      <c r="E35" s="1300">
        <v>5.15</v>
      </c>
      <c r="F35" s="1300">
        <v>14.43</v>
      </c>
      <c r="G35" s="1306">
        <v>39.18</v>
      </c>
      <c r="H35" s="1300">
        <v>1.03</v>
      </c>
      <c r="I35" s="1300">
        <v>8.25</v>
      </c>
      <c r="J35" s="1306">
        <v>42.27</v>
      </c>
      <c r="K35" s="1300">
        <v>3.09</v>
      </c>
      <c r="L35" s="1300">
        <v>10.31</v>
      </c>
      <c r="M35" s="1306">
        <v>20.62</v>
      </c>
      <c r="N35" s="895"/>
      <c r="O35" s="895"/>
      <c r="P35" s="432"/>
      <c r="Q35" s="432"/>
      <c r="R35" s="432"/>
      <c r="S35" s="432"/>
      <c r="T35" s="432"/>
      <c r="U35" s="432"/>
      <c r="V35" s="432"/>
    </row>
    <row r="36" spans="1:22" s="401" customFormat="1" ht="11.25" hidden="1" customHeight="1" x14ac:dyDescent="0.2">
      <c r="A36" s="1292"/>
      <c r="B36" s="1222"/>
      <c r="C36" s="1222"/>
      <c r="D36" s="1008" t="s">
        <v>419</v>
      </c>
      <c r="E36" s="1300">
        <v>5.69</v>
      </c>
      <c r="F36" s="1300">
        <v>20.329999999999998</v>
      </c>
      <c r="G36" s="1306">
        <v>43.9</v>
      </c>
      <c r="H36" s="1300">
        <v>2.44</v>
      </c>
      <c r="I36" s="1300">
        <v>13.01</v>
      </c>
      <c r="J36" s="1306">
        <v>44.72</v>
      </c>
      <c r="K36" s="1300">
        <v>0</v>
      </c>
      <c r="L36" s="1300">
        <v>4.07</v>
      </c>
      <c r="M36" s="1306">
        <v>23.58</v>
      </c>
      <c r="N36" s="895"/>
      <c r="O36" s="895"/>
      <c r="P36" s="432"/>
      <c r="Q36" s="432"/>
      <c r="R36" s="432"/>
      <c r="S36" s="432"/>
      <c r="T36" s="432"/>
      <c r="U36" s="432"/>
      <c r="V36" s="432"/>
    </row>
    <row r="37" spans="1:22" s="401" customFormat="1" ht="11.25" hidden="1" customHeight="1" x14ac:dyDescent="0.2">
      <c r="A37" s="1292"/>
      <c r="B37" s="1222"/>
      <c r="C37" s="1222"/>
      <c r="D37" s="1008" t="s">
        <v>416</v>
      </c>
      <c r="E37" s="1300">
        <v>6.45</v>
      </c>
      <c r="F37" s="1300">
        <v>29.03</v>
      </c>
      <c r="G37" s="1306">
        <v>70.97</v>
      </c>
      <c r="H37" s="1300">
        <v>3.23</v>
      </c>
      <c r="I37" s="1300">
        <v>45.16</v>
      </c>
      <c r="J37" s="1306">
        <v>80.650000000000006</v>
      </c>
      <c r="K37" s="1300">
        <v>0</v>
      </c>
      <c r="L37" s="1300">
        <v>19.350000000000001</v>
      </c>
      <c r="M37" s="1306">
        <v>54.84</v>
      </c>
      <c r="N37" s="895"/>
      <c r="O37" s="895"/>
      <c r="P37" s="432"/>
      <c r="Q37" s="432"/>
      <c r="R37" s="432"/>
      <c r="S37" s="432"/>
      <c r="T37" s="432"/>
      <c r="U37" s="432"/>
      <c r="V37" s="432"/>
    </row>
    <row r="38" spans="1:22" s="401" customFormat="1" ht="11.25" hidden="1" customHeight="1" x14ac:dyDescent="0.2">
      <c r="A38" s="1292"/>
      <c r="B38" s="1222"/>
      <c r="C38" s="1222"/>
      <c r="D38" s="1008" t="s">
        <v>414</v>
      </c>
      <c r="E38" s="1300">
        <v>0</v>
      </c>
      <c r="F38" s="1300">
        <v>10.37</v>
      </c>
      <c r="G38" s="1306">
        <v>27.41</v>
      </c>
      <c r="H38" s="1300">
        <v>0</v>
      </c>
      <c r="I38" s="1300">
        <v>8.15</v>
      </c>
      <c r="J38" s="1306">
        <v>44.44</v>
      </c>
      <c r="K38" s="1300">
        <v>5.19</v>
      </c>
      <c r="L38" s="1300">
        <v>11.85</v>
      </c>
      <c r="M38" s="1306">
        <v>35.56</v>
      </c>
      <c r="N38" s="895"/>
      <c r="O38" s="895"/>
      <c r="P38" s="432"/>
      <c r="Q38" s="432"/>
      <c r="R38" s="432"/>
      <c r="S38" s="432"/>
      <c r="T38" s="432"/>
      <c r="U38" s="432"/>
      <c r="V38" s="432"/>
    </row>
    <row r="39" spans="1:22" s="401" customFormat="1" ht="11.25" hidden="1" customHeight="1" x14ac:dyDescent="0.2">
      <c r="A39" s="1292"/>
      <c r="B39" s="1222"/>
      <c r="C39" s="1222"/>
      <c r="D39" s="1302" t="s">
        <v>0</v>
      </c>
      <c r="E39" s="1304">
        <v>6.25</v>
      </c>
      <c r="F39" s="1307">
        <v>21.19</v>
      </c>
      <c r="G39" s="1308">
        <v>49.67</v>
      </c>
      <c r="H39" s="1307">
        <v>1.02</v>
      </c>
      <c r="I39" s="1307">
        <v>10.199999999999999</v>
      </c>
      <c r="J39" s="1308">
        <v>39.26</v>
      </c>
      <c r="K39" s="1307">
        <v>1.24</v>
      </c>
      <c r="L39" s="1307">
        <v>5.54</v>
      </c>
      <c r="M39" s="1308">
        <v>19.45</v>
      </c>
      <c r="N39" s="895"/>
      <c r="O39" s="895"/>
      <c r="P39" s="432"/>
      <c r="Q39" s="432"/>
      <c r="R39" s="432"/>
      <c r="S39" s="432"/>
      <c r="T39" s="432"/>
      <c r="U39" s="432"/>
      <c r="V39" s="432"/>
    </row>
    <row r="40" spans="1:22" s="401" customFormat="1" ht="11.25" hidden="1" customHeight="1" x14ac:dyDescent="0.2">
      <c r="A40" s="1292"/>
      <c r="B40" s="1222"/>
      <c r="C40" s="1222"/>
      <c r="D40" s="798"/>
      <c r="E40" s="1295"/>
      <c r="F40" s="1061"/>
      <c r="G40" s="1061"/>
      <c r="H40" s="1061"/>
      <c r="I40" s="1061"/>
      <c r="J40" s="1061"/>
      <c r="K40" s="1061"/>
      <c r="L40" s="1061"/>
      <c r="M40" s="1061"/>
      <c r="N40" s="895"/>
      <c r="O40" s="895"/>
      <c r="P40" s="432"/>
      <c r="Q40" s="432"/>
      <c r="R40" s="432"/>
      <c r="S40" s="432"/>
      <c r="T40" s="432"/>
      <c r="U40" s="432"/>
      <c r="V40" s="432"/>
    </row>
    <row r="41" spans="1:22" s="401" customFormat="1" ht="14.25" hidden="1" customHeight="1" x14ac:dyDescent="0.2">
      <c r="A41" s="1292"/>
      <c r="B41" s="1222"/>
      <c r="C41" s="1293">
        <v>4</v>
      </c>
      <c r="D41" s="2269">
        <v>1999</v>
      </c>
      <c r="E41" s="770"/>
      <c r="F41" s="1761"/>
      <c r="G41" s="1761"/>
      <c r="H41" s="1761"/>
      <c r="I41" s="633"/>
      <c r="J41" s="1761"/>
      <c r="K41" s="1761"/>
      <c r="L41" s="1761"/>
      <c r="M41" s="2268"/>
      <c r="O41" s="895"/>
      <c r="P41" s="432"/>
      <c r="Q41" s="432"/>
      <c r="R41" s="432"/>
      <c r="S41" s="432"/>
      <c r="T41" s="432"/>
      <c r="U41" s="432"/>
      <c r="V41" s="432"/>
    </row>
    <row r="42" spans="1:22" s="401" customFormat="1" ht="14.25" hidden="1" customHeight="1" x14ac:dyDescent="0.2">
      <c r="A42" s="1292"/>
      <c r="B42" s="1222"/>
      <c r="C42" s="1293"/>
      <c r="D42" s="2231"/>
      <c r="E42" s="2270" t="s">
        <v>1501</v>
      </c>
      <c r="F42" s="2270" t="s">
        <v>1502</v>
      </c>
      <c r="G42" s="2271" t="s">
        <v>1503</v>
      </c>
      <c r="H42" s="2270" t="s">
        <v>1504</v>
      </c>
      <c r="I42" s="2270" t="s">
        <v>1505</v>
      </c>
      <c r="J42" s="2271" t="s">
        <v>1506</v>
      </c>
      <c r="K42" s="2270" t="s">
        <v>1507</v>
      </c>
      <c r="L42" s="2270" t="s">
        <v>1508</v>
      </c>
      <c r="M42" s="2270" t="s">
        <v>1509</v>
      </c>
      <c r="O42" s="895"/>
      <c r="P42" s="432"/>
      <c r="Q42" s="432"/>
      <c r="R42" s="432"/>
      <c r="S42" s="432"/>
      <c r="T42" s="432"/>
      <c r="U42" s="432"/>
      <c r="V42" s="432"/>
    </row>
    <row r="43" spans="1:22" s="401" customFormat="1" ht="11.25" hidden="1" customHeight="1" x14ac:dyDescent="0.2">
      <c r="A43" s="1292"/>
      <c r="B43" s="1222"/>
      <c r="C43" s="1293"/>
      <c r="D43" s="1008" t="s">
        <v>415</v>
      </c>
      <c r="E43" s="1300">
        <v>7.03</v>
      </c>
      <c r="F43" s="1300">
        <v>21.88</v>
      </c>
      <c r="G43" s="1306">
        <v>48.44</v>
      </c>
      <c r="H43" s="1300">
        <v>1.56</v>
      </c>
      <c r="I43" s="1300">
        <v>7.03</v>
      </c>
      <c r="J43" s="1306">
        <v>29.3</v>
      </c>
      <c r="K43" s="1300">
        <v>0.39</v>
      </c>
      <c r="L43" s="1300">
        <v>2.73</v>
      </c>
      <c r="M43" s="1306">
        <v>9.77</v>
      </c>
      <c r="O43" s="895"/>
      <c r="P43" s="432"/>
      <c r="Q43" s="432"/>
      <c r="R43" s="432"/>
      <c r="S43" s="432"/>
      <c r="T43" s="432"/>
      <c r="U43" s="432"/>
      <c r="V43" s="432"/>
    </row>
    <row r="44" spans="1:22" s="401" customFormat="1" ht="11.25" hidden="1" customHeight="1" x14ac:dyDescent="0.2">
      <c r="A44" s="1292"/>
      <c r="B44" s="1222"/>
      <c r="C44" s="1293"/>
      <c r="D44" s="1008" t="s">
        <v>417</v>
      </c>
      <c r="E44" s="1300">
        <v>13.51</v>
      </c>
      <c r="F44" s="1300">
        <v>35.81</v>
      </c>
      <c r="G44" s="1306">
        <v>66.22</v>
      </c>
      <c r="H44" s="1300">
        <v>1.35</v>
      </c>
      <c r="I44" s="1300">
        <v>16.89</v>
      </c>
      <c r="J44" s="1306">
        <v>53.38</v>
      </c>
      <c r="K44" s="1300">
        <v>2.0299999999999998</v>
      </c>
      <c r="L44" s="1300">
        <v>2.7</v>
      </c>
      <c r="M44" s="1306">
        <v>17.57</v>
      </c>
      <c r="O44" s="895"/>
      <c r="P44" s="432"/>
      <c r="Q44" s="432"/>
      <c r="R44" s="432"/>
      <c r="S44" s="432"/>
      <c r="T44" s="432"/>
      <c r="U44" s="432"/>
      <c r="V44" s="432"/>
    </row>
    <row r="45" spans="1:22" s="401" customFormat="1" ht="11.25" hidden="1" customHeight="1" x14ac:dyDescent="0.2">
      <c r="A45" s="1292"/>
      <c r="B45" s="1222"/>
      <c r="C45" s="1293"/>
      <c r="D45" s="1008" t="s">
        <v>420</v>
      </c>
      <c r="E45" s="1300">
        <v>6.92</v>
      </c>
      <c r="F45" s="1300">
        <v>23.58</v>
      </c>
      <c r="G45" s="1306">
        <v>50.31</v>
      </c>
      <c r="H45" s="1300">
        <v>0.63</v>
      </c>
      <c r="I45" s="1300">
        <v>10.06</v>
      </c>
      <c r="J45" s="1306">
        <v>33.65</v>
      </c>
      <c r="K45" s="1300">
        <v>0</v>
      </c>
      <c r="L45" s="1300">
        <v>1.26</v>
      </c>
      <c r="M45" s="1306">
        <v>14.78</v>
      </c>
      <c r="O45" s="895"/>
      <c r="P45" s="432"/>
      <c r="Q45" s="432"/>
      <c r="R45" s="432"/>
      <c r="S45" s="432"/>
      <c r="T45" s="432"/>
      <c r="U45" s="432"/>
      <c r="V45" s="432"/>
    </row>
    <row r="46" spans="1:22" s="401" customFormat="1" ht="11.25" hidden="1" customHeight="1" x14ac:dyDescent="0.2">
      <c r="A46" s="1292"/>
      <c r="B46" s="1222"/>
      <c r="C46" s="1293"/>
      <c r="D46" s="1008" t="s">
        <v>418</v>
      </c>
      <c r="E46" s="1300">
        <v>6.21</v>
      </c>
      <c r="F46" s="1300">
        <v>23.6</v>
      </c>
      <c r="G46" s="1306">
        <v>52.8</v>
      </c>
      <c r="H46" s="1300">
        <v>0.93</v>
      </c>
      <c r="I46" s="1300">
        <v>7.45</v>
      </c>
      <c r="J46" s="1306">
        <v>31.99</v>
      </c>
      <c r="K46" s="1300">
        <v>0.62</v>
      </c>
      <c r="L46" s="1300">
        <v>2.48</v>
      </c>
      <c r="M46" s="1306">
        <v>12.42</v>
      </c>
      <c r="O46" s="895"/>
      <c r="P46" s="432"/>
      <c r="Q46" s="432"/>
      <c r="R46" s="432"/>
      <c r="S46" s="432"/>
      <c r="T46" s="432"/>
      <c r="U46" s="432"/>
      <c r="V46" s="432"/>
    </row>
    <row r="47" spans="1:22" s="401" customFormat="1" ht="11.25" hidden="1" customHeight="1" x14ac:dyDescent="0.2">
      <c r="A47" s="1292"/>
      <c r="B47" s="1222"/>
      <c r="C47" s="1293"/>
      <c r="D47" s="1008" t="s">
        <v>422</v>
      </c>
      <c r="E47" s="1300">
        <v>6.47</v>
      </c>
      <c r="F47" s="1300">
        <v>24.14</v>
      </c>
      <c r="G47" s="1306">
        <v>55.17</v>
      </c>
      <c r="H47" s="1300">
        <v>1.72</v>
      </c>
      <c r="I47" s="1300">
        <v>15.09</v>
      </c>
      <c r="J47" s="1306">
        <v>50</v>
      </c>
      <c r="K47" s="1300">
        <v>1.72</v>
      </c>
      <c r="L47" s="1300">
        <v>8.6199999999999992</v>
      </c>
      <c r="M47" s="1306">
        <v>30.6</v>
      </c>
      <c r="O47" s="895"/>
      <c r="P47" s="432"/>
      <c r="Q47" s="432"/>
      <c r="R47" s="432"/>
      <c r="S47" s="432"/>
      <c r="T47" s="432"/>
      <c r="U47" s="432"/>
      <c r="V47" s="432"/>
    </row>
    <row r="48" spans="1:22" s="401" customFormat="1" ht="11.25" hidden="1" customHeight="1" x14ac:dyDescent="0.2">
      <c r="A48" s="1292"/>
      <c r="B48" s="1222"/>
      <c r="C48" s="1293"/>
      <c r="D48" s="1008" t="s">
        <v>421</v>
      </c>
      <c r="E48" s="1300">
        <v>8.74</v>
      </c>
      <c r="F48" s="1300">
        <v>25.24</v>
      </c>
      <c r="G48" s="1306">
        <v>58.25</v>
      </c>
      <c r="H48" s="1300">
        <v>2.91</v>
      </c>
      <c r="I48" s="1300">
        <v>5.83</v>
      </c>
      <c r="J48" s="1306">
        <v>29.13</v>
      </c>
      <c r="K48" s="1300">
        <v>0</v>
      </c>
      <c r="L48" s="1300">
        <v>0.97</v>
      </c>
      <c r="M48" s="1306">
        <v>10.68</v>
      </c>
      <c r="O48" s="895"/>
      <c r="P48" s="432"/>
      <c r="Q48" s="432"/>
      <c r="R48" s="432"/>
      <c r="S48" s="432"/>
      <c r="T48" s="432"/>
      <c r="U48" s="432"/>
      <c r="V48" s="432"/>
    </row>
    <row r="49" spans="1:22" s="401" customFormat="1" ht="11.25" hidden="1" customHeight="1" x14ac:dyDescent="0.2">
      <c r="A49" s="1292"/>
      <c r="B49" s="1222"/>
      <c r="C49" s="1293"/>
      <c r="D49" s="1008" t="s">
        <v>419</v>
      </c>
      <c r="E49" s="1300">
        <v>6.94</v>
      </c>
      <c r="F49" s="1300">
        <v>26.01</v>
      </c>
      <c r="G49" s="1306">
        <v>57.8</v>
      </c>
      <c r="H49" s="1300">
        <v>2.31</v>
      </c>
      <c r="I49" s="1300">
        <v>16.760000000000002</v>
      </c>
      <c r="J49" s="1306">
        <v>56.07</v>
      </c>
      <c r="K49" s="1300">
        <v>1.1599999999999999</v>
      </c>
      <c r="L49" s="1300">
        <v>6.36</v>
      </c>
      <c r="M49" s="1306">
        <v>27.17</v>
      </c>
      <c r="O49" s="895"/>
      <c r="P49" s="432"/>
      <c r="Q49" s="432"/>
      <c r="R49" s="432"/>
      <c r="S49" s="432"/>
      <c r="T49" s="432"/>
      <c r="U49" s="432"/>
      <c r="V49" s="432"/>
    </row>
    <row r="50" spans="1:22" s="401" customFormat="1" ht="11.25" hidden="1" customHeight="1" x14ac:dyDescent="0.2">
      <c r="A50" s="1292"/>
      <c r="B50" s="1222"/>
      <c r="C50" s="1293"/>
      <c r="D50" s="1008" t="s">
        <v>416</v>
      </c>
      <c r="E50" s="1300">
        <v>13.08</v>
      </c>
      <c r="F50" s="1300">
        <v>30.84</v>
      </c>
      <c r="G50" s="1306">
        <v>55.14</v>
      </c>
      <c r="H50" s="1300">
        <v>8.41</v>
      </c>
      <c r="I50" s="1300">
        <v>25.23</v>
      </c>
      <c r="J50" s="1306">
        <v>57.01</v>
      </c>
      <c r="K50" s="1300">
        <v>2.8</v>
      </c>
      <c r="L50" s="1300">
        <v>9.35</v>
      </c>
      <c r="M50" s="1306">
        <v>37.380000000000003</v>
      </c>
      <c r="O50" s="895"/>
      <c r="P50" s="432"/>
      <c r="Q50" s="432"/>
      <c r="R50" s="432"/>
      <c r="S50" s="432"/>
      <c r="T50" s="432"/>
      <c r="U50" s="432"/>
      <c r="V50" s="432"/>
    </row>
    <row r="51" spans="1:22" s="401" customFormat="1" ht="11.25" hidden="1" customHeight="1" x14ac:dyDescent="0.2">
      <c r="A51" s="1292"/>
      <c r="B51" s="1222"/>
      <c r="C51" s="1293"/>
      <c r="D51" s="1008" t="s">
        <v>414</v>
      </c>
      <c r="E51" s="1300">
        <v>2.69</v>
      </c>
      <c r="F51" s="1300">
        <v>14.35</v>
      </c>
      <c r="G51" s="1306">
        <v>34.979999999999997</v>
      </c>
      <c r="H51" s="1300">
        <v>0.9</v>
      </c>
      <c r="I51" s="1300">
        <v>8.07</v>
      </c>
      <c r="J51" s="1306">
        <v>33.630000000000003</v>
      </c>
      <c r="K51" s="1300">
        <v>0</v>
      </c>
      <c r="L51" s="1300">
        <v>0.9</v>
      </c>
      <c r="M51" s="1306">
        <v>17.940000000000001</v>
      </c>
      <c r="O51" s="895"/>
      <c r="P51" s="432"/>
      <c r="Q51" s="432"/>
      <c r="R51" s="432"/>
      <c r="S51" s="432"/>
      <c r="T51" s="432"/>
      <c r="U51" s="432"/>
      <c r="V51" s="432"/>
    </row>
    <row r="52" spans="1:22" s="401" customFormat="1" ht="11.25" hidden="1" customHeight="1" x14ac:dyDescent="0.2">
      <c r="A52" s="1292"/>
      <c r="B52" s="1222"/>
      <c r="C52" s="1293"/>
      <c r="D52" s="1302" t="s">
        <v>0</v>
      </c>
      <c r="E52" s="1309">
        <v>7.23</v>
      </c>
      <c r="F52" s="1309">
        <v>24.02</v>
      </c>
      <c r="G52" s="1310">
        <v>51.91</v>
      </c>
      <c r="H52" s="1309">
        <v>1.75</v>
      </c>
      <c r="I52" s="1309">
        <v>11.37</v>
      </c>
      <c r="J52" s="1310">
        <v>39.479999999999997</v>
      </c>
      <c r="K52" s="1309">
        <v>0.8</v>
      </c>
      <c r="L52" s="1309">
        <v>3.56</v>
      </c>
      <c r="M52" s="1310">
        <v>18.440000000000001</v>
      </c>
      <c r="N52" s="895"/>
      <c r="O52" s="895"/>
      <c r="P52" s="432"/>
      <c r="Q52" s="432"/>
      <c r="R52" s="432"/>
      <c r="S52" s="432"/>
      <c r="T52" s="432"/>
      <c r="U52" s="432"/>
      <c r="V52" s="432"/>
    </row>
    <row r="53" spans="1:22" s="401" customFormat="1" ht="11.25" hidden="1" customHeight="1" x14ac:dyDescent="0.2">
      <c r="A53" s="1292"/>
      <c r="B53" s="1222"/>
      <c r="C53" s="1293"/>
      <c r="D53" s="798"/>
      <c r="E53" s="1311"/>
      <c r="F53" s="1311"/>
      <c r="G53" s="1311"/>
      <c r="H53" s="895"/>
      <c r="I53" s="895"/>
      <c r="J53" s="895"/>
      <c r="K53" s="895"/>
      <c r="L53" s="895"/>
      <c r="M53" s="895"/>
      <c r="N53" s="895"/>
      <c r="O53" s="895"/>
      <c r="P53" s="432"/>
      <c r="Q53" s="432"/>
      <c r="R53" s="432"/>
      <c r="S53" s="432"/>
      <c r="T53" s="432"/>
      <c r="U53" s="432"/>
      <c r="V53" s="432"/>
    </row>
    <row r="54" spans="1:22" s="401" customFormat="1" ht="14.25" hidden="1" customHeight="1" x14ac:dyDescent="0.2">
      <c r="A54" s="1292"/>
      <c r="B54" s="1222"/>
      <c r="C54" s="1293">
        <v>5</v>
      </c>
      <c r="D54" s="2269">
        <v>1994</v>
      </c>
      <c r="E54" s="770"/>
      <c r="F54" s="1761"/>
      <c r="G54" s="1761"/>
      <c r="H54" s="1761"/>
      <c r="I54" s="633"/>
      <c r="J54" s="1761"/>
      <c r="K54" s="1761"/>
      <c r="L54" s="1761"/>
      <c r="M54" s="2268"/>
      <c r="O54" s="895"/>
      <c r="P54" s="432"/>
      <c r="Q54" s="432"/>
      <c r="R54" s="432"/>
      <c r="S54" s="432"/>
      <c r="T54" s="432"/>
      <c r="U54" s="432"/>
      <c r="V54" s="432"/>
    </row>
    <row r="55" spans="1:22" s="401" customFormat="1" ht="14.25" hidden="1" customHeight="1" x14ac:dyDescent="0.2">
      <c r="A55" s="1292"/>
      <c r="B55" s="1222"/>
      <c r="C55" s="1293"/>
      <c r="D55" s="2231"/>
      <c r="E55" s="2270" t="s">
        <v>1501</v>
      </c>
      <c r="F55" s="2270" t="s">
        <v>1502</v>
      </c>
      <c r="G55" s="2271" t="s">
        <v>1503</v>
      </c>
      <c r="H55" s="2270" t="s">
        <v>1504</v>
      </c>
      <c r="I55" s="2270" t="s">
        <v>1505</v>
      </c>
      <c r="J55" s="2271" t="s">
        <v>1506</v>
      </c>
      <c r="K55" s="2270" t="s">
        <v>1507</v>
      </c>
      <c r="L55" s="2270" t="s">
        <v>1508</v>
      </c>
      <c r="M55" s="2271" t="s">
        <v>1509</v>
      </c>
      <c r="O55" s="895"/>
      <c r="P55" s="432"/>
      <c r="Q55" s="432"/>
      <c r="R55" s="432"/>
      <c r="S55" s="432"/>
      <c r="T55" s="432"/>
      <c r="U55" s="432"/>
      <c r="V55" s="432"/>
    </row>
    <row r="56" spans="1:22" s="401" customFormat="1" ht="11.25" hidden="1" customHeight="1" x14ac:dyDescent="0.2">
      <c r="A56" s="1292"/>
      <c r="B56" s="1222"/>
      <c r="C56" s="1293"/>
      <c r="D56" s="1008" t="s">
        <v>415</v>
      </c>
      <c r="E56" s="1312">
        <v>8.4</v>
      </c>
      <c r="F56" s="1312">
        <v>28.8</v>
      </c>
      <c r="G56" s="1313" t="s">
        <v>1510</v>
      </c>
      <c r="H56" s="1312">
        <v>2.2000000000000002</v>
      </c>
      <c r="I56" s="1312">
        <v>11.4</v>
      </c>
      <c r="J56" s="1313" t="s">
        <v>1510</v>
      </c>
      <c r="K56" s="1312">
        <v>0.6</v>
      </c>
      <c r="L56" s="1312">
        <v>3.2</v>
      </c>
      <c r="M56" s="1313" t="s">
        <v>1510</v>
      </c>
      <c r="O56" s="895"/>
      <c r="P56" s="432"/>
      <c r="Q56" s="432"/>
      <c r="R56" s="432"/>
      <c r="S56" s="432"/>
      <c r="T56" s="432"/>
      <c r="U56" s="432"/>
      <c r="V56" s="432"/>
    </row>
    <row r="57" spans="1:22" s="401" customFormat="1" ht="11.25" hidden="1" customHeight="1" x14ac:dyDescent="0.2">
      <c r="A57" s="1292"/>
      <c r="B57" s="1222"/>
      <c r="C57" s="1293"/>
      <c r="D57" s="1008" t="s">
        <v>417</v>
      </c>
      <c r="E57" s="1311">
        <v>8.6</v>
      </c>
      <c r="F57" s="1311">
        <v>28.7</v>
      </c>
      <c r="G57" s="1314" t="s">
        <v>1510</v>
      </c>
      <c r="H57" s="1311">
        <v>2.4</v>
      </c>
      <c r="I57" s="1311">
        <v>13.6</v>
      </c>
      <c r="J57" s="1314" t="s">
        <v>1510</v>
      </c>
      <c r="K57" s="1311">
        <v>0.8</v>
      </c>
      <c r="L57" s="1311">
        <v>4.5</v>
      </c>
      <c r="M57" s="1314" t="s">
        <v>1510</v>
      </c>
      <c r="O57" s="895"/>
      <c r="P57" s="432"/>
      <c r="Q57" s="432"/>
      <c r="R57" s="432"/>
      <c r="S57" s="432"/>
      <c r="T57" s="432"/>
      <c r="U57" s="432"/>
      <c r="V57" s="432"/>
    </row>
    <row r="58" spans="1:22" s="401" customFormat="1" ht="11.25" hidden="1" customHeight="1" x14ac:dyDescent="0.2">
      <c r="A58" s="1292"/>
      <c r="B58" s="1222"/>
      <c r="C58" s="1293"/>
      <c r="D58" s="1008" t="s">
        <v>420</v>
      </c>
      <c r="E58" s="1311">
        <v>2.2000000000000002</v>
      </c>
      <c r="F58" s="1311">
        <v>11.5</v>
      </c>
      <c r="G58" s="1314" t="s">
        <v>1510</v>
      </c>
      <c r="H58" s="1311">
        <v>0.6</v>
      </c>
      <c r="I58" s="1311">
        <v>5.6</v>
      </c>
      <c r="J58" s="1314" t="s">
        <v>1510</v>
      </c>
      <c r="K58" s="1311">
        <v>0</v>
      </c>
      <c r="L58" s="1311">
        <v>1.2</v>
      </c>
      <c r="M58" s="1314" t="s">
        <v>1510</v>
      </c>
      <c r="O58" s="895"/>
      <c r="P58" s="432"/>
      <c r="Q58" s="432"/>
      <c r="R58" s="432"/>
      <c r="S58" s="432"/>
      <c r="T58" s="432"/>
      <c r="U58" s="432"/>
      <c r="V58" s="432"/>
    </row>
    <row r="59" spans="1:22" s="401" customFormat="1" ht="11.25" hidden="1" customHeight="1" x14ac:dyDescent="0.2">
      <c r="A59" s="1292"/>
      <c r="B59" s="1222"/>
      <c r="C59" s="1293"/>
      <c r="D59" s="1008" t="s">
        <v>418</v>
      </c>
      <c r="E59" s="1311">
        <v>3.5</v>
      </c>
      <c r="F59" s="1311">
        <v>14.6</v>
      </c>
      <c r="G59" s="1314" t="s">
        <v>1510</v>
      </c>
      <c r="H59" s="1311">
        <v>0.2</v>
      </c>
      <c r="I59" s="1311">
        <v>4.2</v>
      </c>
      <c r="J59" s="1314" t="s">
        <v>1510</v>
      </c>
      <c r="K59" s="1311">
        <v>0.1</v>
      </c>
      <c r="L59" s="1311">
        <v>0.7</v>
      </c>
      <c r="M59" s="1314" t="s">
        <v>1510</v>
      </c>
      <c r="O59" s="895"/>
      <c r="P59" s="432"/>
      <c r="Q59" s="432"/>
      <c r="R59" s="432"/>
      <c r="S59" s="432"/>
      <c r="T59" s="432"/>
      <c r="U59" s="432"/>
      <c r="V59" s="432"/>
    </row>
    <row r="60" spans="1:22" s="401" customFormat="1" ht="11.25" hidden="1" customHeight="1" x14ac:dyDescent="0.2">
      <c r="A60" s="1292"/>
      <c r="B60" s="1222"/>
      <c r="C60" s="1293"/>
      <c r="D60" s="1008" t="s">
        <v>422</v>
      </c>
      <c r="E60" s="1311">
        <v>12.6</v>
      </c>
      <c r="F60" s="1311">
        <v>34.200000000000003</v>
      </c>
      <c r="G60" s="1314" t="s">
        <v>1510</v>
      </c>
      <c r="H60" s="1311">
        <v>2.6</v>
      </c>
      <c r="I60" s="1311">
        <v>12.6</v>
      </c>
      <c r="J60" s="1314" t="s">
        <v>1510</v>
      </c>
      <c r="K60" s="1311">
        <v>0.5</v>
      </c>
      <c r="L60" s="1311">
        <v>3.8</v>
      </c>
      <c r="M60" s="1314" t="s">
        <v>1510</v>
      </c>
      <c r="O60" s="895"/>
      <c r="P60" s="432"/>
      <c r="Q60" s="432"/>
      <c r="R60" s="432"/>
      <c r="S60" s="432"/>
      <c r="T60" s="432"/>
      <c r="U60" s="432"/>
      <c r="V60" s="432"/>
    </row>
    <row r="61" spans="1:22" s="401" customFormat="1" ht="11.25" hidden="1" customHeight="1" x14ac:dyDescent="0.2">
      <c r="A61" s="1292"/>
      <c r="B61" s="1222"/>
      <c r="C61" s="1293"/>
      <c r="D61" s="1008" t="s">
        <v>421</v>
      </c>
      <c r="E61" s="1311">
        <v>6</v>
      </c>
      <c r="F61" s="1311">
        <v>20.399999999999999</v>
      </c>
      <c r="G61" s="1314" t="s">
        <v>1510</v>
      </c>
      <c r="H61" s="1311">
        <v>1</v>
      </c>
      <c r="I61" s="1311">
        <v>7.3</v>
      </c>
      <c r="J61" s="1314" t="s">
        <v>1510</v>
      </c>
      <c r="K61" s="1311">
        <v>0.4</v>
      </c>
      <c r="L61" s="1311">
        <v>1.7</v>
      </c>
      <c r="M61" s="1314" t="s">
        <v>1510</v>
      </c>
      <c r="O61" s="895"/>
      <c r="P61" s="432"/>
      <c r="Q61" s="432"/>
      <c r="R61" s="432"/>
      <c r="S61" s="432"/>
      <c r="T61" s="432"/>
      <c r="U61" s="432"/>
      <c r="V61" s="432"/>
    </row>
    <row r="62" spans="1:22" s="401" customFormat="1" ht="11.25" hidden="1" customHeight="1" x14ac:dyDescent="0.2">
      <c r="A62" s="1292"/>
      <c r="B62" s="1222"/>
      <c r="C62" s="1293"/>
      <c r="D62" s="1008" t="s">
        <v>419</v>
      </c>
      <c r="E62" s="1311">
        <v>7.1</v>
      </c>
      <c r="F62" s="1311">
        <v>24.7</v>
      </c>
      <c r="G62" s="1314" t="s">
        <v>1510</v>
      </c>
      <c r="H62" s="1311">
        <v>1.6</v>
      </c>
      <c r="I62" s="1311">
        <v>13.2</v>
      </c>
      <c r="J62" s="1314" t="s">
        <v>1510</v>
      </c>
      <c r="K62" s="1311">
        <v>0.6</v>
      </c>
      <c r="L62" s="1311">
        <v>4.5</v>
      </c>
      <c r="M62" s="1314" t="s">
        <v>1510</v>
      </c>
      <c r="O62" s="895"/>
      <c r="P62" s="432"/>
      <c r="Q62" s="432"/>
      <c r="R62" s="432"/>
      <c r="S62" s="432"/>
      <c r="T62" s="432"/>
      <c r="U62" s="432"/>
      <c r="V62" s="432"/>
    </row>
    <row r="63" spans="1:22" s="401" customFormat="1" ht="11.25" hidden="1" customHeight="1" x14ac:dyDescent="0.2">
      <c r="A63" s="1292"/>
      <c r="B63" s="1222"/>
      <c r="C63" s="1293"/>
      <c r="D63" s="1008" t="s">
        <v>416</v>
      </c>
      <c r="E63" s="1311">
        <v>5.9</v>
      </c>
      <c r="F63" s="1311">
        <v>22.8</v>
      </c>
      <c r="G63" s="1314" t="s">
        <v>1510</v>
      </c>
      <c r="H63" s="1311">
        <v>1.1000000000000001</v>
      </c>
      <c r="I63" s="1311">
        <v>15.6</v>
      </c>
      <c r="J63" s="1314" t="s">
        <v>1510</v>
      </c>
      <c r="K63" s="1311">
        <v>0.1</v>
      </c>
      <c r="L63" s="1311">
        <v>2.5</v>
      </c>
      <c r="M63" s="1314" t="s">
        <v>1510</v>
      </c>
      <c r="O63" s="895"/>
      <c r="P63" s="432"/>
      <c r="Q63" s="432"/>
      <c r="R63" s="432"/>
      <c r="S63" s="432"/>
      <c r="T63" s="432"/>
      <c r="U63" s="432"/>
      <c r="V63" s="432"/>
    </row>
    <row r="64" spans="1:22" s="401" customFormat="1" ht="11.25" hidden="1" customHeight="1" x14ac:dyDescent="0.2">
      <c r="A64" s="1292"/>
      <c r="B64" s="1222"/>
      <c r="C64" s="1293"/>
      <c r="D64" s="1008" t="s">
        <v>414</v>
      </c>
      <c r="E64" s="1311">
        <v>2.2999999999999998</v>
      </c>
      <c r="F64" s="1311">
        <v>11.6</v>
      </c>
      <c r="G64" s="1314" t="s">
        <v>1510</v>
      </c>
      <c r="H64" s="1311">
        <v>0.7</v>
      </c>
      <c r="I64" s="1311">
        <v>7</v>
      </c>
      <c r="J64" s="1314" t="s">
        <v>1510</v>
      </c>
      <c r="K64" s="1311">
        <v>0</v>
      </c>
      <c r="L64" s="1311">
        <v>1.3</v>
      </c>
      <c r="M64" s="1314" t="s">
        <v>1510</v>
      </c>
      <c r="O64" s="895"/>
      <c r="P64" s="432"/>
      <c r="Q64" s="432"/>
      <c r="R64" s="432"/>
      <c r="S64" s="432"/>
      <c r="T64" s="432"/>
      <c r="U64" s="432"/>
      <c r="V64" s="432"/>
    </row>
    <row r="65" spans="1:22" s="401" customFormat="1" ht="11.25" hidden="1" customHeight="1" x14ac:dyDescent="0.2">
      <c r="A65" s="1292"/>
      <c r="B65" s="1222"/>
      <c r="C65" s="1293"/>
      <c r="D65" s="1302" t="s">
        <v>0</v>
      </c>
      <c r="E65" s="1309">
        <v>6.6</v>
      </c>
      <c r="F65" s="1309">
        <v>22.9</v>
      </c>
      <c r="G65" s="1310" t="s">
        <v>1510</v>
      </c>
      <c r="H65" s="1309">
        <v>1.4</v>
      </c>
      <c r="I65" s="1309">
        <v>9.3000000000000007</v>
      </c>
      <c r="J65" s="1310" t="s">
        <v>1510</v>
      </c>
      <c r="K65" s="1309">
        <v>0.4</v>
      </c>
      <c r="L65" s="1309">
        <v>2.6</v>
      </c>
      <c r="M65" s="1310" t="s">
        <v>1510</v>
      </c>
      <c r="O65" s="895"/>
      <c r="P65" s="432"/>
      <c r="Q65" s="432"/>
      <c r="R65" s="432"/>
      <c r="S65" s="432"/>
      <c r="T65" s="432"/>
      <c r="U65" s="432"/>
      <c r="V65" s="432"/>
    </row>
    <row r="66" spans="1:22" s="401" customFormat="1" ht="14.25" hidden="1" customHeight="1" x14ac:dyDescent="0.2">
      <c r="A66" s="1292"/>
      <c r="B66" s="1222"/>
      <c r="C66" s="1293"/>
      <c r="D66" s="964"/>
      <c r="E66" s="2272"/>
      <c r="F66" s="1761"/>
      <c r="G66" s="1761"/>
      <c r="H66" s="1761"/>
      <c r="I66" s="1761"/>
      <c r="J66" s="1761"/>
      <c r="K66" s="1761"/>
      <c r="L66" s="1761"/>
      <c r="M66" s="2268"/>
      <c r="N66" s="1315"/>
      <c r="O66" s="895"/>
      <c r="P66" s="432"/>
      <c r="Q66" s="432"/>
      <c r="R66" s="432"/>
      <c r="S66" s="432"/>
      <c r="T66" s="432"/>
      <c r="U66" s="432"/>
      <c r="V66" s="432"/>
    </row>
    <row r="67" spans="1:22" s="401" customFormat="1" ht="11.25" hidden="1" x14ac:dyDescent="0.2">
      <c r="A67" s="1292"/>
      <c r="B67" s="1222"/>
      <c r="C67" s="1222"/>
      <c r="D67" s="798"/>
      <c r="E67" s="1295"/>
      <c r="F67" s="1061"/>
      <c r="G67" s="1061"/>
      <c r="H67" s="1061"/>
      <c r="I67" s="1061"/>
      <c r="J67" s="1061"/>
      <c r="K67" s="1061"/>
      <c r="L67" s="1061"/>
      <c r="M67" s="1061"/>
      <c r="N67" s="895"/>
      <c r="O67" s="895"/>
      <c r="P67" s="432"/>
      <c r="Q67" s="432"/>
      <c r="R67" s="432"/>
      <c r="S67" s="432"/>
      <c r="T67" s="432"/>
      <c r="U67" s="432"/>
      <c r="V67" s="432"/>
    </row>
    <row r="68" spans="1:22" s="401" customFormat="1" ht="11.25" x14ac:dyDescent="0.2">
      <c r="A68" s="1292"/>
      <c r="B68" s="1222"/>
      <c r="C68" s="1222"/>
      <c r="D68" s="798"/>
      <c r="E68" s="1295"/>
      <c r="F68" s="1061"/>
      <c r="G68" s="1061"/>
      <c r="H68" s="1061"/>
      <c r="I68" s="1061"/>
      <c r="J68" s="1061"/>
      <c r="K68" s="1061"/>
      <c r="L68" s="1061"/>
      <c r="M68" s="1061"/>
      <c r="N68" s="895"/>
      <c r="O68" s="895"/>
      <c r="P68" s="432"/>
      <c r="Q68" s="432"/>
      <c r="R68" s="432"/>
      <c r="S68" s="432"/>
      <c r="T68" s="432"/>
      <c r="U68" s="432"/>
      <c r="V68" s="432"/>
    </row>
    <row r="69" spans="1:22" ht="14.25" x14ac:dyDescent="0.2">
      <c r="A69" s="835">
        <v>5</v>
      </c>
      <c r="B69" s="835" t="s">
        <v>77</v>
      </c>
      <c r="C69" s="835"/>
      <c r="M69" s="2268"/>
      <c r="N69" s="984"/>
      <c r="O69" s="984"/>
      <c r="P69" s="984"/>
      <c r="Q69" s="984"/>
      <c r="R69" s="984"/>
      <c r="S69" s="984"/>
      <c r="T69" s="984"/>
      <c r="U69" s="984"/>
      <c r="V69" s="984"/>
    </row>
    <row r="86" spans="1:22" ht="15" customHeight="1" x14ac:dyDescent="0.2">
      <c r="A86" s="835">
        <v>6</v>
      </c>
      <c r="B86" s="835" t="s">
        <v>78</v>
      </c>
      <c r="C86" s="835"/>
      <c r="D86" s="3615" t="s">
        <v>295</v>
      </c>
      <c r="E86" s="3616"/>
      <c r="F86" s="3616"/>
      <c r="G86" s="3616"/>
      <c r="H86" s="3616"/>
      <c r="I86" s="3616"/>
      <c r="J86" s="3616"/>
      <c r="K86" s="3616"/>
      <c r="L86" s="3616"/>
      <c r="M86" s="3616"/>
      <c r="N86" s="3616"/>
      <c r="O86" s="3616"/>
      <c r="P86" s="3616"/>
      <c r="Q86" s="3616"/>
      <c r="R86" s="3616"/>
      <c r="S86" s="3616"/>
      <c r="T86" s="3616"/>
      <c r="U86" s="3616"/>
      <c r="V86" s="3617"/>
    </row>
    <row r="87" spans="1:22" ht="30.75" customHeight="1" x14ac:dyDescent="0.2">
      <c r="A87" s="963">
        <v>7</v>
      </c>
      <c r="B87" s="963" t="s">
        <v>80</v>
      </c>
      <c r="C87" s="963"/>
      <c r="D87" s="3793" t="s">
        <v>1893</v>
      </c>
      <c r="E87" s="3794"/>
      <c r="F87" s="3794"/>
      <c r="G87" s="3794"/>
      <c r="H87" s="3794"/>
      <c r="I87" s="3794"/>
      <c r="J87" s="3794"/>
      <c r="K87" s="3794"/>
      <c r="L87" s="3794"/>
      <c r="M87" s="3794"/>
      <c r="N87" s="3794"/>
      <c r="O87" s="3794"/>
      <c r="P87" s="3794"/>
      <c r="Q87" s="3794"/>
      <c r="R87" s="3794"/>
      <c r="S87" s="3794"/>
      <c r="T87" s="3794"/>
      <c r="U87" s="3794"/>
      <c r="V87" s="3795"/>
    </row>
    <row r="88" spans="1:22" ht="17.25" customHeight="1" x14ac:dyDescent="0.2">
      <c r="A88" s="835">
        <v>8</v>
      </c>
      <c r="B88" s="835" t="s">
        <v>20</v>
      </c>
      <c r="C88" s="835"/>
      <c r="D88" s="3629" t="s">
        <v>1881</v>
      </c>
      <c r="E88" s="3630"/>
      <c r="F88" s="3630"/>
      <c r="G88" s="3630"/>
      <c r="H88" s="3630"/>
      <c r="I88" s="3630"/>
      <c r="J88" s="3630"/>
      <c r="K88" s="3630"/>
      <c r="L88" s="3630"/>
      <c r="M88" s="3630"/>
      <c r="N88" s="3630"/>
      <c r="O88" s="3630"/>
      <c r="P88" s="3630"/>
      <c r="Q88" s="3630"/>
      <c r="R88" s="3630"/>
      <c r="S88" s="3630"/>
      <c r="T88" s="3630"/>
      <c r="U88" s="3630"/>
      <c r="V88" s="3631"/>
    </row>
    <row r="90" spans="1:22" ht="99.75" customHeight="1" x14ac:dyDescent="0.2">
      <c r="A90" s="3810" t="s">
        <v>1511</v>
      </c>
      <c r="B90" s="3810"/>
      <c r="C90" s="3810"/>
      <c r="D90" s="3810"/>
      <c r="E90" s="3810"/>
      <c r="F90" s="3810"/>
      <c r="G90" s="3810"/>
      <c r="H90" s="3810"/>
      <c r="I90" s="3810"/>
      <c r="J90" s="3810"/>
      <c r="K90" s="3810"/>
      <c r="L90" s="3810"/>
      <c r="M90" s="3810"/>
      <c r="N90" s="3810"/>
      <c r="O90" s="3810"/>
      <c r="P90" s="3810"/>
      <c r="Q90" s="3810"/>
    </row>
  </sheetData>
  <mergeCells count="9">
    <mergeCell ref="A90:Q90"/>
    <mergeCell ref="F14:G14"/>
    <mergeCell ref="J14:O14"/>
    <mergeCell ref="D88:V88"/>
    <mergeCell ref="D2:V2"/>
    <mergeCell ref="D3:V3"/>
    <mergeCell ref="D4:V4"/>
    <mergeCell ref="D86:V86"/>
    <mergeCell ref="D87:V87"/>
  </mergeCells>
  <pageMargins left="0.74803149606299213" right="0.74803149606299213" top="0.98425196850393704" bottom="0.98425196850393704" header="0.51181102362204722" footer="0.51181102362204722"/>
  <pageSetup paperSize="9" scale="5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40"/>
  <sheetViews>
    <sheetView showGridLines="0" view="pageBreakPreview" topLeftCell="B1" zoomScaleNormal="100" zoomScaleSheetLayoutView="100" workbookViewId="0">
      <selection activeCell="D38" sqref="D38:W38"/>
    </sheetView>
  </sheetViews>
  <sheetFormatPr defaultColWidth="9.140625" defaultRowHeight="15" x14ac:dyDescent="0.2"/>
  <cols>
    <col min="1" max="1" width="3.7109375" style="965" customWidth="1"/>
    <col min="2" max="2" width="10.140625" style="1277" customWidth="1"/>
    <col min="3" max="3" width="6.85546875" style="1277" customWidth="1"/>
    <col min="4" max="4" width="12.140625" style="964" customWidth="1"/>
    <col min="5" max="14" width="7.28515625" style="964" customWidth="1"/>
    <col min="15" max="20" width="7" style="964" customWidth="1"/>
    <col min="21" max="260" width="9.140625" style="964"/>
    <col min="261" max="261" width="3.7109375" style="964" customWidth="1"/>
    <col min="262" max="262" width="10.140625" style="964" customWidth="1"/>
    <col min="263" max="263" width="6.85546875" style="964" customWidth="1"/>
    <col min="264" max="264" width="12.140625" style="964" customWidth="1"/>
    <col min="265" max="274" width="7.28515625" style="964" customWidth="1"/>
    <col min="275" max="277" width="7" style="964" customWidth="1"/>
    <col min="278" max="516" width="9.140625" style="964"/>
    <col min="517" max="517" width="3.7109375" style="964" customWidth="1"/>
    <col min="518" max="518" width="10.140625" style="964" customWidth="1"/>
    <col min="519" max="519" width="6.85546875" style="964" customWidth="1"/>
    <col min="520" max="520" width="12.140625" style="964" customWidth="1"/>
    <col min="521" max="530" width="7.28515625" style="964" customWidth="1"/>
    <col min="531" max="533" width="7" style="964" customWidth="1"/>
    <col min="534" max="772" width="9.140625" style="964"/>
    <col min="773" max="773" width="3.7109375" style="964" customWidth="1"/>
    <col min="774" max="774" width="10.140625" style="964" customWidth="1"/>
    <col min="775" max="775" width="6.85546875" style="964" customWidth="1"/>
    <col min="776" max="776" width="12.140625" style="964" customWidth="1"/>
    <col min="777" max="786" width="7.28515625" style="964" customWidth="1"/>
    <col min="787" max="789" width="7" style="964" customWidth="1"/>
    <col min="790" max="1028" width="9.140625" style="964"/>
    <col min="1029" max="1029" width="3.7109375" style="964" customWidth="1"/>
    <col min="1030" max="1030" width="10.140625" style="964" customWidth="1"/>
    <col min="1031" max="1031" width="6.85546875" style="964" customWidth="1"/>
    <col min="1032" max="1032" width="12.140625" style="964" customWidth="1"/>
    <col min="1033" max="1042" width="7.28515625" style="964" customWidth="1"/>
    <col min="1043" max="1045" width="7" style="964" customWidth="1"/>
    <col min="1046" max="1284" width="9.140625" style="964"/>
    <col min="1285" max="1285" width="3.7109375" style="964" customWidth="1"/>
    <col min="1286" max="1286" width="10.140625" style="964" customWidth="1"/>
    <col min="1287" max="1287" width="6.85546875" style="964" customWidth="1"/>
    <col min="1288" max="1288" width="12.140625" style="964" customWidth="1"/>
    <col min="1289" max="1298" width="7.28515625" style="964" customWidth="1"/>
    <col min="1299" max="1301" width="7" style="964" customWidth="1"/>
    <col min="1302" max="1540" width="9.140625" style="964"/>
    <col min="1541" max="1541" width="3.7109375" style="964" customWidth="1"/>
    <col min="1542" max="1542" width="10.140625" style="964" customWidth="1"/>
    <col min="1543" max="1543" width="6.85546875" style="964" customWidth="1"/>
    <col min="1544" max="1544" width="12.140625" style="964" customWidth="1"/>
    <col min="1545" max="1554" width="7.28515625" style="964" customWidth="1"/>
    <col min="1555" max="1557" width="7" style="964" customWidth="1"/>
    <col min="1558" max="1796" width="9.140625" style="964"/>
    <col min="1797" max="1797" width="3.7109375" style="964" customWidth="1"/>
    <col min="1798" max="1798" width="10.140625" style="964" customWidth="1"/>
    <col min="1799" max="1799" width="6.85546875" style="964" customWidth="1"/>
    <col min="1800" max="1800" width="12.140625" style="964" customWidth="1"/>
    <col min="1801" max="1810" width="7.28515625" style="964" customWidth="1"/>
    <col min="1811" max="1813" width="7" style="964" customWidth="1"/>
    <col min="1814" max="2052" width="9.140625" style="964"/>
    <col min="2053" max="2053" width="3.7109375" style="964" customWidth="1"/>
    <col min="2054" max="2054" width="10.140625" style="964" customWidth="1"/>
    <col min="2055" max="2055" width="6.85546875" style="964" customWidth="1"/>
    <col min="2056" max="2056" width="12.140625" style="964" customWidth="1"/>
    <col min="2057" max="2066" width="7.28515625" style="964" customWidth="1"/>
    <col min="2067" max="2069" width="7" style="964" customWidth="1"/>
    <col min="2070" max="2308" width="9.140625" style="964"/>
    <col min="2309" max="2309" width="3.7109375" style="964" customWidth="1"/>
    <col min="2310" max="2310" width="10.140625" style="964" customWidth="1"/>
    <col min="2311" max="2311" width="6.85546875" style="964" customWidth="1"/>
    <col min="2312" max="2312" width="12.140625" style="964" customWidth="1"/>
    <col min="2313" max="2322" width="7.28515625" style="964" customWidth="1"/>
    <col min="2323" max="2325" width="7" style="964" customWidth="1"/>
    <col min="2326" max="2564" width="9.140625" style="964"/>
    <col min="2565" max="2565" width="3.7109375" style="964" customWidth="1"/>
    <col min="2566" max="2566" width="10.140625" style="964" customWidth="1"/>
    <col min="2567" max="2567" width="6.85546875" style="964" customWidth="1"/>
    <col min="2568" max="2568" width="12.140625" style="964" customWidth="1"/>
    <col min="2569" max="2578" width="7.28515625" style="964" customWidth="1"/>
    <col min="2579" max="2581" width="7" style="964" customWidth="1"/>
    <col min="2582" max="2820" width="9.140625" style="964"/>
    <col min="2821" max="2821" width="3.7109375" style="964" customWidth="1"/>
    <col min="2822" max="2822" width="10.140625" style="964" customWidth="1"/>
    <col min="2823" max="2823" width="6.85546875" style="964" customWidth="1"/>
    <col min="2824" max="2824" width="12.140625" style="964" customWidth="1"/>
    <col min="2825" max="2834" width="7.28515625" style="964" customWidth="1"/>
    <col min="2835" max="2837" width="7" style="964" customWidth="1"/>
    <col min="2838" max="3076" width="9.140625" style="964"/>
    <col min="3077" max="3077" width="3.7109375" style="964" customWidth="1"/>
    <col min="3078" max="3078" width="10.140625" style="964" customWidth="1"/>
    <col min="3079" max="3079" width="6.85546875" style="964" customWidth="1"/>
    <col min="3080" max="3080" width="12.140625" style="964" customWidth="1"/>
    <col min="3081" max="3090" width="7.28515625" style="964" customWidth="1"/>
    <col min="3091" max="3093" width="7" style="964" customWidth="1"/>
    <col min="3094" max="3332" width="9.140625" style="964"/>
    <col min="3333" max="3333" width="3.7109375" style="964" customWidth="1"/>
    <col min="3334" max="3334" width="10.140625" style="964" customWidth="1"/>
    <col min="3335" max="3335" width="6.85546875" style="964" customWidth="1"/>
    <col min="3336" max="3336" width="12.140625" style="964" customWidth="1"/>
    <col min="3337" max="3346" width="7.28515625" style="964" customWidth="1"/>
    <col min="3347" max="3349" width="7" style="964" customWidth="1"/>
    <col min="3350" max="3588" width="9.140625" style="964"/>
    <col min="3589" max="3589" width="3.7109375" style="964" customWidth="1"/>
    <col min="3590" max="3590" width="10.140625" style="964" customWidth="1"/>
    <col min="3591" max="3591" width="6.85546875" style="964" customWidth="1"/>
    <col min="3592" max="3592" width="12.140625" style="964" customWidth="1"/>
    <col min="3593" max="3602" width="7.28515625" style="964" customWidth="1"/>
    <col min="3603" max="3605" width="7" style="964" customWidth="1"/>
    <col min="3606" max="3844" width="9.140625" style="964"/>
    <col min="3845" max="3845" width="3.7109375" style="964" customWidth="1"/>
    <col min="3846" max="3846" width="10.140625" style="964" customWidth="1"/>
    <col min="3847" max="3847" width="6.85546875" style="964" customWidth="1"/>
    <col min="3848" max="3848" width="12.140625" style="964" customWidth="1"/>
    <col min="3849" max="3858" width="7.28515625" style="964" customWidth="1"/>
    <col min="3859" max="3861" width="7" style="964" customWidth="1"/>
    <col min="3862" max="4100" width="9.140625" style="964"/>
    <col min="4101" max="4101" width="3.7109375" style="964" customWidth="1"/>
    <col min="4102" max="4102" width="10.140625" style="964" customWidth="1"/>
    <col min="4103" max="4103" width="6.85546875" style="964" customWidth="1"/>
    <col min="4104" max="4104" width="12.140625" style="964" customWidth="1"/>
    <col min="4105" max="4114" width="7.28515625" style="964" customWidth="1"/>
    <col min="4115" max="4117" width="7" style="964" customWidth="1"/>
    <col min="4118" max="4356" width="9.140625" style="964"/>
    <col min="4357" max="4357" width="3.7109375" style="964" customWidth="1"/>
    <col min="4358" max="4358" width="10.140625" style="964" customWidth="1"/>
    <col min="4359" max="4359" width="6.85546875" style="964" customWidth="1"/>
    <col min="4360" max="4360" width="12.140625" style="964" customWidth="1"/>
    <col min="4361" max="4370" width="7.28515625" style="964" customWidth="1"/>
    <col min="4371" max="4373" width="7" style="964" customWidth="1"/>
    <col min="4374" max="4612" width="9.140625" style="964"/>
    <col min="4613" max="4613" width="3.7109375" style="964" customWidth="1"/>
    <col min="4614" max="4614" width="10.140625" style="964" customWidth="1"/>
    <col min="4615" max="4615" width="6.85546875" style="964" customWidth="1"/>
    <col min="4616" max="4616" width="12.140625" style="964" customWidth="1"/>
    <col min="4617" max="4626" width="7.28515625" style="964" customWidth="1"/>
    <col min="4627" max="4629" width="7" style="964" customWidth="1"/>
    <col min="4630" max="4868" width="9.140625" style="964"/>
    <col min="4869" max="4869" width="3.7109375" style="964" customWidth="1"/>
    <col min="4870" max="4870" width="10.140625" style="964" customWidth="1"/>
    <col min="4871" max="4871" width="6.85546875" style="964" customWidth="1"/>
    <col min="4872" max="4872" width="12.140625" style="964" customWidth="1"/>
    <col min="4873" max="4882" width="7.28515625" style="964" customWidth="1"/>
    <col min="4883" max="4885" width="7" style="964" customWidth="1"/>
    <col min="4886" max="5124" width="9.140625" style="964"/>
    <col min="5125" max="5125" width="3.7109375" style="964" customWidth="1"/>
    <col min="5126" max="5126" width="10.140625" style="964" customWidth="1"/>
    <col min="5127" max="5127" width="6.85546875" style="964" customWidth="1"/>
    <col min="5128" max="5128" width="12.140625" style="964" customWidth="1"/>
    <col min="5129" max="5138" width="7.28515625" style="964" customWidth="1"/>
    <col min="5139" max="5141" width="7" style="964" customWidth="1"/>
    <col min="5142" max="5380" width="9.140625" style="964"/>
    <col min="5381" max="5381" width="3.7109375" style="964" customWidth="1"/>
    <col min="5382" max="5382" width="10.140625" style="964" customWidth="1"/>
    <col min="5383" max="5383" width="6.85546875" style="964" customWidth="1"/>
    <col min="5384" max="5384" width="12.140625" style="964" customWidth="1"/>
    <col min="5385" max="5394" width="7.28515625" style="964" customWidth="1"/>
    <col min="5395" max="5397" width="7" style="964" customWidth="1"/>
    <col min="5398" max="5636" width="9.140625" style="964"/>
    <col min="5637" max="5637" width="3.7109375" style="964" customWidth="1"/>
    <col min="5638" max="5638" width="10.140625" style="964" customWidth="1"/>
    <col min="5639" max="5639" width="6.85546875" style="964" customWidth="1"/>
    <col min="5640" max="5640" width="12.140625" style="964" customWidth="1"/>
    <col min="5641" max="5650" width="7.28515625" style="964" customWidth="1"/>
    <col min="5651" max="5653" width="7" style="964" customWidth="1"/>
    <col min="5654" max="5892" width="9.140625" style="964"/>
    <col min="5893" max="5893" width="3.7109375" style="964" customWidth="1"/>
    <col min="5894" max="5894" width="10.140625" style="964" customWidth="1"/>
    <col min="5895" max="5895" width="6.85546875" style="964" customWidth="1"/>
    <col min="5896" max="5896" width="12.140625" style="964" customWidth="1"/>
    <col min="5897" max="5906" width="7.28515625" style="964" customWidth="1"/>
    <col min="5907" max="5909" width="7" style="964" customWidth="1"/>
    <col min="5910" max="6148" width="9.140625" style="964"/>
    <col min="6149" max="6149" width="3.7109375" style="964" customWidth="1"/>
    <col min="6150" max="6150" width="10.140625" style="964" customWidth="1"/>
    <col min="6151" max="6151" width="6.85546875" style="964" customWidth="1"/>
    <col min="6152" max="6152" width="12.140625" style="964" customWidth="1"/>
    <col min="6153" max="6162" width="7.28515625" style="964" customWidth="1"/>
    <col min="6163" max="6165" width="7" style="964" customWidth="1"/>
    <col min="6166" max="6404" width="9.140625" style="964"/>
    <col min="6405" max="6405" width="3.7109375" style="964" customWidth="1"/>
    <col min="6406" max="6406" width="10.140625" style="964" customWidth="1"/>
    <col min="6407" max="6407" width="6.85546875" style="964" customWidth="1"/>
    <col min="6408" max="6408" width="12.140625" style="964" customWidth="1"/>
    <col min="6409" max="6418" width="7.28515625" style="964" customWidth="1"/>
    <col min="6419" max="6421" width="7" style="964" customWidth="1"/>
    <col min="6422" max="6660" width="9.140625" style="964"/>
    <col min="6661" max="6661" width="3.7109375" style="964" customWidth="1"/>
    <col min="6662" max="6662" width="10.140625" style="964" customWidth="1"/>
    <col min="6663" max="6663" width="6.85546875" style="964" customWidth="1"/>
    <col min="6664" max="6664" width="12.140625" style="964" customWidth="1"/>
    <col min="6665" max="6674" width="7.28515625" style="964" customWidth="1"/>
    <col min="6675" max="6677" width="7" style="964" customWidth="1"/>
    <col min="6678" max="6916" width="9.140625" style="964"/>
    <col min="6917" max="6917" width="3.7109375" style="964" customWidth="1"/>
    <col min="6918" max="6918" width="10.140625" style="964" customWidth="1"/>
    <col min="6919" max="6919" width="6.85546875" style="964" customWidth="1"/>
    <col min="6920" max="6920" width="12.140625" style="964" customWidth="1"/>
    <col min="6921" max="6930" width="7.28515625" style="964" customWidth="1"/>
    <col min="6931" max="6933" width="7" style="964" customWidth="1"/>
    <col min="6934" max="7172" width="9.140625" style="964"/>
    <col min="7173" max="7173" width="3.7109375" style="964" customWidth="1"/>
    <col min="7174" max="7174" width="10.140625" style="964" customWidth="1"/>
    <col min="7175" max="7175" width="6.85546875" style="964" customWidth="1"/>
    <col min="7176" max="7176" width="12.140625" style="964" customWidth="1"/>
    <col min="7177" max="7186" width="7.28515625" style="964" customWidth="1"/>
    <col min="7187" max="7189" width="7" style="964" customWidth="1"/>
    <col min="7190" max="7428" width="9.140625" style="964"/>
    <col min="7429" max="7429" width="3.7109375" style="964" customWidth="1"/>
    <col min="7430" max="7430" width="10.140625" style="964" customWidth="1"/>
    <col min="7431" max="7431" width="6.85546875" style="964" customWidth="1"/>
    <col min="7432" max="7432" width="12.140625" style="964" customWidth="1"/>
    <col min="7433" max="7442" width="7.28515625" style="964" customWidth="1"/>
    <col min="7443" max="7445" width="7" style="964" customWidth="1"/>
    <col min="7446" max="7684" width="9.140625" style="964"/>
    <col min="7685" max="7685" width="3.7109375" style="964" customWidth="1"/>
    <col min="7686" max="7686" width="10.140625" style="964" customWidth="1"/>
    <col min="7687" max="7687" width="6.85546875" style="964" customWidth="1"/>
    <col min="7688" max="7688" width="12.140625" style="964" customWidth="1"/>
    <col min="7689" max="7698" width="7.28515625" style="964" customWidth="1"/>
    <col min="7699" max="7701" width="7" style="964" customWidth="1"/>
    <col min="7702" max="7940" width="9.140625" style="964"/>
    <col min="7941" max="7941" width="3.7109375" style="964" customWidth="1"/>
    <col min="7942" max="7942" width="10.140625" style="964" customWidth="1"/>
    <col min="7943" max="7943" width="6.85546875" style="964" customWidth="1"/>
    <col min="7944" max="7944" width="12.140625" style="964" customWidth="1"/>
    <col min="7945" max="7954" width="7.28515625" style="964" customWidth="1"/>
    <col min="7955" max="7957" width="7" style="964" customWidth="1"/>
    <col min="7958" max="8196" width="9.140625" style="964"/>
    <col min="8197" max="8197" width="3.7109375" style="964" customWidth="1"/>
    <col min="8198" max="8198" width="10.140625" style="964" customWidth="1"/>
    <col min="8199" max="8199" width="6.85546875" style="964" customWidth="1"/>
    <col min="8200" max="8200" width="12.140625" style="964" customWidth="1"/>
    <col min="8201" max="8210" width="7.28515625" style="964" customWidth="1"/>
    <col min="8211" max="8213" width="7" style="964" customWidth="1"/>
    <col min="8214" max="8452" width="9.140625" style="964"/>
    <col min="8453" max="8453" width="3.7109375" style="964" customWidth="1"/>
    <col min="8454" max="8454" width="10.140625" style="964" customWidth="1"/>
    <col min="8455" max="8455" width="6.85546875" style="964" customWidth="1"/>
    <col min="8456" max="8456" width="12.140625" style="964" customWidth="1"/>
    <col min="8457" max="8466" width="7.28515625" style="964" customWidth="1"/>
    <col min="8467" max="8469" width="7" style="964" customWidth="1"/>
    <col min="8470" max="8708" width="9.140625" style="964"/>
    <col min="8709" max="8709" width="3.7109375" style="964" customWidth="1"/>
    <col min="8710" max="8710" width="10.140625" style="964" customWidth="1"/>
    <col min="8711" max="8711" width="6.85546875" style="964" customWidth="1"/>
    <col min="8712" max="8712" width="12.140625" style="964" customWidth="1"/>
    <col min="8713" max="8722" width="7.28515625" style="964" customWidth="1"/>
    <col min="8723" max="8725" width="7" style="964" customWidth="1"/>
    <col min="8726" max="8964" width="9.140625" style="964"/>
    <col min="8965" max="8965" width="3.7109375" style="964" customWidth="1"/>
    <col min="8966" max="8966" width="10.140625" style="964" customWidth="1"/>
    <col min="8967" max="8967" width="6.85546875" style="964" customWidth="1"/>
    <col min="8968" max="8968" width="12.140625" style="964" customWidth="1"/>
    <col min="8969" max="8978" width="7.28515625" style="964" customWidth="1"/>
    <col min="8979" max="8981" width="7" style="964" customWidth="1"/>
    <col min="8982" max="9220" width="9.140625" style="964"/>
    <col min="9221" max="9221" width="3.7109375" style="964" customWidth="1"/>
    <col min="9222" max="9222" width="10.140625" style="964" customWidth="1"/>
    <col min="9223" max="9223" width="6.85546875" style="964" customWidth="1"/>
    <col min="9224" max="9224" width="12.140625" style="964" customWidth="1"/>
    <col min="9225" max="9234" width="7.28515625" style="964" customWidth="1"/>
    <col min="9235" max="9237" width="7" style="964" customWidth="1"/>
    <col min="9238" max="9476" width="9.140625" style="964"/>
    <col min="9477" max="9477" width="3.7109375" style="964" customWidth="1"/>
    <col min="9478" max="9478" width="10.140625" style="964" customWidth="1"/>
    <col min="9479" max="9479" width="6.85546875" style="964" customWidth="1"/>
    <col min="9480" max="9480" width="12.140625" style="964" customWidth="1"/>
    <col min="9481" max="9490" width="7.28515625" style="964" customWidth="1"/>
    <col min="9491" max="9493" width="7" style="964" customWidth="1"/>
    <col min="9494" max="9732" width="9.140625" style="964"/>
    <col min="9733" max="9733" width="3.7109375" style="964" customWidth="1"/>
    <col min="9734" max="9734" width="10.140625" style="964" customWidth="1"/>
    <col min="9735" max="9735" width="6.85546875" style="964" customWidth="1"/>
    <col min="9736" max="9736" width="12.140625" style="964" customWidth="1"/>
    <col min="9737" max="9746" width="7.28515625" style="964" customWidth="1"/>
    <col min="9747" max="9749" width="7" style="964" customWidth="1"/>
    <col min="9750" max="9988" width="9.140625" style="964"/>
    <col min="9989" max="9989" width="3.7109375" style="964" customWidth="1"/>
    <col min="9990" max="9990" width="10.140625" style="964" customWidth="1"/>
    <col min="9991" max="9991" width="6.85546875" style="964" customWidth="1"/>
    <col min="9992" max="9992" width="12.140625" style="964" customWidth="1"/>
    <col min="9993" max="10002" width="7.28515625" style="964" customWidth="1"/>
    <col min="10003" max="10005" width="7" style="964" customWidth="1"/>
    <col min="10006" max="10244" width="9.140625" style="964"/>
    <col min="10245" max="10245" width="3.7109375" style="964" customWidth="1"/>
    <col min="10246" max="10246" width="10.140625" style="964" customWidth="1"/>
    <col min="10247" max="10247" width="6.85546875" style="964" customWidth="1"/>
    <col min="10248" max="10248" width="12.140625" style="964" customWidth="1"/>
    <col min="10249" max="10258" width="7.28515625" style="964" customWidth="1"/>
    <col min="10259" max="10261" width="7" style="964" customWidth="1"/>
    <col min="10262" max="10500" width="9.140625" style="964"/>
    <col min="10501" max="10501" width="3.7109375" style="964" customWidth="1"/>
    <col min="10502" max="10502" width="10.140625" style="964" customWidth="1"/>
    <col min="10503" max="10503" width="6.85546875" style="964" customWidth="1"/>
    <col min="10504" max="10504" width="12.140625" style="964" customWidth="1"/>
    <col min="10505" max="10514" width="7.28515625" style="964" customWidth="1"/>
    <col min="10515" max="10517" width="7" style="964" customWidth="1"/>
    <col min="10518" max="10756" width="9.140625" style="964"/>
    <col min="10757" max="10757" width="3.7109375" style="964" customWidth="1"/>
    <col min="10758" max="10758" width="10.140625" style="964" customWidth="1"/>
    <col min="10759" max="10759" width="6.85546875" style="964" customWidth="1"/>
    <col min="10760" max="10760" width="12.140625" style="964" customWidth="1"/>
    <col min="10761" max="10770" width="7.28515625" style="964" customWidth="1"/>
    <col min="10771" max="10773" width="7" style="964" customWidth="1"/>
    <col min="10774" max="11012" width="9.140625" style="964"/>
    <col min="11013" max="11013" width="3.7109375" style="964" customWidth="1"/>
    <col min="11014" max="11014" width="10.140625" style="964" customWidth="1"/>
    <col min="11015" max="11015" width="6.85546875" style="964" customWidth="1"/>
    <col min="11016" max="11016" width="12.140625" style="964" customWidth="1"/>
    <col min="11017" max="11026" width="7.28515625" style="964" customWidth="1"/>
    <col min="11027" max="11029" width="7" style="964" customWidth="1"/>
    <col min="11030" max="11268" width="9.140625" style="964"/>
    <col min="11269" max="11269" width="3.7109375" style="964" customWidth="1"/>
    <col min="11270" max="11270" width="10.140625" style="964" customWidth="1"/>
    <col min="11271" max="11271" width="6.85546875" style="964" customWidth="1"/>
    <col min="11272" max="11272" width="12.140625" style="964" customWidth="1"/>
    <col min="11273" max="11282" width="7.28515625" style="964" customWidth="1"/>
    <col min="11283" max="11285" width="7" style="964" customWidth="1"/>
    <col min="11286" max="11524" width="9.140625" style="964"/>
    <col min="11525" max="11525" width="3.7109375" style="964" customWidth="1"/>
    <col min="11526" max="11526" width="10.140625" style="964" customWidth="1"/>
    <col min="11527" max="11527" width="6.85546875" style="964" customWidth="1"/>
    <col min="11528" max="11528" width="12.140625" style="964" customWidth="1"/>
    <col min="11529" max="11538" width="7.28515625" style="964" customWidth="1"/>
    <col min="11539" max="11541" width="7" style="964" customWidth="1"/>
    <col min="11542" max="11780" width="9.140625" style="964"/>
    <col min="11781" max="11781" width="3.7109375" style="964" customWidth="1"/>
    <col min="11782" max="11782" width="10.140625" style="964" customWidth="1"/>
    <col min="11783" max="11783" width="6.85546875" style="964" customWidth="1"/>
    <col min="11784" max="11784" width="12.140625" style="964" customWidth="1"/>
    <col min="11785" max="11794" width="7.28515625" style="964" customWidth="1"/>
    <col min="11795" max="11797" width="7" style="964" customWidth="1"/>
    <col min="11798" max="12036" width="9.140625" style="964"/>
    <col min="12037" max="12037" width="3.7109375" style="964" customWidth="1"/>
    <col min="12038" max="12038" width="10.140625" style="964" customWidth="1"/>
    <col min="12039" max="12039" width="6.85546875" style="964" customWidth="1"/>
    <col min="12040" max="12040" width="12.140625" style="964" customWidth="1"/>
    <col min="12041" max="12050" width="7.28515625" style="964" customWidth="1"/>
    <col min="12051" max="12053" width="7" style="964" customWidth="1"/>
    <col min="12054" max="12292" width="9.140625" style="964"/>
    <col min="12293" max="12293" width="3.7109375" style="964" customWidth="1"/>
    <col min="12294" max="12294" width="10.140625" style="964" customWidth="1"/>
    <col min="12295" max="12295" width="6.85546875" style="964" customWidth="1"/>
    <col min="12296" max="12296" width="12.140625" style="964" customWidth="1"/>
    <col min="12297" max="12306" width="7.28515625" style="964" customWidth="1"/>
    <col min="12307" max="12309" width="7" style="964" customWidth="1"/>
    <col min="12310" max="12548" width="9.140625" style="964"/>
    <col min="12549" max="12549" width="3.7109375" style="964" customWidth="1"/>
    <col min="12550" max="12550" width="10.140625" style="964" customWidth="1"/>
    <col min="12551" max="12551" width="6.85546875" style="964" customWidth="1"/>
    <col min="12552" max="12552" width="12.140625" style="964" customWidth="1"/>
    <col min="12553" max="12562" width="7.28515625" style="964" customWidth="1"/>
    <col min="12563" max="12565" width="7" style="964" customWidth="1"/>
    <col min="12566" max="12804" width="9.140625" style="964"/>
    <col min="12805" max="12805" width="3.7109375" style="964" customWidth="1"/>
    <col min="12806" max="12806" width="10.140625" style="964" customWidth="1"/>
    <col min="12807" max="12807" width="6.85546875" style="964" customWidth="1"/>
    <col min="12808" max="12808" width="12.140625" style="964" customWidth="1"/>
    <col min="12809" max="12818" width="7.28515625" style="964" customWidth="1"/>
    <col min="12819" max="12821" width="7" style="964" customWidth="1"/>
    <col min="12822" max="13060" width="9.140625" style="964"/>
    <col min="13061" max="13061" width="3.7109375" style="964" customWidth="1"/>
    <col min="13062" max="13062" width="10.140625" style="964" customWidth="1"/>
    <col min="13063" max="13063" width="6.85546875" style="964" customWidth="1"/>
    <col min="13064" max="13064" width="12.140625" style="964" customWidth="1"/>
    <col min="13065" max="13074" width="7.28515625" style="964" customWidth="1"/>
    <col min="13075" max="13077" width="7" style="964" customWidth="1"/>
    <col min="13078" max="13316" width="9.140625" style="964"/>
    <col min="13317" max="13317" width="3.7109375" style="964" customWidth="1"/>
    <col min="13318" max="13318" width="10.140625" style="964" customWidth="1"/>
    <col min="13319" max="13319" width="6.85546875" style="964" customWidth="1"/>
    <col min="13320" max="13320" width="12.140625" style="964" customWidth="1"/>
    <col min="13321" max="13330" width="7.28515625" style="964" customWidth="1"/>
    <col min="13331" max="13333" width="7" style="964" customWidth="1"/>
    <col min="13334" max="13572" width="9.140625" style="964"/>
    <col min="13573" max="13573" width="3.7109375" style="964" customWidth="1"/>
    <col min="13574" max="13574" width="10.140625" style="964" customWidth="1"/>
    <col min="13575" max="13575" width="6.85546875" style="964" customWidth="1"/>
    <col min="13576" max="13576" width="12.140625" style="964" customWidth="1"/>
    <col min="13577" max="13586" width="7.28515625" style="964" customWidth="1"/>
    <col min="13587" max="13589" width="7" style="964" customWidth="1"/>
    <col min="13590" max="13828" width="9.140625" style="964"/>
    <col min="13829" max="13829" width="3.7109375" style="964" customWidth="1"/>
    <col min="13830" max="13830" width="10.140625" style="964" customWidth="1"/>
    <col min="13831" max="13831" width="6.85546875" style="964" customWidth="1"/>
    <col min="13832" max="13832" width="12.140625" style="964" customWidth="1"/>
    <col min="13833" max="13842" width="7.28515625" style="964" customWidth="1"/>
    <col min="13843" max="13845" width="7" style="964" customWidth="1"/>
    <col min="13846" max="14084" width="9.140625" style="964"/>
    <col min="14085" max="14085" width="3.7109375" style="964" customWidth="1"/>
    <col min="14086" max="14086" width="10.140625" style="964" customWidth="1"/>
    <col min="14087" max="14087" width="6.85546875" style="964" customWidth="1"/>
    <col min="14088" max="14088" width="12.140625" style="964" customWidth="1"/>
    <col min="14089" max="14098" width="7.28515625" style="964" customWidth="1"/>
    <col min="14099" max="14101" width="7" style="964" customWidth="1"/>
    <col min="14102" max="14340" width="9.140625" style="964"/>
    <col min="14341" max="14341" width="3.7109375" style="964" customWidth="1"/>
    <col min="14342" max="14342" width="10.140625" style="964" customWidth="1"/>
    <col min="14343" max="14343" width="6.85546875" style="964" customWidth="1"/>
    <col min="14344" max="14344" width="12.140625" style="964" customWidth="1"/>
    <col min="14345" max="14354" width="7.28515625" style="964" customWidth="1"/>
    <col min="14355" max="14357" width="7" style="964" customWidth="1"/>
    <col min="14358" max="14596" width="9.140625" style="964"/>
    <col min="14597" max="14597" width="3.7109375" style="964" customWidth="1"/>
    <col min="14598" max="14598" width="10.140625" style="964" customWidth="1"/>
    <col min="14599" max="14599" width="6.85546875" style="964" customWidth="1"/>
    <col min="14600" max="14600" width="12.140625" style="964" customWidth="1"/>
    <col min="14601" max="14610" width="7.28515625" style="964" customWidth="1"/>
    <col min="14611" max="14613" width="7" style="964" customWidth="1"/>
    <col min="14614" max="14852" width="9.140625" style="964"/>
    <col min="14853" max="14853" width="3.7109375" style="964" customWidth="1"/>
    <col min="14854" max="14854" width="10.140625" style="964" customWidth="1"/>
    <col min="14855" max="14855" width="6.85546875" style="964" customWidth="1"/>
    <col min="14856" max="14856" width="12.140625" style="964" customWidth="1"/>
    <col min="14857" max="14866" width="7.28515625" style="964" customWidth="1"/>
    <col min="14867" max="14869" width="7" style="964" customWidth="1"/>
    <col min="14870" max="15108" width="9.140625" style="964"/>
    <col min="15109" max="15109" width="3.7109375" style="964" customWidth="1"/>
    <col min="15110" max="15110" width="10.140625" style="964" customWidth="1"/>
    <col min="15111" max="15111" width="6.85546875" style="964" customWidth="1"/>
    <col min="15112" max="15112" width="12.140625" style="964" customWidth="1"/>
    <col min="15113" max="15122" width="7.28515625" style="964" customWidth="1"/>
    <col min="15123" max="15125" width="7" style="964" customWidth="1"/>
    <col min="15126" max="15364" width="9.140625" style="964"/>
    <col min="15365" max="15365" width="3.7109375" style="964" customWidth="1"/>
    <col min="15366" max="15366" width="10.140625" style="964" customWidth="1"/>
    <col min="15367" max="15367" width="6.85546875" style="964" customWidth="1"/>
    <col min="15368" max="15368" width="12.140625" style="964" customWidth="1"/>
    <col min="15369" max="15378" width="7.28515625" style="964" customWidth="1"/>
    <col min="15379" max="15381" width="7" style="964" customWidth="1"/>
    <col min="15382" max="15620" width="9.140625" style="964"/>
    <col min="15621" max="15621" width="3.7109375" style="964" customWidth="1"/>
    <col min="15622" max="15622" width="10.140625" style="964" customWidth="1"/>
    <col min="15623" max="15623" width="6.85546875" style="964" customWidth="1"/>
    <col min="15624" max="15624" width="12.140625" style="964" customWidth="1"/>
    <col min="15625" max="15634" width="7.28515625" style="964" customWidth="1"/>
    <col min="15635" max="15637" width="7" style="964" customWidth="1"/>
    <col min="15638" max="15876" width="9.140625" style="964"/>
    <col min="15877" max="15877" width="3.7109375" style="964" customWidth="1"/>
    <col min="15878" max="15878" width="10.140625" style="964" customWidth="1"/>
    <col min="15879" max="15879" width="6.85546875" style="964" customWidth="1"/>
    <col min="15880" max="15880" width="12.140625" style="964" customWidth="1"/>
    <col min="15881" max="15890" width="7.28515625" style="964" customWidth="1"/>
    <col min="15891" max="15893" width="7" style="964" customWidth="1"/>
    <col min="15894" max="16132" width="9.140625" style="964"/>
    <col min="16133" max="16133" width="3.7109375" style="964" customWidth="1"/>
    <col min="16134" max="16134" width="10.140625" style="964" customWidth="1"/>
    <col min="16135" max="16135" width="6.85546875" style="964" customWidth="1"/>
    <col min="16136" max="16136" width="12.140625" style="964" customWidth="1"/>
    <col min="16137" max="16146" width="7.28515625" style="964" customWidth="1"/>
    <col min="16147" max="16149" width="7" style="964" customWidth="1"/>
    <col min="16150" max="16384" width="9.140625" style="964"/>
  </cols>
  <sheetData>
    <row r="1" spans="1:23" ht="6.75" customHeight="1" x14ac:dyDescent="0.2"/>
    <row r="2" spans="1:23" ht="14.45" customHeight="1" x14ac:dyDescent="0.2">
      <c r="A2" s="835">
        <v>1</v>
      </c>
      <c r="B2" s="835" t="s">
        <v>24</v>
      </c>
      <c r="C2" s="835">
        <f>'Severe Acute Malnutrition'!C2+1</f>
        <v>37</v>
      </c>
      <c r="D2" s="3626" t="s">
        <v>1512</v>
      </c>
      <c r="E2" s="3627"/>
      <c r="F2" s="3627"/>
      <c r="G2" s="3627"/>
      <c r="H2" s="3627"/>
      <c r="I2" s="3627"/>
      <c r="J2" s="3627"/>
      <c r="K2" s="3627"/>
      <c r="L2" s="3627"/>
      <c r="M2" s="3627"/>
      <c r="N2" s="3627"/>
      <c r="O2" s="3627"/>
      <c r="P2" s="3627"/>
      <c r="Q2" s="3627"/>
      <c r="R2" s="3627"/>
      <c r="S2" s="3627"/>
      <c r="T2" s="3627"/>
      <c r="U2" s="3627"/>
      <c r="V2" s="3627"/>
      <c r="W2" s="3628"/>
    </row>
    <row r="3" spans="1:23" ht="15" customHeight="1" x14ac:dyDescent="0.2">
      <c r="A3" s="835">
        <v>2</v>
      </c>
      <c r="B3" s="835" t="s">
        <v>26</v>
      </c>
      <c r="C3" s="835"/>
      <c r="D3" s="3632" t="s">
        <v>1455</v>
      </c>
      <c r="E3" s="3633"/>
      <c r="F3" s="3633"/>
      <c r="G3" s="3633"/>
      <c r="H3" s="3633"/>
      <c r="I3" s="3633"/>
      <c r="J3" s="3633"/>
      <c r="K3" s="3633"/>
      <c r="L3" s="3633"/>
      <c r="M3" s="3633"/>
      <c r="N3" s="3633"/>
      <c r="O3" s="3633"/>
      <c r="P3" s="3633"/>
      <c r="Q3" s="3633"/>
      <c r="R3" s="3633"/>
      <c r="S3" s="3633"/>
      <c r="T3" s="3633"/>
      <c r="U3" s="3633"/>
      <c r="V3" s="3633"/>
      <c r="W3" s="3634"/>
    </row>
    <row r="4" spans="1:23" ht="14.45" customHeight="1" x14ac:dyDescent="0.2">
      <c r="A4" s="835">
        <v>3</v>
      </c>
      <c r="B4" s="835" t="s">
        <v>28</v>
      </c>
      <c r="C4" s="835"/>
      <c r="D4" s="3632" t="s">
        <v>1879</v>
      </c>
      <c r="E4" s="3633"/>
      <c r="F4" s="3633"/>
      <c r="G4" s="3633"/>
      <c r="H4" s="3633"/>
      <c r="I4" s="3633"/>
      <c r="J4" s="3633"/>
      <c r="K4" s="3633"/>
      <c r="L4" s="3633"/>
      <c r="M4" s="3633"/>
      <c r="N4" s="3633"/>
      <c r="O4" s="3633"/>
      <c r="P4" s="3633"/>
      <c r="Q4" s="3633"/>
      <c r="R4" s="3633"/>
      <c r="S4" s="3633"/>
      <c r="T4" s="3633"/>
      <c r="U4" s="3633"/>
      <c r="V4" s="3633"/>
      <c r="W4" s="3634"/>
    </row>
    <row r="5" spans="1:23" ht="14.45" customHeight="1" x14ac:dyDescent="0.2">
      <c r="A5" s="835"/>
      <c r="B5" s="835"/>
      <c r="C5" s="835"/>
      <c r="D5" s="3632" t="s">
        <v>1513</v>
      </c>
      <c r="E5" s="3633"/>
      <c r="F5" s="3633"/>
      <c r="G5" s="3633"/>
      <c r="H5" s="3633"/>
      <c r="I5" s="3633"/>
      <c r="J5" s="3633"/>
      <c r="K5" s="3633"/>
      <c r="L5" s="3633"/>
      <c r="M5" s="3633"/>
      <c r="N5" s="3633"/>
      <c r="O5" s="3633"/>
      <c r="P5" s="3633"/>
      <c r="Q5" s="3633"/>
      <c r="R5" s="3633"/>
      <c r="S5" s="3633"/>
      <c r="T5" s="3633"/>
      <c r="U5" s="3633"/>
      <c r="V5" s="3633"/>
      <c r="W5" s="3634"/>
    </row>
    <row r="6" spans="1:23" ht="14.45" customHeight="1" x14ac:dyDescent="0.2">
      <c r="A6" s="835"/>
      <c r="B6" s="835"/>
      <c r="C6" s="835"/>
      <c r="D6" s="3632" t="s">
        <v>1514</v>
      </c>
      <c r="E6" s="3633"/>
      <c r="F6" s="3633"/>
      <c r="G6" s="3633"/>
      <c r="H6" s="3633"/>
      <c r="I6" s="3633"/>
      <c r="J6" s="3633"/>
      <c r="K6" s="3633"/>
      <c r="L6" s="3633"/>
      <c r="M6" s="3633"/>
      <c r="N6" s="3633"/>
      <c r="O6" s="3633"/>
      <c r="P6" s="3633"/>
      <c r="Q6" s="3633"/>
      <c r="R6" s="3633"/>
      <c r="S6" s="3633"/>
      <c r="T6" s="3633"/>
      <c r="U6" s="3633"/>
      <c r="V6" s="3633"/>
      <c r="W6" s="3634"/>
    </row>
    <row r="7" spans="1:23" x14ac:dyDescent="0.2">
      <c r="B7" s="965"/>
      <c r="C7" s="965"/>
      <c r="D7" s="1316"/>
      <c r="E7" s="1317"/>
      <c r="F7" s="1317"/>
      <c r="G7" s="1317"/>
      <c r="H7" s="1317"/>
      <c r="I7" s="1317"/>
      <c r="J7" s="1317"/>
      <c r="K7" s="1317"/>
      <c r="L7" s="1317"/>
    </row>
    <row r="8" spans="1:23" ht="14.25" x14ac:dyDescent="0.2">
      <c r="A8" s="835">
        <v>4</v>
      </c>
      <c r="B8" s="418" t="s">
        <v>1</v>
      </c>
      <c r="C8" s="418"/>
      <c r="D8" s="401"/>
      <c r="E8" s="424"/>
      <c r="F8" s="784"/>
      <c r="G8" s="784"/>
      <c r="H8" s="784"/>
      <c r="I8" s="401"/>
      <c r="J8" s="401"/>
      <c r="K8" s="401"/>
      <c r="L8" s="401"/>
    </row>
    <row r="9" spans="1:23" s="401" customFormat="1" ht="12.75" x14ac:dyDescent="0.2">
      <c r="A9" s="835"/>
      <c r="B9" s="1791"/>
      <c r="C9" s="1791"/>
      <c r="D9" s="1098" t="s">
        <v>103</v>
      </c>
      <c r="E9" s="1098" t="s">
        <v>1515</v>
      </c>
      <c r="F9" s="1076"/>
      <c r="G9" s="1076"/>
      <c r="H9" s="1076"/>
      <c r="I9" s="977"/>
      <c r="J9" s="977"/>
      <c r="K9" s="977"/>
      <c r="L9" s="977"/>
    </row>
    <row r="10" spans="1:23" s="401" customFormat="1" ht="12.75" x14ac:dyDescent="0.2">
      <c r="A10" s="835"/>
      <c r="B10" s="1791"/>
      <c r="C10" s="1791"/>
      <c r="D10" s="2995"/>
      <c r="E10" s="770"/>
      <c r="F10" s="770"/>
      <c r="G10" s="770">
        <v>2000</v>
      </c>
      <c r="H10" s="770">
        <v>2001</v>
      </c>
      <c r="I10" s="770">
        <v>2002</v>
      </c>
      <c r="J10" s="770">
        <v>2003</v>
      </c>
      <c r="K10" s="770">
        <v>2004</v>
      </c>
      <c r="L10" s="800">
        <v>2005</v>
      </c>
      <c r="M10" s="800">
        <v>2006</v>
      </c>
      <c r="N10" s="800">
        <v>2007</v>
      </c>
      <c r="O10" s="800">
        <v>2008</v>
      </c>
      <c r="P10" s="800">
        <v>2009</v>
      </c>
      <c r="Q10" s="800">
        <v>2010</v>
      </c>
      <c r="R10" s="800">
        <v>2011</v>
      </c>
      <c r="S10" s="800">
        <v>2012</v>
      </c>
      <c r="T10" s="800">
        <v>2013</v>
      </c>
      <c r="U10" s="800">
        <v>2014</v>
      </c>
      <c r="V10" s="800">
        <v>2015</v>
      </c>
      <c r="W10" s="1097">
        <v>2016</v>
      </c>
    </row>
    <row r="11" spans="1:23" s="1319" customFormat="1" ht="22.5" x14ac:dyDescent="0.2">
      <c r="A11" s="807"/>
      <c r="B11" s="1318"/>
      <c r="C11" s="1318"/>
      <c r="D11" s="3124" t="s">
        <v>1516</v>
      </c>
      <c r="E11" s="795"/>
      <c r="F11" s="795"/>
      <c r="G11" s="795">
        <v>0.75800000000000001</v>
      </c>
      <c r="H11" s="795">
        <v>0.79500000000000004</v>
      </c>
      <c r="I11" s="795">
        <v>0.80900000000000005</v>
      </c>
      <c r="J11" s="795">
        <v>0.81100000000000005</v>
      </c>
      <c r="K11" s="795">
        <v>0.83099999999999996</v>
      </c>
      <c r="L11" s="795">
        <v>0.90200000000000002</v>
      </c>
      <c r="M11" s="795">
        <v>0.83399999999999996</v>
      </c>
      <c r="N11" s="795">
        <v>0.84899999999999998</v>
      </c>
      <c r="O11" s="795">
        <v>0.90500000000000003</v>
      </c>
      <c r="P11" s="795">
        <v>0.94399999999999995</v>
      </c>
      <c r="Q11" s="795">
        <v>0.88100000000000001</v>
      </c>
      <c r="R11" s="795">
        <v>0.90800000000000003</v>
      </c>
      <c r="S11" s="795">
        <v>0.84</v>
      </c>
      <c r="T11" s="795">
        <v>0.84099999999999997</v>
      </c>
      <c r="U11" s="795">
        <v>0.875</v>
      </c>
      <c r="V11" s="795">
        <v>0.91700000000000004</v>
      </c>
      <c r="W11" s="2798">
        <v>0.81899999999999995</v>
      </c>
    </row>
    <row r="12" spans="1:23" s="401" customFormat="1" ht="12.75" x14ac:dyDescent="0.2">
      <c r="A12" s="835"/>
      <c r="B12" s="1422"/>
      <c r="C12" s="1422"/>
      <c r="D12" s="432"/>
      <c r="E12" s="432"/>
      <c r="F12" s="432"/>
      <c r="G12" s="432"/>
      <c r="H12" s="432"/>
      <c r="I12" s="432"/>
      <c r="J12" s="432"/>
      <c r="K12" s="432"/>
    </row>
    <row r="13" spans="1:23" ht="14.25" x14ac:dyDescent="0.2">
      <c r="A13" s="835">
        <v>5</v>
      </c>
      <c r="B13" s="835" t="s">
        <v>77</v>
      </c>
      <c r="C13" s="835"/>
    </row>
    <row r="14" spans="1:23" x14ac:dyDescent="0.2">
      <c r="D14" s="977" t="s">
        <v>93</v>
      </c>
      <c r="E14" s="2254" t="s">
        <v>1517</v>
      </c>
      <c r="F14" s="2255"/>
      <c r="G14" s="2255"/>
      <c r="H14" s="2256"/>
      <c r="I14" s="2256"/>
      <c r="J14" s="2256"/>
      <c r="K14" s="2256"/>
      <c r="L14" s="2256"/>
      <c r="M14" s="2256"/>
      <c r="N14" s="2256"/>
      <c r="O14" s="2256"/>
      <c r="P14" s="2256"/>
      <c r="Q14" s="2257"/>
    </row>
    <row r="15" spans="1:23" x14ac:dyDescent="0.2">
      <c r="D15" s="2953" t="s">
        <v>54</v>
      </c>
      <c r="E15" s="2258"/>
      <c r="F15" s="2259"/>
      <c r="G15" s="2259"/>
      <c r="H15" s="770">
        <v>2001</v>
      </c>
      <c r="I15" s="770">
        <v>2002</v>
      </c>
      <c r="J15" s="770">
        <v>2003</v>
      </c>
      <c r="K15" s="770">
        <v>2004</v>
      </c>
      <c r="L15" s="800">
        <v>2005</v>
      </c>
      <c r="M15" s="800">
        <v>2006</v>
      </c>
      <c r="N15" s="800">
        <v>2007</v>
      </c>
      <c r="O15" s="800">
        <v>2008</v>
      </c>
      <c r="P15" s="800">
        <v>2009</v>
      </c>
      <c r="Q15" s="800">
        <v>2010</v>
      </c>
      <c r="R15" s="800">
        <v>2011</v>
      </c>
      <c r="S15" s="800">
        <v>2012</v>
      </c>
      <c r="T15" s="800">
        <v>2013</v>
      </c>
      <c r="U15" s="800">
        <v>2014</v>
      </c>
      <c r="V15" s="800">
        <v>2015</v>
      </c>
      <c r="W15" s="1097">
        <v>2016</v>
      </c>
    </row>
    <row r="16" spans="1:23" x14ac:dyDescent="0.2">
      <c r="D16" s="2955" t="s">
        <v>415</v>
      </c>
      <c r="E16" s="2257"/>
      <c r="F16" s="2257"/>
      <c r="G16" s="2257"/>
      <c r="H16" s="2257">
        <v>65</v>
      </c>
      <c r="I16" s="2257">
        <v>66.3</v>
      </c>
      <c r="J16" s="2257">
        <v>71.7</v>
      </c>
      <c r="K16" s="2257">
        <v>70.900000000000006</v>
      </c>
      <c r="L16" s="2257">
        <v>75.8</v>
      </c>
      <c r="M16" s="2257">
        <v>76.5</v>
      </c>
      <c r="N16" s="2257">
        <v>78.2</v>
      </c>
      <c r="O16" s="2257">
        <v>80.3</v>
      </c>
      <c r="P16" s="2257">
        <v>88.3</v>
      </c>
      <c r="Q16" s="1486">
        <v>81.109677419354838</v>
      </c>
      <c r="R16" s="1486">
        <v>81.5</v>
      </c>
      <c r="S16" s="1486">
        <v>73.556675773095535</v>
      </c>
      <c r="T16" s="1486">
        <v>72.076375591107819</v>
      </c>
      <c r="U16" s="1486">
        <v>78</v>
      </c>
      <c r="V16" s="1486">
        <v>87.1</v>
      </c>
      <c r="W16" s="2799">
        <v>79.067736641623625</v>
      </c>
    </row>
    <row r="17" spans="2:23" x14ac:dyDescent="0.2">
      <c r="D17" s="2955" t="s">
        <v>417</v>
      </c>
      <c r="E17" s="2257"/>
      <c r="F17" s="2257"/>
      <c r="G17" s="2257"/>
      <c r="H17" s="2257">
        <v>68.3</v>
      </c>
      <c r="I17" s="2257">
        <v>68.8</v>
      </c>
      <c r="J17" s="2257">
        <v>68.099999999999994</v>
      </c>
      <c r="K17" s="2257">
        <v>70.7</v>
      </c>
      <c r="L17" s="2257">
        <v>78.2</v>
      </c>
      <c r="M17" s="2257">
        <v>79.5</v>
      </c>
      <c r="N17" s="2257">
        <v>78.099999999999994</v>
      </c>
      <c r="O17" s="2257">
        <v>83.1</v>
      </c>
      <c r="P17" s="2257">
        <v>86.7</v>
      </c>
      <c r="Q17" s="1486">
        <v>82.272968849114505</v>
      </c>
      <c r="R17" s="1486">
        <v>90.8</v>
      </c>
      <c r="S17" s="1486">
        <v>96.11655894807221</v>
      </c>
      <c r="T17" s="1486">
        <v>88.831501762454991</v>
      </c>
      <c r="U17" s="1486">
        <v>88.3</v>
      </c>
      <c r="V17" s="1486">
        <v>87.2</v>
      </c>
      <c r="W17" s="2799">
        <v>80.457175109355163</v>
      </c>
    </row>
    <row r="18" spans="2:23" x14ac:dyDescent="0.2">
      <c r="B18" s="1361"/>
      <c r="C18" s="1361"/>
      <c r="D18" s="2955" t="s">
        <v>420</v>
      </c>
      <c r="E18" s="2257"/>
      <c r="F18" s="2257"/>
      <c r="G18" s="2257"/>
      <c r="H18" s="2257">
        <v>64.3</v>
      </c>
      <c r="I18" s="2257">
        <v>66.5</v>
      </c>
      <c r="J18" s="2257">
        <v>70.400000000000006</v>
      </c>
      <c r="K18" s="2257">
        <v>75.2</v>
      </c>
      <c r="L18" s="2257">
        <v>91.8</v>
      </c>
      <c r="M18" s="2257">
        <v>101.1</v>
      </c>
      <c r="N18" s="2257">
        <v>105.5</v>
      </c>
      <c r="O18" s="2257">
        <v>112.6</v>
      </c>
      <c r="P18" s="2257">
        <v>115.7</v>
      </c>
      <c r="Q18" s="1486">
        <v>110.0182960782754</v>
      </c>
      <c r="R18" s="1486">
        <v>115.4</v>
      </c>
      <c r="S18" s="1486">
        <v>102.73029124371502</v>
      </c>
      <c r="T18" s="1486">
        <v>107.6547725076273</v>
      </c>
      <c r="U18" s="1486">
        <v>105.7</v>
      </c>
      <c r="V18" s="1486">
        <v>108.6</v>
      </c>
      <c r="W18" s="2799">
        <v>97.771693043309455</v>
      </c>
    </row>
    <row r="19" spans="2:23" x14ac:dyDescent="0.2">
      <c r="D19" s="2955" t="s">
        <v>418</v>
      </c>
      <c r="E19" s="2257"/>
      <c r="F19" s="2257"/>
      <c r="G19" s="2257"/>
      <c r="H19" s="2257">
        <v>62.6</v>
      </c>
      <c r="I19" s="2257">
        <v>62.6</v>
      </c>
      <c r="J19" s="2257">
        <v>62.8</v>
      </c>
      <c r="K19" s="2257">
        <v>61.9</v>
      </c>
      <c r="L19" s="2257">
        <v>66.5</v>
      </c>
      <c r="M19" s="2257">
        <v>77.3</v>
      </c>
      <c r="N19" s="2257">
        <v>77.900000000000006</v>
      </c>
      <c r="O19" s="2257">
        <v>82.1</v>
      </c>
      <c r="P19" s="2257">
        <v>85.7</v>
      </c>
      <c r="Q19" s="1486">
        <v>82.480903875739514</v>
      </c>
      <c r="R19" s="1486">
        <v>97</v>
      </c>
      <c r="S19" s="1486">
        <v>86.628510872719161</v>
      </c>
      <c r="T19" s="1486">
        <v>86.061907545299746</v>
      </c>
      <c r="U19" s="1486">
        <v>88.1</v>
      </c>
      <c r="V19" s="1486">
        <v>89.8</v>
      </c>
      <c r="W19" s="2799">
        <v>81.510678264629959</v>
      </c>
    </row>
    <row r="20" spans="2:23" x14ac:dyDescent="0.2">
      <c r="D20" s="2955" t="s">
        <v>422</v>
      </c>
      <c r="E20" s="2257"/>
      <c r="F20" s="2257"/>
      <c r="G20" s="2257"/>
      <c r="H20" s="2257">
        <v>72.2</v>
      </c>
      <c r="I20" s="2257">
        <v>78.900000000000006</v>
      </c>
      <c r="J20" s="2257">
        <v>77.400000000000006</v>
      </c>
      <c r="K20" s="2257">
        <v>76.400000000000006</v>
      </c>
      <c r="L20" s="2257">
        <v>81.2</v>
      </c>
      <c r="M20" s="2257">
        <v>88.6</v>
      </c>
      <c r="N20" s="2257">
        <v>82.1</v>
      </c>
      <c r="O20" s="2257">
        <v>90.7</v>
      </c>
      <c r="P20" s="2257">
        <v>98.3</v>
      </c>
      <c r="Q20" s="1486">
        <v>93.962403842681212</v>
      </c>
      <c r="R20" s="1486">
        <v>95.9</v>
      </c>
      <c r="S20" s="1486">
        <v>72.233731547984263</v>
      </c>
      <c r="T20" s="1486">
        <v>68.838794952726957</v>
      </c>
      <c r="U20" s="1486">
        <v>79.900000000000006</v>
      </c>
      <c r="V20" s="1486">
        <v>81.599999999999994</v>
      </c>
      <c r="W20" s="2799">
        <v>65.282435088012704</v>
      </c>
    </row>
    <row r="21" spans="2:23" x14ac:dyDescent="0.2">
      <c r="D21" s="2955" t="s">
        <v>421</v>
      </c>
      <c r="E21" s="2257"/>
      <c r="F21" s="2257"/>
      <c r="G21" s="2257"/>
      <c r="H21" s="2257">
        <v>62.2</v>
      </c>
      <c r="I21" s="2257">
        <v>62.5</v>
      </c>
      <c r="J21" s="2257">
        <v>65.5</v>
      </c>
      <c r="K21" s="2257">
        <v>68.8</v>
      </c>
      <c r="L21" s="2257">
        <v>77.2</v>
      </c>
      <c r="M21" s="2257">
        <v>81.3</v>
      </c>
      <c r="N21" s="2257">
        <v>87.7</v>
      </c>
      <c r="O21" s="2257">
        <v>86.2</v>
      </c>
      <c r="P21" s="2257">
        <v>90.8</v>
      </c>
      <c r="Q21" s="1486">
        <v>74.171632896305127</v>
      </c>
      <c r="R21" s="1486">
        <v>71.900000000000006</v>
      </c>
      <c r="S21" s="1486">
        <v>65.753953352526395</v>
      </c>
      <c r="T21" s="1486">
        <v>70.899509701211073</v>
      </c>
      <c r="U21" s="1486">
        <v>76.400000000000006</v>
      </c>
      <c r="V21" s="1486">
        <v>87.6</v>
      </c>
      <c r="W21" s="2799">
        <v>79.762500457668693</v>
      </c>
    </row>
    <row r="22" spans="2:23" x14ac:dyDescent="0.2">
      <c r="D22" s="2955" t="s">
        <v>419</v>
      </c>
      <c r="E22" s="2257"/>
      <c r="F22" s="2257"/>
      <c r="G22" s="2257"/>
      <c r="H22" s="2257">
        <v>73.7</v>
      </c>
      <c r="I22" s="1486">
        <v>66</v>
      </c>
      <c r="J22" s="2257">
        <v>65.099999999999994</v>
      </c>
      <c r="K22" s="2257">
        <v>66.5</v>
      </c>
      <c r="L22" s="2257">
        <v>72.400000000000006</v>
      </c>
      <c r="M22" s="2257">
        <v>69.599999999999994</v>
      </c>
      <c r="N22" s="1486">
        <v>74</v>
      </c>
      <c r="O22" s="1486">
        <v>93</v>
      </c>
      <c r="P22" s="2257">
        <v>85.8</v>
      </c>
      <c r="Q22" s="1486">
        <v>85.08250625961567</v>
      </c>
      <c r="R22" s="1486">
        <v>81.400000000000006</v>
      </c>
      <c r="S22" s="1486">
        <v>72.50851872804536</v>
      </c>
      <c r="T22" s="1486">
        <v>73.068549885838692</v>
      </c>
      <c r="U22" s="1486">
        <v>79.3</v>
      </c>
      <c r="V22" s="1486">
        <v>85.2</v>
      </c>
      <c r="W22" s="2799">
        <v>78.716186448145208</v>
      </c>
    </row>
    <row r="23" spans="2:23" x14ac:dyDescent="0.2">
      <c r="D23" s="2955" t="s">
        <v>416</v>
      </c>
      <c r="E23" s="2257"/>
      <c r="F23" s="2257"/>
      <c r="G23" s="2257"/>
      <c r="H23" s="2257">
        <v>70</v>
      </c>
      <c r="I23" s="2257">
        <v>69.7</v>
      </c>
      <c r="J23" s="2257">
        <v>72.900000000000006</v>
      </c>
      <c r="K23" s="2257">
        <v>76.099999999999994</v>
      </c>
      <c r="L23" s="2257">
        <v>81.3</v>
      </c>
      <c r="M23" s="2257">
        <v>87.8</v>
      </c>
      <c r="N23" s="2257">
        <v>91.1</v>
      </c>
      <c r="O23" s="2257">
        <v>91.6</v>
      </c>
      <c r="P23" s="2257">
        <v>97.6</v>
      </c>
      <c r="Q23" s="1486">
        <v>88.182278015358435</v>
      </c>
      <c r="R23" s="1486">
        <v>94.1</v>
      </c>
      <c r="S23" s="1486">
        <v>87.4850422942026</v>
      </c>
      <c r="T23" s="1486">
        <v>85.912722802704366</v>
      </c>
      <c r="U23" s="1486">
        <v>83.8</v>
      </c>
      <c r="V23" s="1486">
        <v>84.3</v>
      </c>
      <c r="W23" s="2799">
        <v>74.517169689583483</v>
      </c>
    </row>
    <row r="24" spans="2:23" x14ac:dyDescent="0.2">
      <c r="D24" s="3124" t="s">
        <v>414</v>
      </c>
      <c r="E24" s="2256"/>
      <c r="F24" s="2256"/>
      <c r="G24" s="2256"/>
      <c r="H24" s="2256">
        <v>71.099999999999994</v>
      </c>
      <c r="I24" s="2256">
        <v>73.3</v>
      </c>
      <c r="J24" s="2256">
        <v>75.900000000000006</v>
      </c>
      <c r="K24" s="2256">
        <v>78.400000000000006</v>
      </c>
      <c r="L24" s="2256">
        <v>84.4</v>
      </c>
      <c r="M24" s="2256">
        <v>95.3</v>
      </c>
      <c r="N24" s="2256">
        <v>99.8</v>
      </c>
      <c r="O24" s="2256">
        <v>100.9</v>
      </c>
      <c r="P24" s="2256">
        <v>104.2</v>
      </c>
      <c r="Q24" s="1487">
        <v>94.079359624830715</v>
      </c>
      <c r="R24" s="1487">
        <v>88.7</v>
      </c>
      <c r="S24" s="1487">
        <v>88.619656956166622</v>
      </c>
      <c r="T24" s="1487">
        <v>86.143095220059081</v>
      </c>
      <c r="U24" s="1487">
        <v>88.4</v>
      </c>
      <c r="V24" s="1487">
        <v>92.9</v>
      </c>
      <c r="W24" s="2800">
        <v>83.129104394548051</v>
      </c>
    </row>
    <row r="25" spans="2:23" x14ac:dyDescent="0.2">
      <c r="D25" s="798"/>
      <c r="E25" s="2257"/>
      <c r="F25" s="2257"/>
      <c r="G25" s="2257"/>
      <c r="H25" s="2257"/>
      <c r="I25" s="2257"/>
      <c r="J25" s="2257"/>
      <c r="K25" s="2257"/>
      <c r="L25" s="2257"/>
      <c r="M25" s="2257"/>
      <c r="N25" s="2257"/>
      <c r="O25" s="2257"/>
      <c r="P25" s="2257"/>
      <c r="Q25" s="2257"/>
    </row>
    <row r="26" spans="2:23" x14ac:dyDescent="0.2">
      <c r="D26" s="798"/>
      <c r="E26" s="2257"/>
      <c r="F26" s="2257"/>
      <c r="G26" s="2257"/>
      <c r="H26" s="2257"/>
      <c r="I26" s="2257"/>
      <c r="J26" s="2257"/>
      <c r="K26" s="2257"/>
      <c r="L26" s="2257"/>
      <c r="M26" s="2257"/>
      <c r="N26" s="2257"/>
      <c r="O26" s="2257"/>
      <c r="P26" s="2257"/>
      <c r="Q26" s="2257"/>
    </row>
    <row r="27" spans="2:23" x14ac:dyDescent="0.2">
      <c r="D27" s="798"/>
      <c r="E27" s="2257"/>
      <c r="F27" s="2257"/>
      <c r="G27" s="2257"/>
      <c r="H27" s="2257"/>
      <c r="I27" s="2257"/>
      <c r="J27" s="2257"/>
      <c r="K27" s="2257"/>
      <c r="L27" s="2257"/>
      <c r="M27" s="2257"/>
      <c r="N27" s="2257"/>
      <c r="O27" s="2257"/>
      <c r="P27" s="2257"/>
      <c r="Q27" s="2257"/>
    </row>
    <row r="28" spans="2:23" x14ac:dyDescent="0.2">
      <c r="D28" s="798"/>
      <c r="E28" s="2257"/>
      <c r="F28" s="2257"/>
      <c r="G28" s="2257"/>
      <c r="H28" s="2257"/>
      <c r="I28" s="2257"/>
      <c r="J28" s="2257"/>
      <c r="K28" s="2257"/>
      <c r="L28" s="2257"/>
      <c r="M28" s="2257"/>
      <c r="N28" s="2257"/>
      <c r="O28" s="2257"/>
      <c r="P28" s="2257"/>
      <c r="Q28" s="2257"/>
    </row>
    <row r="29" spans="2:23" x14ac:dyDescent="0.2">
      <c r="D29" s="798"/>
      <c r="E29" s="2257"/>
      <c r="F29" s="2257"/>
      <c r="G29" s="2257"/>
      <c r="H29" s="2257"/>
      <c r="I29" s="2257"/>
      <c r="J29" s="2257"/>
      <c r="K29" s="2257"/>
      <c r="L29" s="2257"/>
      <c r="M29" s="2257"/>
      <c r="N29" s="2257"/>
      <c r="O29" s="2257"/>
      <c r="P29" s="2257"/>
      <c r="Q29" s="2257"/>
    </row>
    <row r="30" spans="2:23" x14ac:dyDescent="0.2">
      <c r="D30" s="798"/>
      <c r="E30" s="2257"/>
      <c r="F30" s="2257"/>
      <c r="G30" s="2257"/>
      <c r="H30" s="2257"/>
      <c r="I30" s="2257"/>
      <c r="J30" s="2257"/>
      <c r="K30" s="2257"/>
      <c r="L30" s="2257"/>
      <c r="M30" s="2257"/>
      <c r="N30" s="2257"/>
      <c r="O30" s="2257"/>
      <c r="P30" s="2257"/>
      <c r="Q30" s="2257"/>
    </row>
    <row r="31" spans="2:23" x14ac:dyDescent="0.2">
      <c r="D31" s="798"/>
      <c r="E31" s="2257"/>
      <c r="F31" s="2257"/>
      <c r="G31" s="2257"/>
      <c r="H31" s="2257"/>
      <c r="I31" s="2257"/>
      <c r="J31" s="2257"/>
      <c r="K31" s="2257"/>
      <c r="L31" s="2257"/>
      <c r="M31" s="2257"/>
      <c r="N31" s="2257"/>
      <c r="O31" s="2257"/>
      <c r="P31" s="2257"/>
      <c r="Q31" s="2257"/>
    </row>
    <row r="32" spans="2:23" x14ac:dyDescent="0.2">
      <c r="D32" s="798"/>
      <c r="E32" s="2257"/>
      <c r="F32" s="2257"/>
      <c r="G32" s="2257"/>
      <c r="H32" s="2257"/>
      <c r="I32" s="2257"/>
      <c r="J32" s="2257"/>
      <c r="K32" s="2257"/>
      <c r="L32" s="2257"/>
      <c r="M32" s="2257"/>
      <c r="N32" s="2257"/>
      <c r="O32" s="2257"/>
      <c r="P32" s="2257"/>
      <c r="Q32" s="2257"/>
    </row>
    <row r="33" spans="1:23" x14ac:dyDescent="0.2">
      <c r="D33" s="798"/>
      <c r="E33" s="2257"/>
      <c r="F33" s="2257"/>
      <c r="G33" s="2257"/>
      <c r="H33" s="2257"/>
      <c r="I33" s="2257"/>
      <c r="J33" s="2257"/>
      <c r="K33" s="2257"/>
      <c r="L33" s="2257"/>
      <c r="M33" s="2257"/>
      <c r="N33" s="2257"/>
      <c r="O33" s="2257"/>
      <c r="P33" s="2257"/>
      <c r="Q33" s="2257"/>
    </row>
    <row r="34" spans="1:23" x14ac:dyDescent="0.2">
      <c r="D34" s="798"/>
      <c r="E34" s="2257"/>
      <c r="F34" s="2257"/>
      <c r="G34" s="2257"/>
      <c r="H34" s="2257"/>
      <c r="I34" s="2257"/>
      <c r="J34" s="2257"/>
      <c r="K34" s="2257"/>
      <c r="L34" s="2257"/>
      <c r="M34" s="2257"/>
      <c r="N34" s="2257"/>
      <c r="O34" s="2257"/>
      <c r="P34" s="2257"/>
      <c r="Q34" s="2257"/>
    </row>
    <row r="35" spans="1:23" x14ac:dyDescent="0.2">
      <c r="D35" s="798"/>
      <c r="E35" s="2257"/>
      <c r="F35" s="2257"/>
      <c r="G35" s="2257"/>
      <c r="H35" s="2257"/>
      <c r="I35" s="2257"/>
      <c r="J35" s="2257"/>
      <c r="K35" s="2257"/>
      <c r="L35" s="2257"/>
      <c r="M35" s="2257"/>
      <c r="N35" s="2257"/>
      <c r="O35" s="2257"/>
      <c r="P35" s="2257"/>
      <c r="Q35" s="2257"/>
    </row>
    <row r="37" spans="1:23" ht="15" customHeight="1" x14ac:dyDescent="0.2">
      <c r="A37" s="835">
        <v>6</v>
      </c>
      <c r="B37" s="835" t="s">
        <v>78</v>
      </c>
      <c r="C37" s="835"/>
      <c r="D37" s="3615" t="s">
        <v>398</v>
      </c>
      <c r="E37" s="3616"/>
      <c r="F37" s="3616"/>
      <c r="G37" s="3616"/>
      <c r="H37" s="3616"/>
      <c r="I37" s="3616"/>
      <c r="J37" s="3616"/>
      <c r="K37" s="3616"/>
      <c r="L37" s="3616"/>
      <c r="M37" s="3616"/>
      <c r="N37" s="3616"/>
      <c r="O37" s="3616"/>
      <c r="P37" s="3616"/>
      <c r="Q37" s="3616"/>
      <c r="R37" s="3616"/>
      <c r="S37" s="3616"/>
      <c r="T37" s="3616"/>
      <c r="U37" s="3616"/>
      <c r="V37" s="3616"/>
      <c r="W37" s="3617"/>
    </row>
    <row r="38" spans="1:23" ht="30.75" customHeight="1" x14ac:dyDescent="0.2">
      <c r="A38" s="963">
        <v>7</v>
      </c>
      <c r="B38" s="963" t="s">
        <v>80</v>
      </c>
      <c r="C38" s="963"/>
      <c r="D38" s="3793" t="s">
        <v>1518</v>
      </c>
      <c r="E38" s="3794"/>
      <c r="F38" s="3794"/>
      <c r="G38" s="3794"/>
      <c r="H38" s="3794"/>
      <c r="I38" s="3794"/>
      <c r="J38" s="3794"/>
      <c r="K38" s="3794"/>
      <c r="L38" s="3794"/>
      <c r="M38" s="3794"/>
      <c r="N38" s="3794"/>
      <c r="O38" s="3794"/>
      <c r="P38" s="3794"/>
      <c r="Q38" s="3794"/>
      <c r="R38" s="3794"/>
      <c r="S38" s="3794"/>
      <c r="T38" s="3794"/>
      <c r="U38" s="3794"/>
      <c r="V38" s="3794"/>
      <c r="W38" s="3795"/>
    </row>
    <row r="39" spans="1:23" ht="15" customHeight="1" x14ac:dyDescent="0.2">
      <c r="A39" s="835">
        <v>8</v>
      </c>
      <c r="B39" s="835" t="s">
        <v>20</v>
      </c>
      <c r="C39" s="835"/>
      <c r="D39" s="3629" t="s">
        <v>1882</v>
      </c>
      <c r="E39" s="3630"/>
      <c r="F39" s="3630"/>
      <c r="G39" s="3630"/>
      <c r="H39" s="3630"/>
      <c r="I39" s="3630"/>
      <c r="J39" s="3630"/>
      <c r="K39" s="3630"/>
      <c r="L39" s="3630"/>
      <c r="M39" s="3630"/>
      <c r="N39" s="3630"/>
      <c r="O39" s="3630"/>
      <c r="P39" s="3630"/>
      <c r="Q39" s="3630"/>
      <c r="R39" s="3630"/>
      <c r="S39" s="3630"/>
      <c r="T39" s="3630"/>
      <c r="U39" s="3630"/>
      <c r="V39" s="3630"/>
      <c r="W39" s="3631"/>
    </row>
    <row r="40" spans="1:23" ht="15" customHeight="1" x14ac:dyDescent="0.2">
      <c r="A40" s="835">
        <v>9</v>
      </c>
      <c r="B40" s="835" t="s">
        <v>22</v>
      </c>
      <c r="C40" s="835"/>
      <c r="D40" s="3629" t="s">
        <v>1519</v>
      </c>
      <c r="E40" s="3630"/>
      <c r="F40" s="3630"/>
      <c r="G40" s="3630"/>
      <c r="H40" s="3630"/>
      <c r="I40" s="3630"/>
      <c r="J40" s="3630"/>
      <c r="K40" s="3630"/>
      <c r="L40" s="3630"/>
      <c r="M40" s="3630"/>
      <c r="N40" s="3630"/>
      <c r="O40" s="3630"/>
      <c r="P40" s="3630"/>
      <c r="Q40" s="3630"/>
      <c r="R40" s="3630"/>
      <c r="S40" s="3630"/>
      <c r="T40" s="3630"/>
      <c r="U40" s="3630"/>
      <c r="V40" s="3630"/>
      <c r="W40" s="3631"/>
    </row>
  </sheetData>
  <mergeCells count="9">
    <mergeCell ref="D38:W38"/>
    <mergeCell ref="D39:W39"/>
    <mergeCell ref="D40:W40"/>
    <mergeCell ref="D2:W2"/>
    <mergeCell ref="D3:W3"/>
    <mergeCell ref="D4:W4"/>
    <mergeCell ref="D5:W5"/>
    <mergeCell ref="D6:W6"/>
    <mergeCell ref="D37:W37"/>
  </mergeCells>
  <pageMargins left="0.74803149606299213" right="0.74803149606299213" top="0.98425196850393704" bottom="0.98425196850393704" header="0.51181102362204722" footer="0.51181102362204722"/>
  <pageSetup paperSize="9" scale="7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V36"/>
  <sheetViews>
    <sheetView showGridLines="0" view="pageBreakPreview" topLeftCell="A5" zoomScaleNormal="100" zoomScaleSheetLayoutView="100" workbookViewId="0">
      <selection activeCell="T30" sqref="T30"/>
    </sheetView>
  </sheetViews>
  <sheetFormatPr defaultColWidth="9.140625" defaultRowHeight="15" x14ac:dyDescent="0.2"/>
  <cols>
    <col min="1" max="1" width="3.7109375" style="965" customWidth="1"/>
    <col min="2" max="2" width="14.42578125" style="2253" customWidth="1"/>
    <col min="3" max="3" width="3.7109375" style="2253" customWidth="1"/>
    <col min="4" max="5" width="8.42578125" style="964" customWidth="1"/>
    <col min="6" max="11" width="8.140625" style="964" customWidth="1"/>
    <col min="12" max="256" width="9.140625" style="964"/>
    <col min="257" max="257" width="3.7109375" style="964" customWidth="1"/>
    <col min="258" max="258" width="14.42578125" style="964" customWidth="1"/>
    <col min="259" max="259" width="3.7109375" style="964" customWidth="1"/>
    <col min="260" max="261" width="8.42578125" style="964" customWidth="1"/>
    <col min="262" max="267" width="8.140625" style="964" customWidth="1"/>
    <col min="268" max="512" width="9.140625" style="964"/>
    <col min="513" max="513" width="3.7109375" style="964" customWidth="1"/>
    <col min="514" max="514" width="14.42578125" style="964" customWidth="1"/>
    <col min="515" max="515" width="3.7109375" style="964" customWidth="1"/>
    <col min="516" max="517" width="8.42578125" style="964" customWidth="1"/>
    <col min="518" max="523" width="8.140625" style="964" customWidth="1"/>
    <col min="524" max="768" width="9.140625" style="964"/>
    <col min="769" max="769" width="3.7109375" style="964" customWidth="1"/>
    <col min="770" max="770" width="14.42578125" style="964" customWidth="1"/>
    <col min="771" max="771" width="3.7109375" style="964" customWidth="1"/>
    <col min="772" max="773" width="8.42578125" style="964" customWidth="1"/>
    <col min="774" max="779" width="8.140625" style="964" customWidth="1"/>
    <col min="780" max="1024" width="9.140625" style="964"/>
    <col min="1025" max="1025" width="3.7109375" style="964" customWidth="1"/>
    <col min="1026" max="1026" width="14.42578125" style="964" customWidth="1"/>
    <col min="1027" max="1027" width="3.7109375" style="964" customWidth="1"/>
    <col min="1028" max="1029" width="8.42578125" style="964" customWidth="1"/>
    <col min="1030" max="1035" width="8.140625" style="964" customWidth="1"/>
    <col min="1036" max="1280" width="9.140625" style="964"/>
    <col min="1281" max="1281" width="3.7109375" style="964" customWidth="1"/>
    <col min="1282" max="1282" width="14.42578125" style="964" customWidth="1"/>
    <col min="1283" max="1283" width="3.7109375" style="964" customWidth="1"/>
    <col min="1284" max="1285" width="8.42578125" style="964" customWidth="1"/>
    <col min="1286" max="1291" width="8.140625" style="964" customWidth="1"/>
    <col min="1292" max="1536" width="9.140625" style="964"/>
    <col min="1537" max="1537" width="3.7109375" style="964" customWidth="1"/>
    <col min="1538" max="1538" width="14.42578125" style="964" customWidth="1"/>
    <col min="1539" max="1539" width="3.7109375" style="964" customWidth="1"/>
    <col min="1540" max="1541" width="8.42578125" style="964" customWidth="1"/>
    <col min="1542" max="1547" width="8.140625" style="964" customWidth="1"/>
    <col min="1548" max="1792" width="9.140625" style="964"/>
    <col min="1793" max="1793" width="3.7109375" style="964" customWidth="1"/>
    <col min="1794" max="1794" width="14.42578125" style="964" customWidth="1"/>
    <col min="1795" max="1795" width="3.7109375" style="964" customWidth="1"/>
    <col min="1796" max="1797" width="8.42578125" style="964" customWidth="1"/>
    <col min="1798" max="1803" width="8.140625" style="964" customWidth="1"/>
    <col min="1804" max="2048" width="9.140625" style="964"/>
    <col min="2049" max="2049" width="3.7109375" style="964" customWidth="1"/>
    <col min="2050" max="2050" width="14.42578125" style="964" customWidth="1"/>
    <col min="2051" max="2051" width="3.7109375" style="964" customWidth="1"/>
    <col min="2052" max="2053" width="8.42578125" style="964" customWidth="1"/>
    <col min="2054" max="2059" width="8.140625" style="964" customWidth="1"/>
    <col min="2060" max="2304" width="9.140625" style="964"/>
    <col min="2305" max="2305" width="3.7109375" style="964" customWidth="1"/>
    <col min="2306" max="2306" width="14.42578125" style="964" customWidth="1"/>
    <col min="2307" max="2307" width="3.7109375" style="964" customWidth="1"/>
    <col min="2308" max="2309" width="8.42578125" style="964" customWidth="1"/>
    <col min="2310" max="2315" width="8.140625" style="964" customWidth="1"/>
    <col min="2316" max="2560" width="9.140625" style="964"/>
    <col min="2561" max="2561" width="3.7109375" style="964" customWidth="1"/>
    <col min="2562" max="2562" width="14.42578125" style="964" customWidth="1"/>
    <col min="2563" max="2563" width="3.7109375" style="964" customWidth="1"/>
    <col min="2564" max="2565" width="8.42578125" style="964" customWidth="1"/>
    <col min="2566" max="2571" width="8.140625" style="964" customWidth="1"/>
    <col min="2572" max="2816" width="9.140625" style="964"/>
    <col min="2817" max="2817" width="3.7109375" style="964" customWidth="1"/>
    <col min="2818" max="2818" width="14.42578125" style="964" customWidth="1"/>
    <col min="2819" max="2819" width="3.7109375" style="964" customWidth="1"/>
    <col min="2820" max="2821" width="8.42578125" style="964" customWidth="1"/>
    <col min="2822" max="2827" width="8.140625" style="964" customWidth="1"/>
    <col min="2828" max="3072" width="9.140625" style="964"/>
    <col min="3073" max="3073" width="3.7109375" style="964" customWidth="1"/>
    <col min="3074" max="3074" width="14.42578125" style="964" customWidth="1"/>
    <col min="3075" max="3075" width="3.7109375" style="964" customWidth="1"/>
    <col min="3076" max="3077" width="8.42578125" style="964" customWidth="1"/>
    <col min="3078" max="3083" width="8.140625" style="964" customWidth="1"/>
    <col min="3084" max="3328" width="9.140625" style="964"/>
    <col min="3329" max="3329" width="3.7109375" style="964" customWidth="1"/>
    <col min="3330" max="3330" width="14.42578125" style="964" customWidth="1"/>
    <col min="3331" max="3331" width="3.7109375" style="964" customWidth="1"/>
    <col min="3332" max="3333" width="8.42578125" style="964" customWidth="1"/>
    <col min="3334" max="3339" width="8.140625" style="964" customWidth="1"/>
    <col min="3340" max="3584" width="9.140625" style="964"/>
    <col min="3585" max="3585" width="3.7109375" style="964" customWidth="1"/>
    <col min="3586" max="3586" width="14.42578125" style="964" customWidth="1"/>
    <col min="3587" max="3587" width="3.7109375" style="964" customWidth="1"/>
    <col min="3588" max="3589" width="8.42578125" style="964" customWidth="1"/>
    <col min="3590" max="3595" width="8.140625" style="964" customWidth="1"/>
    <col min="3596" max="3840" width="9.140625" style="964"/>
    <col min="3841" max="3841" width="3.7109375" style="964" customWidth="1"/>
    <col min="3842" max="3842" width="14.42578125" style="964" customWidth="1"/>
    <col min="3843" max="3843" width="3.7109375" style="964" customWidth="1"/>
    <col min="3844" max="3845" width="8.42578125" style="964" customWidth="1"/>
    <col min="3846" max="3851" width="8.140625" style="964" customWidth="1"/>
    <col min="3852" max="4096" width="9.140625" style="964"/>
    <col min="4097" max="4097" width="3.7109375" style="964" customWidth="1"/>
    <col min="4098" max="4098" width="14.42578125" style="964" customWidth="1"/>
    <col min="4099" max="4099" width="3.7109375" style="964" customWidth="1"/>
    <col min="4100" max="4101" width="8.42578125" style="964" customWidth="1"/>
    <col min="4102" max="4107" width="8.140625" style="964" customWidth="1"/>
    <col min="4108" max="4352" width="9.140625" style="964"/>
    <col min="4353" max="4353" width="3.7109375" style="964" customWidth="1"/>
    <col min="4354" max="4354" width="14.42578125" style="964" customWidth="1"/>
    <col min="4355" max="4355" width="3.7109375" style="964" customWidth="1"/>
    <col min="4356" max="4357" width="8.42578125" style="964" customWidth="1"/>
    <col min="4358" max="4363" width="8.140625" style="964" customWidth="1"/>
    <col min="4364" max="4608" width="9.140625" style="964"/>
    <col min="4609" max="4609" width="3.7109375" style="964" customWidth="1"/>
    <col min="4610" max="4610" width="14.42578125" style="964" customWidth="1"/>
    <col min="4611" max="4611" width="3.7109375" style="964" customWidth="1"/>
    <col min="4612" max="4613" width="8.42578125" style="964" customWidth="1"/>
    <col min="4614" max="4619" width="8.140625" style="964" customWidth="1"/>
    <col min="4620" max="4864" width="9.140625" style="964"/>
    <col min="4865" max="4865" width="3.7109375" style="964" customWidth="1"/>
    <col min="4866" max="4866" width="14.42578125" style="964" customWidth="1"/>
    <col min="4867" max="4867" width="3.7109375" style="964" customWidth="1"/>
    <col min="4868" max="4869" width="8.42578125" style="964" customWidth="1"/>
    <col min="4870" max="4875" width="8.140625" style="964" customWidth="1"/>
    <col min="4876" max="5120" width="9.140625" style="964"/>
    <col min="5121" max="5121" width="3.7109375" style="964" customWidth="1"/>
    <col min="5122" max="5122" width="14.42578125" style="964" customWidth="1"/>
    <col min="5123" max="5123" width="3.7109375" style="964" customWidth="1"/>
    <col min="5124" max="5125" width="8.42578125" style="964" customWidth="1"/>
    <col min="5126" max="5131" width="8.140625" style="964" customWidth="1"/>
    <col min="5132" max="5376" width="9.140625" style="964"/>
    <col min="5377" max="5377" width="3.7109375" style="964" customWidth="1"/>
    <col min="5378" max="5378" width="14.42578125" style="964" customWidth="1"/>
    <col min="5379" max="5379" width="3.7109375" style="964" customWidth="1"/>
    <col min="5380" max="5381" width="8.42578125" style="964" customWidth="1"/>
    <col min="5382" max="5387" width="8.140625" style="964" customWidth="1"/>
    <col min="5388" max="5632" width="9.140625" style="964"/>
    <col min="5633" max="5633" width="3.7109375" style="964" customWidth="1"/>
    <col min="5634" max="5634" width="14.42578125" style="964" customWidth="1"/>
    <col min="5635" max="5635" width="3.7109375" style="964" customWidth="1"/>
    <col min="5636" max="5637" width="8.42578125" style="964" customWidth="1"/>
    <col min="5638" max="5643" width="8.140625" style="964" customWidth="1"/>
    <col min="5644" max="5888" width="9.140625" style="964"/>
    <col min="5889" max="5889" width="3.7109375" style="964" customWidth="1"/>
    <col min="5890" max="5890" width="14.42578125" style="964" customWidth="1"/>
    <col min="5891" max="5891" width="3.7109375" style="964" customWidth="1"/>
    <col min="5892" max="5893" width="8.42578125" style="964" customWidth="1"/>
    <col min="5894" max="5899" width="8.140625" style="964" customWidth="1"/>
    <col min="5900" max="6144" width="9.140625" style="964"/>
    <col min="6145" max="6145" width="3.7109375" style="964" customWidth="1"/>
    <col min="6146" max="6146" width="14.42578125" style="964" customWidth="1"/>
    <col min="6147" max="6147" width="3.7109375" style="964" customWidth="1"/>
    <col min="6148" max="6149" width="8.42578125" style="964" customWidth="1"/>
    <col min="6150" max="6155" width="8.140625" style="964" customWidth="1"/>
    <col min="6156" max="6400" width="9.140625" style="964"/>
    <col min="6401" max="6401" width="3.7109375" style="964" customWidth="1"/>
    <col min="6402" max="6402" width="14.42578125" style="964" customWidth="1"/>
    <col min="6403" max="6403" width="3.7109375" style="964" customWidth="1"/>
    <col min="6404" max="6405" width="8.42578125" style="964" customWidth="1"/>
    <col min="6406" max="6411" width="8.140625" style="964" customWidth="1"/>
    <col min="6412" max="6656" width="9.140625" style="964"/>
    <col min="6657" max="6657" width="3.7109375" style="964" customWidth="1"/>
    <col min="6658" max="6658" width="14.42578125" style="964" customWidth="1"/>
    <col min="6659" max="6659" width="3.7109375" style="964" customWidth="1"/>
    <col min="6660" max="6661" width="8.42578125" style="964" customWidth="1"/>
    <col min="6662" max="6667" width="8.140625" style="964" customWidth="1"/>
    <col min="6668" max="6912" width="9.140625" style="964"/>
    <col min="6913" max="6913" width="3.7109375" style="964" customWidth="1"/>
    <col min="6914" max="6914" width="14.42578125" style="964" customWidth="1"/>
    <col min="6915" max="6915" width="3.7109375" style="964" customWidth="1"/>
    <col min="6916" max="6917" width="8.42578125" style="964" customWidth="1"/>
    <col min="6918" max="6923" width="8.140625" style="964" customWidth="1"/>
    <col min="6924" max="7168" width="9.140625" style="964"/>
    <col min="7169" max="7169" width="3.7109375" style="964" customWidth="1"/>
    <col min="7170" max="7170" width="14.42578125" style="964" customWidth="1"/>
    <col min="7171" max="7171" width="3.7109375" style="964" customWidth="1"/>
    <col min="7172" max="7173" width="8.42578125" style="964" customWidth="1"/>
    <col min="7174" max="7179" width="8.140625" style="964" customWidth="1"/>
    <col min="7180" max="7424" width="9.140625" style="964"/>
    <col min="7425" max="7425" width="3.7109375" style="964" customWidth="1"/>
    <col min="7426" max="7426" width="14.42578125" style="964" customWidth="1"/>
    <col min="7427" max="7427" width="3.7109375" style="964" customWidth="1"/>
    <col min="7428" max="7429" width="8.42578125" style="964" customWidth="1"/>
    <col min="7430" max="7435" width="8.140625" style="964" customWidth="1"/>
    <col min="7436" max="7680" width="9.140625" style="964"/>
    <col min="7681" max="7681" width="3.7109375" style="964" customWidth="1"/>
    <col min="7682" max="7682" width="14.42578125" style="964" customWidth="1"/>
    <col min="7683" max="7683" width="3.7109375" style="964" customWidth="1"/>
    <col min="7684" max="7685" width="8.42578125" style="964" customWidth="1"/>
    <col min="7686" max="7691" width="8.140625" style="964" customWidth="1"/>
    <col min="7692" max="7936" width="9.140625" style="964"/>
    <col min="7937" max="7937" width="3.7109375" style="964" customWidth="1"/>
    <col min="7938" max="7938" width="14.42578125" style="964" customWidth="1"/>
    <col min="7939" max="7939" width="3.7109375" style="964" customWidth="1"/>
    <col min="7940" max="7941" width="8.42578125" style="964" customWidth="1"/>
    <col min="7942" max="7947" width="8.140625" style="964" customWidth="1"/>
    <col min="7948" max="8192" width="9.140625" style="964"/>
    <col min="8193" max="8193" width="3.7109375" style="964" customWidth="1"/>
    <col min="8194" max="8194" width="14.42578125" style="964" customWidth="1"/>
    <col min="8195" max="8195" width="3.7109375" style="964" customWidth="1"/>
    <col min="8196" max="8197" width="8.42578125" style="964" customWidth="1"/>
    <col min="8198" max="8203" width="8.140625" style="964" customWidth="1"/>
    <col min="8204" max="8448" width="9.140625" style="964"/>
    <col min="8449" max="8449" width="3.7109375" style="964" customWidth="1"/>
    <col min="8450" max="8450" width="14.42578125" style="964" customWidth="1"/>
    <col min="8451" max="8451" width="3.7109375" style="964" customWidth="1"/>
    <col min="8452" max="8453" width="8.42578125" style="964" customWidth="1"/>
    <col min="8454" max="8459" width="8.140625" style="964" customWidth="1"/>
    <col min="8460" max="8704" width="9.140625" style="964"/>
    <col min="8705" max="8705" width="3.7109375" style="964" customWidth="1"/>
    <col min="8706" max="8706" width="14.42578125" style="964" customWidth="1"/>
    <col min="8707" max="8707" width="3.7109375" style="964" customWidth="1"/>
    <col min="8708" max="8709" width="8.42578125" style="964" customWidth="1"/>
    <col min="8710" max="8715" width="8.140625" style="964" customWidth="1"/>
    <col min="8716" max="8960" width="9.140625" style="964"/>
    <col min="8961" max="8961" width="3.7109375" style="964" customWidth="1"/>
    <col min="8962" max="8962" width="14.42578125" style="964" customWidth="1"/>
    <col min="8963" max="8963" width="3.7109375" style="964" customWidth="1"/>
    <col min="8964" max="8965" width="8.42578125" style="964" customWidth="1"/>
    <col min="8966" max="8971" width="8.140625" style="964" customWidth="1"/>
    <col min="8972" max="9216" width="9.140625" style="964"/>
    <col min="9217" max="9217" width="3.7109375" style="964" customWidth="1"/>
    <col min="9218" max="9218" width="14.42578125" style="964" customWidth="1"/>
    <col min="9219" max="9219" width="3.7109375" style="964" customWidth="1"/>
    <col min="9220" max="9221" width="8.42578125" style="964" customWidth="1"/>
    <col min="9222" max="9227" width="8.140625" style="964" customWidth="1"/>
    <col min="9228" max="9472" width="9.140625" style="964"/>
    <col min="9473" max="9473" width="3.7109375" style="964" customWidth="1"/>
    <col min="9474" max="9474" width="14.42578125" style="964" customWidth="1"/>
    <col min="9475" max="9475" width="3.7109375" style="964" customWidth="1"/>
    <col min="9476" max="9477" width="8.42578125" style="964" customWidth="1"/>
    <col min="9478" max="9483" width="8.140625" style="964" customWidth="1"/>
    <col min="9484" max="9728" width="9.140625" style="964"/>
    <col min="9729" max="9729" width="3.7109375" style="964" customWidth="1"/>
    <col min="9730" max="9730" width="14.42578125" style="964" customWidth="1"/>
    <col min="9731" max="9731" width="3.7109375" style="964" customWidth="1"/>
    <col min="9732" max="9733" width="8.42578125" style="964" customWidth="1"/>
    <col min="9734" max="9739" width="8.140625" style="964" customWidth="1"/>
    <col min="9740" max="9984" width="9.140625" style="964"/>
    <col min="9985" max="9985" width="3.7109375" style="964" customWidth="1"/>
    <col min="9986" max="9986" width="14.42578125" style="964" customWidth="1"/>
    <col min="9987" max="9987" width="3.7109375" style="964" customWidth="1"/>
    <col min="9988" max="9989" width="8.42578125" style="964" customWidth="1"/>
    <col min="9990" max="9995" width="8.140625" style="964" customWidth="1"/>
    <col min="9996" max="10240" width="9.140625" style="964"/>
    <col min="10241" max="10241" width="3.7109375" style="964" customWidth="1"/>
    <col min="10242" max="10242" width="14.42578125" style="964" customWidth="1"/>
    <col min="10243" max="10243" width="3.7109375" style="964" customWidth="1"/>
    <col min="10244" max="10245" width="8.42578125" style="964" customWidth="1"/>
    <col min="10246" max="10251" width="8.140625" style="964" customWidth="1"/>
    <col min="10252" max="10496" width="9.140625" style="964"/>
    <col min="10497" max="10497" width="3.7109375" style="964" customWidth="1"/>
    <col min="10498" max="10498" width="14.42578125" style="964" customWidth="1"/>
    <col min="10499" max="10499" width="3.7109375" style="964" customWidth="1"/>
    <col min="10500" max="10501" width="8.42578125" style="964" customWidth="1"/>
    <col min="10502" max="10507" width="8.140625" style="964" customWidth="1"/>
    <col min="10508" max="10752" width="9.140625" style="964"/>
    <col min="10753" max="10753" width="3.7109375" style="964" customWidth="1"/>
    <col min="10754" max="10754" width="14.42578125" style="964" customWidth="1"/>
    <col min="10755" max="10755" width="3.7109375" style="964" customWidth="1"/>
    <col min="10756" max="10757" width="8.42578125" style="964" customWidth="1"/>
    <col min="10758" max="10763" width="8.140625" style="964" customWidth="1"/>
    <col min="10764" max="11008" width="9.140625" style="964"/>
    <col min="11009" max="11009" width="3.7109375" style="964" customWidth="1"/>
    <col min="11010" max="11010" width="14.42578125" style="964" customWidth="1"/>
    <col min="11011" max="11011" width="3.7109375" style="964" customWidth="1"/>
    <col min="11012" max="11013" width="8.42578125" style="964" customWidth="1"/>
    <col min="11014" max="11019" width="8.140625" style="964" customWidth="1"/>
    <col min="11020" max="11264" width="9.140625" style="964"/>
    <col min="11265" max="11265" width="3.7109375" style="964" customWidth="1"/>
    <col min="11266" max="11266" width="14.42578125" style="964" customWidth="1"/>
    <col min="11267" max="11267" width="3.7109375" style="964" customWidth="1"/>
    <col min="11268" max="11269" width="8.42578125" style="964" customWidth="1"/>
    <col min="11270" max="11275" width="8.140625" style="964" customWidth="1"/>
    <col min="11276" max="11520" width="9.140625" style="964"/>
    <col min="11521" max="11521" width="3.7109375" style="964" customWidth="1"/>
    <col min="11522" max="11522" width="14.42578125" style="964" customWidth="1"/>
    <col min="11523" max="11523" width="3.7109375" style="964" customWidth="1"/>
    <col min="11524" max="11525" width="8.42578125" style="964" customWidth="1"/>
    <col min="11526" max="11531" width="8.140625" style="964" customWidth="1"/>
    <col min="11532" max="11776" width="9.140625" style="964"/>
    <col min="11777" max="11777" width="3.7109375" style="964" customWidth="1"/>
    <col min="11778" max="11778" width="14.42578125" style="964" customWidth="1"/>
    <col min="11779" max="11779" width="3.7109375" style="964" customWidth="1"/>
    <col min="11780" max="11781" width="8.42578125" style="964" customWidth="1"/>
    <col min="11782" max="11787" width="8.140625" style="964" customWidth="1"/>
    <col min="11788" max="12032" width="9.140625" style="964"/>
    <col min="12033" max="12033" width="3.7109375" style="964" customWidth="1"/>
    <col min="12034" max="12034" width="14.42578125" style="964" customWidth="1"/>
    <col min="12035" max="12035" width="3.7109375" style="964" customWidth="1"/>
    <col min="12036" max="12037" width="8.42578125" style="964" customWidth="1"/>
    <col min="12038" max="12043" width="8.140625" style="964" customWidth="1"/>
    <col min="12044" max="12288" width="9.140625" style="964"/>
    <col min="12289" max="12289" width="3.7109375" style="964" customWidth="1"/>
    <col min="12290" max="12290" width="14.42578125" style="964" customWidth="1"/>
    <col min="12291" max="12291" width="3.7109375" style="964" customWidth="1"/>
    <col min="12292" max="12293" width="8.42578125" style="964" customWidth="1"/>
    <col min="12294" max="12299" width="8.140625" style="964" customWidth="1"/>
    <col min="12300" max="12544" width="9.140625" style="964"/>
    <col min="12545" max="12545" width="3.7109375" style="964" customWidth="1"/>
    <col min="12546" max="12546" width="14.42578125" style="964" customWidth="1"/>
    <col min="12547" max="12547" width="3.7109375" style="964" customWidth="1"/>
    <col min="12548" max="12549" width="8.42578125" style="964" customWidth="1"/>
    <col min="12550" max="12555" width="8.140625" style="964" customWidth="1"/>
    <col min="12556" max="12800" width="9.140625" style="964"/>
    <col min="12801" max="12801" width="3.7109375" style="964" customWidth="1"/>
    <col min="12802" max="12802" width="14.42578125" style="964" customWidth="1"/>
    <col min="12803" max="12803" width="3.7109375" style="964" customWidth="1"/>
    <col min="12804" max="12805" width="8.42578125" style="964" customWidth="1"/>
    <col min="12806" max="12811" width="8.140625" style="964" customWidth="1"/>
    <col min="12812" max="13056" width="9.140625" style="964"/>
    <col min="13057" max="13057" width="3.7109375" style="964" customWidth="1"/>
    <col min="13058" max="13058" width="14.42578125" style="964" customWidth="1"/>
    <col min="13059" max="13059" width="3.7109375" style="964" customWidth="1"/>
    <col min="13060" max="13061" width="8.42578125" style="964" customWidth="1"/>
    <col min="13062" max="13067" width="8.140625" style="964" customWidth="1"/>
    <col min="13068" max="13312" width="9.140625" style="964"/>
    <col min="13313" max="13313" width="3.7109375" style="964" customWidth="1"/>
    <col min="13314" max="13314" width="14.42578125" style="964" customWidth="1"/>
    <col min="13315" max="13315" width="3.7109375" style="964" customWidth="1"/>
    <col min="13316" max="13317" width="8.42578125" style="964" customWidth="1"/>
    <col min="13318" max="13323" width="8.140625" style="964" customWidth="1"/>
    <col min="13324" max="13568" width="9.140625" style="964"/>
    <col min="13569" max="13569" width="3.7109375" style="964" customWidth="1"/>
    <col min="13570" max="13570" width="14.42578125" style="964" customWidth="1"/>
    <col min="13571" max="13571" width="3.7109375" style="964" customWidth="1"/>
    <col min="13572" max="13573" width="8.42578125" style="964" customWidth="1"/>
    <col min="13574" max="13579" width="8.140625" style="964" customWidth="1"/>
    <col min="13580" max="13824" width="9.140625" style="964"/>
    <col min="13825" max="13825" width="3.7109375" style="964" customWidth="1"/>
    <col min="13826" max="13826" width="14.42578125" style="964" customWidth="1"/>
    <col min="13827" max="13827" width="3.7109375" style="964" customWidth="1"/>
    <col min="13828" max="13829" width="8.42578125" style="964" customWidth="1"/>
    <col min="13830" max="13835" width="8.140625" style="964" customWidth="1"/>
    <col min="13836" max="14080" width="9.140625" style="964"/>
    <col min="14081" max="14081" width="3.7109375" style="964" customWidth="1"/>
    <col min="14082" max="14082" width="14.42578125" style="964" customWidth="1"/>
    <col min="14083" max="14083" width="3.7109375" style="964" customWidth="1"/>
    <col min="14084" max="14085" width="8.42578125" style="964" customWidth="1"/>
    <col min="14086" max="14091" width="8.140625" style="964" customWidth="1"/>
    <col min="14092" max="14336" width="9.140625" style="964"/>
    <col min="14337" max="14337" width="3.7109375" style="964" customWidth="1"/>
    <col min="14338" max="14338" width="14.42578125" style="964" customWidth="1"/>
    <col min="14339" max="14339" width="3.7109375" style="964" customWidth="1"/>
    <col min="14340" max="14341" width="8.42578125" style="964" customWidth="1"/>
    <col min="14342" max="14347" width="8.140625" style="964" customWidth="1"/>
    <col min="14348" max="14592" width="9.140625" style="964"/>
    <col min="14593" max="14593" width="3.7109375" style="964" customWidth="1"/>
    <col min="14594" max="14594" width="14.42578125" style="964" customWidth="1"/>
    <col min="14595" max="14595" width="3.7109375" style="964" customWidth="1"/>
    <col min="14596" max="14597" width="8.42578125" style="964" customWidth="1"/>
    <col min="14598" max="14603" width="8.140625" style="964" customWidth="1"/>
    <col min="14604" max="14848" width="9.140625" style="964"/>
    <col min="14849" max="14849" width="3.7109375" style="964" customWidth="1"/>
    <col min="14850" max="14850" width="14.42578125" style="964" customWidth="1"/>
    <col min="14851" max="14851" width="3.7109375" style="964" customWidth="1"/>
    <col min="14852" max="14853" width="8.42578125" style="964" customWidth="1"/>
    <col min="14854" max="14859" width="8.140625" style="964" customWidth="1"/>
    <col min="14860" max="15104" width="9.140625" style="964"/>
    <col min="15105" max="15105" width="3.7109375" style="964" customWidth="1"/>
    <col min="15106" max="15106" width="14.42578125" style="964" customWidth="1"/>
    <col min="15107" max="15107" width="3.7109375" style="964" customWidth="1"/>
    <col min="15108" max="15109" width="8.42578125" style="964" customWidth="1"/>
    <col min="15110" max="15115" width="8.140625" style="964" customWidth="1"/>
    <col min="15116" max="15360" width="9.140625" style="964"/>
    <col min="15361" max="15361" width="3.7109375" style="964" customWidth="1"/>
    <col min="15362" max="15362" width="14.42578125" style="964" customWidth="1"/>
    <col min="15363" max="15363" width="3.7109375" style="964" customWidth="1"/>
    <col min="15364" max="15365" width="8.42578125" style="964" customWidth="1"/>
    <col min="15366" max="15371" width="8.140625" style="964" customWidth="1"/>
    <col min="15372" max="15616" width="9.140625" style="964"/>
    <col min="15617" max="15617" width="3.7109375" style="964" customWidth="1"/>
    <col min="15618" max="15618" width="14.42578125" style="964" customWidth="1"/>
    <col min="15619" max="15619" width="3.7109375" style="964" customWidth="1"/>
    <col min="15620" max="15621" width="8.42578125" style="964" customWidth="1"/>
    <col min="15622" max="15627" width="8.140625" style="964" customWidth="1"/>
    <col min="15628" max="15872" width="9.140625" style="964"/>
    <col min="15873" max="15873" width="3.7109375" style="964" customWidth="1"/>
    <col min="15874" max="15874" width="14.42578125" style="964" customWidth="1"/>
    <col min="15875" max="15875" width="3.7109375" style="964" customWidth="1"/>
    <col min="15876" max="15877" width="8.42578125" style="964" customWidth="1"/>
    <col min="15878" max="15883" width="8.140625" style="964" customWidth="1"/>
    <col min="15884" max="16128" width="9.140625" style="964"/>
    <col min="16129" max="16129" width="3.7109375" style="964" customWidth="1"/>
    <col min="16130" max="16130" width="14.42578125" style="964" customWidth="1"/>
    <col min="16131" max="16131" width="3.7109375" style="964" customWidth="1"/>
    <col min="16132" max="16133" width="8.42578125" style="964" customWidth="1"/>
    <col min="16134" max="16139" width="8.140625" style="964" customWidth="1"/>
    <col min="16140" max="16384" width="9.140625" style="964"/>
  </cols>
  <sheetData>
    <row r="2" spans="1:22" ht="13.9" customHeight="1" x14ac:dyDescent="0.2">
      <c r="A2" s="835">
        <v>1</v>
      </c>
      <c r="B2" s="835" t="s">
        <v>24</v>
      </c>
      <c r="C2" s="835">
        <f>Immunization!C2+1</f>
        <v>38</v>
      </c>
      <c r="D2" s="3626" t="s">
        <v>1520</v>
      </c>
      <c r="E2" s="3627"/>
      <c r="F2" s="3627"/>
      <c r="G2" s="3627"/>
      <c r="H2" s="3627"/>
      <c r="I2" s="3627"/>
      <c r="J2" s="3627"/>
      <c r="K2" s="3627"/>
      <c r="L2" s="3627"/>
      <c r="M2" s="3627"/>
      <c r="N2" s="3627"/>
      <c r="O2" s="3627"/>
      <c r="P2" s="3627"/>
      <c r="Q2" s="3627"/>
      <c r="R2" s="3627"/>
      <c r="S2" s="3627"/>
      <c r="T2" s="3627"/>
      <c r="U2" s="3628"/>
    </row>
    <row r="3" spans="1:22" ht="13.9" customHeight="1" x14ac:dyDescent="0.2">
      <c r="A3" s="835">
        <v>2</v>
      </c>
      <c r="B3" s="835" t="s">
        <v>26</v>
      </c>
      <c r="C3" s="835"/>
      <c r="D3" s="3632" t="s">
        <v>1455</v>
      </c>
      <c r="E3" s="3633"/>
      <c r="F3" s="3633"/>
      <c r="G3" s="3633"/>
      <c r="H3" s="3633"/>
      <c r="I3" s="3633"/>
      <c r="J3" s="3633"/>
      <c r="K3" s="3633"/>
      <c r="L3" s="3633"/>
      <c r="M3" s="3633"/>
      <c r="N3" s="3633"/>
      <c r="O3" s="3633"/>
      <c r="P3" s="3633"/>
      <c r="Q3" s="3633"/>
      <c r="R3" s="3633"/>
      <c r="S3" s="3633"/>
      <c r="T3" s="3633"/>
      <c r="U3" s="3634"/>
    </row>
    <row r="4" spans="1:22" ht="13.9" customHeight="1" x14ac:dyDescent="0.2">
      <c r="A4" s="835">
        <v>3</v>
      </c>
      <c r="B4" s="835" t="s">
        <v>28</v>
      </c>
      <c r="C4" s="835"/>
      <c r="D4" s="3632" t="s">
        <v>1879</v>
      </c>
      <c r="E4" s="3633"/>
      <c r="F4" s="3633"/>
      <c r="G4" s="3633"/>
      <c r="H4" s="3633"/>
      <c r="I4" s="3633"/>
      <c r="J4" s="3633"/>
      <c r="K4" s="3633"/>
      <c r="L4" s="3633"/>
      <c r="M4" s="3633"/>
      <c r="N4" s="3633"/>
      <c r="O4" s="3633"/>
      <c r="P4" s="3633"/>
      <c r="Q4" s="3633"/>
      <c r="R4" s="3633"/>
      <c r="S4" s="3633"/>
      <c r="T4" s="3633"/>
      <c r="U4" s="3634"/>
    </row>
    <row r="5" spans="1:22" ht="13.9" customHeight="1" x14ac:dyDescent="0.2">
      <c r="A5" s="835"/>
      <c r="B5" s="835"/>
      <c r="C5" s="835"/>
      <c r="D5" s="3632" t="s">
        <v>1521</v>
      </c>
      <c r="E5" s="3633"/>
      <c r="F5" s="3633"/>
      <c r="G5" s="3633"/>
      <c r="H5" s="3633"/>
      <c r="I5" s="3633"/>
      <c r="J5" s="3633"/>
      <c r="K5" s="3633"/>
      <c r="L5" s="3633"/>
      <c r="M5" s="3633"/>
      <c r="N5" s="3633"/>
      <c r="O5" s="3633"/>
      <c r="P5" s="3633"/>
      <c r="Q5" s="3633"/>
      <c r="R5" s="3633"/>
      <c r="S5" s="3633"/>
      <c r="T5" s="3633"/>
      <c r="U5" s="3634"/>
    </row>
    <row r="6" spans="1:22" ht="13.9" customHeight="1" x14ac:dyDescent="0.2">
      <c r="A6" s="835"/>
      <c r="B6" s="835"/>
      <c r="C6" s="835"/>
      <c r="D6" s="3632" t="s">
        <v>1522</v>
      </c>
      <c r="E6" s="3633"/>
      <c r="F6" s="3633"/>
      <c r="G6" s="3633"/>
      <c r="H6" s="3633"/>
      <c r="I6" s="3633"/>
      <c r="J6" s="3633"/>
      <c r="K6" s="3633"/>
      <c r="L6" s="3633"/>
      <c r="M6" s="3633"/>
      <c r="N6" s="3633"/>
      <c r="O6" s="3633"/>
      <c r="P6" s="3633"/>
      <c r="Q6" s="3633"/>
      <c r="R6" s="3633"/>
      <c r="S6" s="3633"/>
      <c r="T6" s="3633"/>
      <c r="U6" s="3634"/>
    </row>
    <row r="7" spans="1:22" ht="13.9" customHeight="1" x14ac:dyDescent="0.2">
      <c r="A7" s="835"/>
      <c r="B7" s="835"/>
      <c r="C7" s="835"/>
      <c r="D7" s="985"/>
      <c r="E7" s="985"/>
      <c r="F7" s="985"/>
      <c r="G7" s="985"/>
      <c r="H7" s="985"/>
      <c r="I7" s="985"/>
      <c r="J7" s="985"/>
      <c r="K7" s="985"/>
      <c r="L7" s="985"/>
      <c r="M7" s="985"/>
      <c r="N7" s="985"/>
      <c r="O7" s="985"/>
      <c r="P7" s="985"/>
      <c r="Q7" s="985"/>
      <c r="R7" s="985"/>
      <c r="S7" s="985"/>
      <c r="T7" s="985"/>
      <c r="U7" s="985"/>
    </row>
    <row r="8" spans="1:22" ht="14.25" x14ac:dyDescent="0.2">
      <c r="A8" s="835">
        <v>4</v>
      </c>
      <c r="B8" s="418" t="s">
        <v>1</v>
      </c>
      <c r="C8" s="418"/>
    </row>
    <row r="9" spans="1:22" s="401" customFormat="1" ht="14.25" x14ac:dyDescent="0.2">
      <c r="A9" s="1224"/>
      <c r="B9" s="1222"/>
      <c r="C9" s="1222"/>
      <c r="D9" s="424" t="s">
        <v>710</v>
      </c>
      <c r="E9" s="424" t="s">
        <v>1523</v>
      </c>
      <c r="F9" s="424"/>
      <c r="G9" s="424"/>
      <c r="H9" s="424"/>
      <c r="I9" s="424"/>
      <c r="J9" s="424"/>
      <c r="K9" s="424"/>
      <c r="L9" s="432"/>
      <c r="M9" s="432"/>
      <c r="N9" s="432"/>
      <c r="O9" s="432"/>
      <c r="P9" s="432"/>
      <c r="Q9" s="432"/>
      <c r="V9" s="964"/>
    </row>
    <row r="10" spans="1:22" s="401" customFormat="1" ht="13.5" customHeight="1" x14ac:dyDescent="0.2">
      <c r="A10" s="1224"/>
      <c r="B10" s="1222"/>
      <c r="C10" s="1222"/>
      <c r="D10" s="1320">
        <v>1997</v>
      </c>
      <c r="E10" s="907">
        <v>1998</v>
      </c>
      <c r="F10" s="907">
        <v>1999</v>
      </c>
      <c r="G10" s="907">
        <v>2000</v>
      </c>
      <c r="H10" s="907">
        <v>2001</v>
      </c>
      <c r="I10" s="907">
        <v>2002</v>
      </c>
      <c r="J10" s="907">
        <v>2003</v>
      </c>
      <c r="K10" s="907">
        <v>2004</v>
      </c>
      <c r="L10" s="1320">
        <v>2005</v>
      </c>
      <c r="M10" s="1320">
        <v>2006</v>
      </c>
      <c r="N10" s="1320">
        <v>2007</v>
      </c>
      <c r="O10" s="1320">
        <v>2008</v>
      </c>
      <c r="P10" s="1320">
        <v>2009</v>
      </c>
      <c r="Q10" s="1320">
        <v>2010</v>
      </c>
      <c r="R10" s="1320">
        <v>2011</v>
      </c>
      <c r="S10" s="1320">
        <v>2012</v>
      </c>
      <c r="T10" s="1320">
        <v>2013</v>
      </c>
      <c r="U10" s="2801">
        <v>2014</v>
      </c>
      <c r="V10" s="964"/>
    </row>
    <row r="11" spans="1:22" s="401" customFormat="1" ht="13.5" customHeight="1" x14ac:dyDescent="0.2">
      <c r="A11" s="1224"/>
      <c r="B11" s="2243">
        <v>1</v>
      </c>
      <c r="C11" s="3482" t="s">
        <v>518</v>
      </c>
      <c r="D11" s="3501"/>
      <c r="E11" s="3476">
        <v>150</v>
      </c>
      <c r="F11" s="3476"/>
      <c r="G11" s="3476"/>
      <c r="H11" s="3476"/>
      <c r="I11" s="3476">
        <v>133</v>
      </c>
      <c r="J11" s="3476">
        <v>150</v>
      </c>
      <c r="K11" s="3476">
        <v>196</v>
      </c>
      <c r="L11" s="3476">
        <v>212</v>
      </c>
      <c r="M11" s="3477">
        <v>237</v>
      </c>
      <c r="N11" s="3477">
        <v>299</v>
      </c>
      <c r="O11" s="3477">
        <v>300</v>
      </c>
      <c r="P11" s="3477">
        <v>312</v>
      </c>
      <c r="Q11" s="3477">
        <v>269</v>
      </c>
      <c r="R11" s="3477">
        <v>203</v>
      </c>
      <c r="S11" s="3477">
        <v>158</v>
      </c>
      <c r="T11" s="3477">
        <v>141</v>
      </c>
      <c r="U11" s="3478">
        <v>130</v>
      </c>
      <c r="V11" s="964"/>
    </row>
    <row r="12" spans="1:22" s="401" customFormat="1" ht="13.5" hidden="1" customHeight="1" x14ac:dyDescent="0.2">
      <c r="A12" s="1224"/>
      <c r="B12" s="2243"/>
      <c r="C12" s="3482" t="e">
        <f>1+C11</f>
        <v>#VALUE!</v>
      </c>
      <c r="D12" s="1321"/>
      <c r="E12" s="3476">
        <v>73.8</v>
      </c>
      <c r="F12" s="3476"/>
      <c r="G12" s="3476"/>
      <c r="H12" s="3476"/>
      <c r="I12" s="3476"/>
      <c r="J12" s="3476">
        <v>165.5</v>
      </c>
      <c r="K12" s="3476"/>
      <c r="L12" s="3476"/>
      <c r="M12" s="3477"/>
      <c r="N12" s="3477"/>
      <c r="O12" s="3477"/>
      <c r="P12" s="3477"/>
      <c r="Q12" s="3477"/>
      <c r="R12" s="3477"/>
      <c r="S12" s="3477"/>
      <c r="T12" s="3477"/>
      <c r="U12" s="3478"/>
      <c r="V12" s="964"/>
    </row>
    <row r="13" spans="1:22" s="401" customFormat="1" ht="13.5" customHeight="1" x14ac:dyDescent="0.2">
      <c r="A13" s="1224"/>
      <c r="B13" s="2243">
        <v>2</v>
      </c>
      <c r="C13" s="3482" t="s">
        <v>1883</v>
      </c>
      <c r="D13" s="1321"/>
      <c r="E13" s="3476"/>
      <c r="F13" s="3476">
        <v>88.4</v>
      </c>
      <c r="G13" s="3476">
        <v>116.8</v>
      </c>
      <c r="H13" s="3476">
        <v>114.5</v>
      </c>
      <c r="I13" s="3476">
        <v>135.6</v>
      </c>
      <c r="J13" s="3476"/>
      <c r="K13" s="3476"/>
      <c r="L13" s="3476">
        <v>150.19999999999999</v>
      </c>
      <c r="M13" s="3477">
        <v>161.69999999999999</v>
      </c>
      <c r="N13" s="3477">
        <v>158.5</v>
      </c>
      <c r="O13" s="3477">
        <v>164.8</v>
      </c>
      <c r="P13" s="3477">
        <v>188.9</v>
      </c>
      <c r="Q13" s="3477">
        <v>186.2</v>
      </c>
      <c r="R13" s="3477">
        <v>166.97</v>
      </c>
      <c r="S13" s="3477">
        <v>160.22</v>
      </c>
      <c r="T13" s="3477">
        <v>147.69</v>
      </c>
      <c r="U13" s="3478">
        <v>140.81</v>
      </c>
      <c r="V13" s="964"/>
    </row>
    <row r="14" spans="1:22" ht="13.5" customHeight="1" x14ac:dyDescent="0.2">
      <c r="B14" s="2243">
        <v>3</v>
      </c>
      <c r="C14" s="3482" t="s">
        <v>1884</v>
      </c>
      <c r="D14" s="1322"/>
      <c r="E14" s="3479"/>
      <c r="F14" s="3479"/>
      <c r="G14" s="3479"/>
      <c r="H14" s="3479"/>
      <c r="I14" s="3479"/>
      <c r="J14" s="3479"/>
      <c r="K14" s="3479"/>
      <c r="L14" s="3479"/>
      <c r="M14" s="3480"/>
      <c r="N14" s="3480"/>
      <c r="O14" s="3480">
        <v>281</v>
      </c>
      <c r="P14" s="3480">
        <v>302</v>
      </c>
      <c r="Q14" s="3480">
        <v>267</v>
      </c>
      <c r="R14" s="3480">
        <v>197</v>
      </c>
      <c r="S14" s="3480">
        <v>165</v>
      </c>
      <c r="T14" s="3480">
        <v>158</v>
      </c>
      <c r="U14" s="3481">
        <v>154</v>
      </c>
    </row>
    <row r="15" spans="1:22" ht="14.25" x14ac:dyDescent="0.2">
      <c r="A15" s="835">
        <v>5</v>
      </c>
      <c r="B15" s="835" t="s">
        <v>77</v>
      </c>
      <c r="C15" s="835"/>
      <c r="D15" s="2235"/>
      <c r="E15" s="2235"/>
      <c r="F15" s="2235"/>
      <c r="G15" s="2235"/>
      <c r="H15" s="2235"/>
      <c r="I15" s="2235"/>
      <c r="J15" s="2235"/>
      <c r="K15" s="2235"/>
      <c r="L15" s="2235"/>
      <c r="M15" s="2235"/>
      <c r="N15" s="2235"/>
      <c r="O15" s="2235"/>
      <c r="P15" s="2235"/>
      <c r="Q15" s="2235"/>
    </row>
    <row r="16" spans="1:22" x14ac:dyDescent="0.2">
      <c r="B16" s="1277"/>
      <c r="C16" s="1277"/>
    </row>
    <row r="17" spans="2:9" x14ac:dyDescent="0.2">
      <c r="B17" s="1277"/>
      <c r="C17" s="1277"/>
    </row>
    <row r="18" spans="2:9" x14ac:dyDescent="0.2">
      <c r="B18" s="1277"/>
      <c r="C18" s="1277"/>
    </row>
    <row r="19" spans="2:9" x14ac:dyDescent="0.2">
      <c r="B19" s="1277"/>
      <c r="C19" s="1277"/>
    </row>
    <row r="20" spans="2:9" x14ac:dyDescent="0.2">
      <c r="B20" s="1277"/>
      <c r="C20" s="1277"/>
    </row>
    <row r="21" spans="2:9" x14ac:dyDescent="0.2">
      <c r="B21" s="1277"/>
      <c r="C21" s="1277"/>
    </row>
    <row r="22" spans="2:9" x14ac:dyDescent="0.2">
      <c r="B22" s="1277"/>
      <c r="C22" s="1277"/>
    </row>
    <row r="23" spans="2:9" x14ac:dyDescent="0.2">
      <c r="B23" s="1277"/>
      <c r="C23" s="1277"/>
    </row>
    <row r="24" spans="2:9" x14ac:dyDescent="0.2">
      <c r="B24" s="1277"/>
      <c r="C24" s="1277"/>
    </row>
    <row r="25" spans="2:9" x14ac:dyDescent="0.2">
      <c r="B25" s="1277"/>
      <c r="C25" s="1277"/>
    </row>
    <row r="26" spans="2:9" x14ac:dyDescent="0.2">
      <c r="B26" s="1277"/>
      <c r="C26" s="1277"/>
    </row>
    <row r="27" spans="2:9" x14ac:dyDescent="0.2">
      <c r="B27" s="1277"/>
      <c r="C27" s="1277"/>
    </row>
    <row r="28" spans="2:9" x14ac:dyDescent="0.2">
      <c r="B28" s="1277"/>
      <c r="C28" s="1277"/>
    </row>
    <row r="29" spans="2:9" x14ac:dyDescent="0.2">
      <c r="B29" s="1277"/>
      <c r="C29" s="1277"/>
    </row>
    <row r="30" spans="2:9" x14ac:dyDescent="0.2">
      <c r="B30" s="1277"/>
      <c r="C30" s="1277"/>
    </row>
    <row r="31" spans="2:9" x14ac:dyDescent="0.2">
      <c r="B31" s="1277"/>
      <c r="C31" s="1277"/>
    </row>
    <row r="32" spans="2:9" x14ac:dyDescent="0.25">
      <c r="B32" s="1277"/>
      <c r="C32" s="1277"/>
      <c r="D32" s="2252"/>
      <c r="E32" s="1368"/>
      <c r="F32" s="1368"/>
      <c r="G32" s="1368"/>
      <c r="H32" s="1368"/>
      <c r="I32" s="1368"/>
    </row>
    <row r="33" spans="1:21" ht="15" customHeight="1" x14ac:dyDescent="0.2">
      <c r="A33" s="835">
        <v>6</v>
      </c>
      <c r="B33" s="835" t="s">
        <v>78</v>
      </c>
      <c r="C33" s="835"/>
      <c r="D33" s="3615" t="s">
        <v>865</v>
      </c>
      <c r="E33" s="3616"/>
      <c r="F33" s="3616"/>
      <c r="G33" s="3616"/>
      <c r="H33" s="3616"/>
      <c r="I33" s="3616"/>
      <c r="J33" s="3616"/>
      <c r="K33" s="3616"/>
      <c r="L33" s="3616"/>
      <c r="M33" s="3616"/>
      <c r="N33" s="3616"/>
      <c r="O33" s="3616"/>
      <c r="P33" s="3616"/>
      <c r="Q33" s="3616"/>
      <c r="R33" s="3616"/>
      <c r="S33" s="3616"/>
      <c r="T33" s="3616"/>
      <c r="U33" s="3617"/>
    </row>
    <row r="34" spans="1:21" ht="27" customHeight="1" x14ac:dyDescent="0.2">
      <c r="A34" s="963">
        <v>7</v>
      </c>
      <c r="B34" s="963" t="s">
        <v>80</v>
      </c>
      <c r="C34" s="963"/>
      <c r="D34" s="3793" t="s">
        <v>1525</v>
      </c>
      <c r="E34" s="3794"/>
      <c r="F34" s="3794"/>
      <c r="G34" s="3794"/>
      <c r="H34" s="3794"/>
      <c r="I34" s="3794"/>
      <c r="J34" s="3794"/>
      <c r="K34" s="3794"/>
      <c r="L34" s="3794"/>
      <c r="M34" s="3794"/>
      <c r="N34" s="3794"/>
      <c r="O34" s="3794"/>
      <c r="P34" s="3794"/>
      <c r="Q34" s="3794"/>
      <c r="R34" s="3794"/>
      <c r="S34" s="3794"/>
      <c r="T34" s="3794"/>
      <c r="U34" s="3795"/>
    </row>
    <row r="35" spans="1:21" ht="41.25" customHeight="1" x14ac:dyDescent="0.2">
      <c r="A35" s="835">
        <v>8</v>
      </c>
      <c r="B35" s="835" t="s">
        <v>20</v>
      </c>
      <c r="C35" s="835"/>
      <c r="D35" s="3629" t="s">
        <v>1885</v>
      </c>
      <c r="E35" s="3630"/>
      <c r="F35" s="3630"/>
      <c r="G35" s="3630"/>
      <c r="H35" s="3630"/>
      <c r="I35" s="3630"/>
      <c r="J35" s="3630"/>
      <c r="K35" s="3630"/>
      <c r="L35" s="3630"/>
      <c r="M35" s="3630"/>
      <c r="N35" s="3630"/>
      <c r="O35" s="3630"/>
      <c r="P35" s="3630"/>
      <c r="Q35" s="3630"/>
      <c r="R35" s="3630"/>
      <c r="S35" s="3630"/>
      <c r="T35" s="3630"/>
      <c r="U35" s="3631"/>
    </row>
    <row r="36" spans="1:21" ht="30" customHeight="1" x14ac:dyDescent="0.2">
      <c r="A36" s="835">
        <v>9</v>
      </c>
      <c r="B36" s="835" t="s">
        <v>157</v>
      </c>
      <c r="D36" s="3629" t="s">
        <v>1526</v>
      </c>
      <c r="E36" s="3630"/>
      <c r="F36" s="3630"/>
      <c r="G36" s="3630"/>
      <c r="H36" s="3630"/>
      <c r="I36" s="3630"/>
      <c r="J36" s="3630"/>
      <c r="K36" s="3630"/>
      <c r="L36" s="3630"/>
      <c r="M36" s="3630"/>
      <c r="N36" s="3630"/>
      <c r="O36" s="3630"/>
      <c r="P36" s="3630"/>
      <c r="Q36" s="3630"/>
      <c r="R36" s="3630"/>
      <c r="S36" s="3630"/>
      <c r="T36" s="3630"/>
      <c r="U36" s="3631"/>
    </row>
  </sheetData>
  <mergeCells count="9">
    <mergeCell ref="D33:U33"/>
    <mergeCell ref="D34:U34"/>
    <mergeCell ref="D35:U35"/>
    <mergeCell ref="D36:U36"/>
    <mergeCell ref="D2:U2"/>
    <mergeCell ref="D3:U3"/>
    <mergeCell ref="D4:U4"/>
    <mergeCell ref="D5:U5"/>
    <mergeCell ref="D6:U6"/>
  </mergeCells>
  <pageMargins left="0.74803149606299213" right="0.74803149606299213" top="0.98425196850393704" bottom="0.98425196850393704" header="0.51181102362204722" footer="0.51181102362204722"/>
  <pageSetup paperSize="9" scale="6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40"/>
  <sheetViews>
    <sheetView showGridLines="0" view="pageBreakPreview" zoomScaleNormal="100" zoomScaleSheetLayoutView="100" workbookViewId="0">
      <selection activeCell="D7" sqref="D7"/>
    </sheetView>
  </sheetViews>
  <sheetFormatPr defaultColWidth="9.140625" defaultRowHeight="15" x14ac:dyDescent="0.25"/>
  <cols>
    <col min="1" max="1" width="3.7109375" style="113" customWidth="1"/>
    <col min="2" max="2" width="14.42578125" style="110" customWidth="1"/>
    <col min="3" max="3" width="3.7109375" style="111" customWidth="1"/>
    <col min="4" max="4" width="9.42578125" style="51" customWidth="1"/>
    <col min="5" max="5" width="6.85546875" style="51" customWidth="1"/>
    <col min="6" max="25" width="8.140625" style="51" customWidth="1"/>
    <col min="26" max="26" width="7" style="51" customWidth="1"/>
    <col min="27" max="16384" width="9.140625" style="51"/>
  </cols>
  <sheetData>
    <row r="1" spans="1:28" x14ac:dyDescent="0.25">
      <c r="A1" s="109"/>
      <c r="D1" s="112"/>
      <c r="E1" s="112"/>
      <c r="F1" s="112"/>
      <c r="G1" s="112"/>
      <c r="H1" s="112"/>
      <c r="I1" s="112"/>
      <c r="J1" s="112"/>
      <c r="K1" s="112"/>
      <c r="L1" s="112"/>
      <c r="M1" s="112"/>
      <c r="N1" s="112"/>
      <c r="O1" s="112"/>
      <c r="P1" s="112"/>
      <c r="Q1" s="112"/>
      <c r="R1" s="112"/>
      <c r="S1" s="112"/>
      <c r="T1" s="112"/>
      <c r="U1" s="112"/>
      <c r="V1" s="112"/>
      <c r="W1" s="112"/>
    </row>
    <row r="2" spans="1:28" ht="12.75" customHeight="1" x14ac:dyDescent="0.25">
      <c r="A2" s="113">
        <v>1</v>
      </c>
      <c r="B2" s="114" t="s">
        <v>24</v>
      </c>
      <c r="C2" s="113">
        <f>'[3]GDP per Capita'!C2+1</f>
        <v>3</v>
      </c>
      <c r="D2" s="3559" t="s">
        <v>100</v>
      </c>
      <c r="E2" s="3560"/>
      <c r="F2" s="3560"/>
      <c r="G2" s="3560"/>
      <c r="H2" s="3560"/>
      <c r="I2" s="3560"/>
      <c r="J2" s="3560"/>
      <c r="K2" s="3560"/>
      <c r="L2" s="3560"/>
      <c r="M2" s="3560"/>
      <c r="N2" s="3560"/>
      <c r="O2" s="3560"/>
      <c r="P2" s="3560"/>
      <c r="Q2" s="3560"/>
      <c r="R2" s="3560"/>
      <c r="S2" s="3560"/>
      <c r="T2" s="3560"/>
      <c r="U2" s="3560"/>
      <c r="V2" s="3560"/>
      <c r="W2" s="3560"/>
      <c r="X2" s="3560"/>
      <c r="Y2" s="3560"/>
      <c r="Z2" s="3560"/>
      <c r="AA2" s="3561"/>
    </row>
    <row r="3" spans="1:28" ht="12.75" customHeight="1" x14ac:dyDescent="0.25">
      <c r="A3" s="113">
        <v>2</v>
      </c>
      <c r="B3" s="114" t="s">
        <v>26</v>
      </c>
      <c r="C3" s="113"/>
      <c r="D3" s="3562" t="s">
        <v>101</v>
      </c>
      <c r="E3" s="3563"/>
      <c r="F3" s="3563"/>
      <c r="G3" s="3563"/>
      <c r="H3" s="3563"/>
      <c r="I3" s="3563"/>
      <c r="J3" s="3563"/>
      <c r="K3" s="3563"/>
      <c r="L3" s="3563"/>
      <c r="M3" s="3563"/>
      <c r="N3" s="3563"/>
      <c r="O3" s="3563"/>
      <c r="P3" s="3563"/>
      <c r="Q3" s="3563"/>
      <c r="R3" s="3563"/>
      <c r="S3" s="3563"/>
      <c r="T3" s="3563"/>
      <c r="U3" s="3563"/>
      <c r="V3" s="3563"/>
      <c r="W3" s="3563"/>
      <c r="X3" s="3563"/>
      <c r="Y3" s="3563"/>
      <c r="Z3" s="3563"/>
      <c r="AA3" s="3564"/>
    </row>
    <row r="4" spans="1:28" ht="12.75" customHeight="1" x14ac:dyDescent="0.25">
      <c r="A4" s="113">
        <v>3</v>
      </c>
      <c r="B4" s="114" t="s">
        <v>28</v>
      </c>
      <c r="C4" s="113"/>
      <c r="D4" s="3565" t="s">
        <v>102</v>
      </c>
      <c r="E4" s="3566"/>
      <c r="F4" s="3566"/>
      <c r="G4" s="3566"/>
      <c r="H4" s="3566"/>
      <c r="I4" s="3566"/>
      <c r="J4" s="3566"/>
      <c r="K4" s="3566"/>
      <c r="L4" s="3566"/>
      <c r="M4" s="3566"/>
      <c r="N4" s="3566"/>
      <c r="O4" s="3566"/>
      <c r="P4" s="3566"/>
      <c r="Q4" s="3566"/>
      <c r="R4" s="3566"/>
      <c r="S4" s="3566"/>
      <c r="T4" s="3566"/>
      <c r="U4" s="3566"/>
      <c r="V4" s="3566"/>
      <c r="W4" s="3566"/>
      <c r="X4" s="3566"/>
      <c r="Y4" s="3566"/>
      <c r="Z4" s="3566"/>
      <c r="AA4" s="3567"/>
    </row>
    <row r="5" spans="1:28" x14ac:dyDescent="0.25">
      <c r="C5" s="115"/>
      <c r="D5" s="112"/>
      <c r="E5" s="112"/>
      <c r="F5" s="112"/>
      <c r="G5" s="112"/>
      <c r="H5" s="112"/>
      <c r="I5" s="112"/>
      <c r="J5" s="112"/>
      <c r="K5" s="112"/>
      <c r="L5" s="112"/>
      <c r="M5" s="112"/>
      <c r="N5" s="112"/>
      <c r="O5" s="112"/>
      <c r="P5" s="112"/>
      <c r="Q5" s="112"/>
      <c r="R5" s="117"/>
      <c r="S5" s="117"/>
      <c r="T5" s="112"/>
      <c r="U5" s="112"/>
      <c r="V5" s="112"/>
      <c r="W5" s="112"/>
    </row>
    <row r="6" spans="1:28" x14ac:dyDescent="0.25">
      <c r="A6" s="113">
        <v>5</v>
      </c>
      <c r="B6" s="118" t="s">
        <v>1</v>
      </c>
      <c r="C6" s="113">
        <v>4</v>
      </c>
      <c r="D6" s="120" t="s">
        <v>103</v>
      </c>
      <c r="E6" s="120"/>
      <c r="F6" s="120" t="str">
        <f>D2</f>
        <v>Net Foreign Direct Investment ( Net FDI)</v>
      </c>
      <c r="G6" s="120"/>
      <c r="H6" s="120"/>
      <c r="I6" s="120"/>
      <c r="J6" s="120"/>
      <c r="K6" s="120"/>
      <c r="L6" s="120"/>
      <c r="M6" s="120"/>
      <c r="N6" s="130"/>
      <c r="O6" s="130"/>
      <c r="P6" s="130"/>
      <c r="Q6" s="130"/>
      <c r="R6" s="130"/>
      <c r="S6" s="130"/>
      <c r="T6" s="130"/>
      <c r="U6" s="133"/>
      <c r="V6" s="133"/>
      <c r="W6" s="133"/>
    </row>
    <row r="7" spans="1:28" s="145" customFormat="1" x14ac:dyDescent="0.25">
      <c r="A7" s="140"/>
      <c r="B7" s="141"/>
      <c r="C7" s="142"/>
      <c r="D7" s="2995" t="s">
        <v>104</v>
      </c>
      <c r="E7" s="401"/>
      <c r="F7" s="143" t="s">
        <v>33</v>
      </c>
      <c r="G7" s="143" t="s">
        <v>34</v>
      </c>
      <c r="H7" s="143" t="s">
        <v>35</v>
      </c>
      <c r="I7" s="143" t="s">
        <v>36</v>
      </c>
      <c r="J7" s="143" t="s">
        <v>37</v>
      </c>
      <c r="K7" s="143" t="s">
        <v>38</v>
      </c>
      <c r="L7" s="143" t="s">
        <v>39</v>
      </c>
      <c r="M7" s="143" t="s">
        <v>40</v>
      </c>
      <c r="N7" s="143" t="s">
        <v>41</v>
      </c>
      <c r="O7" s="143" t="s">
        <v>42</v>
      </c>
      <c r="P7" s="143" t="s">
        <v>43</v>
      </c>
      <c r="Q7" s="143" t="s">
        <v>44</v>
      </c>
      <c r="R7" s="144" t="s">
        <v>45</v>
      </c>
      <c r="S7" s="144" t="s">
        <v>46</v>
      </c>
      <c r="T7" s="144" t="s">
        <v>47</v>
      </c>
      <c r="U7" s="144" t="s">
        <v>48</v>
      </c>
      <c r="V7" s="144" t="s">
        <v>49</v>
      </c>
      <c r="W7" s="144" t="s">
        <v>50</v>
      </c>
      <c r="X7" s="144" t="s">
        <v>51</v>
      </c>
      <c r="Y7" s="144" t="s">
        <v>52</v>
      </c>
      <c r="Z7" s="144" t="s">
        <v>105</v>
      </c>
      <c r="AA7" s="144" t="s">
        <v>106</v>
      </c>
    </row>
    <row r="8" spans="1:28" x14ac:dyDescent="0.25">
      <c r="D8" s="2983" t="s">
        <v>107</v>
      </c>
      <c r="E8" s="146"/>
      <c r="F8" s="147">
        <v>-3.04</v>
      </c>
      <c r="G8" s="147">
        <v>-4.5570000000000004</v>
      </c>
      <c r="H8" s="147">
        <v>-0.97</v>
      </c>
      <c r="I8" s="147">
        <v>6.7560000000000002</v>
      </c>
      <c r="J8" s="147">
        <v>-6.7370000000000001</v>
      </c>
      <c r="K8" s="147">
        <v>-0.47499999999999998</v>
      </c>
      <c r="L8" s="147">
        <v>4.28</v>
      </c>
      <c r="M8" s="148">
        <v>85.763000000000005</v>
      </c>
      <c r="N8" s="148">
        <v>20.734999999999999</v>
      </c>
      <c r="O8" s="148">
        <v>1.2749999999999999</v>
      </c>
      <c r="P8" s="148">
        <v>-3.5659999999999998</v>
      </c>
      <c r="Q8" s="148">
        <v>36.353999999999999</v>
      </c>
      <c r="R8" s="149">
        <v>-38.948999999999998</v>
      </c>
      <c r="S8" s="149">
        <v>25.167000000000002</v>
      </c>
      <c r="T8" s="149">
        <v>101.967</v>
      </c>
      <c r="U8" s="149">
        <v>53.813000000000002</v>
      </c>
      <c r="V8" s="149">
        <v>27.170999999999999</v>
      </c>
      <c r="W8" s="149">
        <v>32.673000000000002</v>
      </c>
      <c r="X8" s="149">
        <v>12.9</v>
      </c>
      <c r="Y8" s="149">
        <v>15.942</v>
      </c>
      <c r="Z8" s="1529">
        <v>-20.606999999999999</v>
      </c>
      <c r="AA8" s="1529">
        <v>-45.631999999999998</v>
      </c>
    </row>
    <row r="9" spans="1:28" ht="15" customHeight="1" x14ac:dyDescent="0.25">
      <c r="D9" s="132"/>
      <c r="E9" s="132"/>
      <c r="F9" s="150"/>
      <c r="G9" s="150"/>
      <c r="H9" s="150"/>
      <c r="I9" s="150"/>
      <c r="J9" s="150"/>
      <c r="K9" s="150"/>
      <c r="L9" s="150"/>
      <c r="M9" s="150"/>
      <c r="N9" s="150"/>
      <c r="O9" s="150"/>
      <c r="P9" s="150"/>
      <c r="Q9" s="150"/>
      <c r="R9" s="151"/>
      <c r="S9" s="151"/>
      <c r="T9" s="112"/>
      <c r="U9" s="112"/>
      <c r="V9" s="112"/>
      <c r="W9" s="112"/>
      <c r="Z9" s="152"/>
    </row>
    <row r="10" spans="1:28" x14ac:dyDescent="0.25">
      <c r="A10" s="113">
        <v>6</v>
      </c>
      <c r="B10" s="114" t="s">
        <v>77</v>
      </c>
      <c r="C10" s="113"/>
      <c r="D10" s="112"/>
      <c r="E10" s="112"/>
      <c r="F10" s="117"/>
      <c r="G10" s="117"/>
      <c r="H10" s="117"/>
      <c r="I10" s="117"/>
      <c r="J10" s="117"/>
      <c r="K10" s="117"/>
      <c r="L10" s="117"/>
      <c r="M10" s="117"/>
      <c r="N10" s="117"/>
      <c r="O10" s="117"/>
      <c r="P10" s="117"/>
      <c r="Q10" s="117"/>
      <c r="R10" s="117"/>
      <c r="S10" s="117"/>
      <c r="T10" s="112"/>
      <c r="U10" s="112"/>
      <c r="V10" s="112"/>
      <c r="W10" s="112"/>
      <c r="Z10" s="152"/>
      <c r="AA10" s="153"/>
      <c r="AB10" s="154"/>
    </row>
    <row r="11" spans="1:28" x14ac:dyDescent="0.25">
      <c r="D11" s="112"/>
      <c r="E11" s="112"/>
      <c r="F11" s="117"/>
      <c r="G11" s="117"/>
      <c r="H11" s="117"/>
      <c r="I11" s="117"/>
      <c r="J11" s="117"/>
      <c r="K11" s="117"/>
      <c r="L11" s="117"/>
      <c r="M11" s="117"/>
      <c r="N11" s="117"/>
      <c r="O11" s="117"/>
      <c r="P11" s="117"/>
      <c r="Q11" s="117"/>
      <c r="R11" s="117"/>
      <c r="S11" s="117"/>
      <c r="T11" s="112"/>
      <c r="U11" s="112"/>
      <c r="V11" s="112"/>
      <c r="W11" s="112"/>
      <c r="Z11" s="152"/>
      <c r="AA11" s="153"/>
      <c r="AB11" s="154"/>
    </row>
    <row r="12" spans="1:28" x14ac:dyDescent="0.25">
      <c r="D12" s="112"/>
      <c r="E12" s="112"/>
      <c r="F12" s="117"/>
      <c r="G12" s="117"/>
      <c r="H12" s="117"/>
      <c r="I12" s="117"/>
      <c r="J12" s="117"/>
      <c r="K12" s="117"/>
      <c r="L12" s="117"/>
      <c r="M12" s="117"/>
      <c r="N12" s="117"/>
      <c r="O12" s="117"/>
      <c r="P12" s="117"/>
      <c r="Q12" s="117"/>
      <c r="R12" s="117"/>
      <c r="S12" s="117"/>
      <c r="T12" s="112"/>
      <c r="U12" s="112"/>
      <c r="V12" s="112"/>
      <c r="W12" s="112"/>
      <c r="Z12" s="152"/>
      <c r="AA12" s="153"/>
      <c r="AB12" s="154"/>
    </row>
    <row r="13" spans="1:28" x14ac:dyDescent="0.25">
      <c r="D13" s="112"/>
      <c r="E13" s="112"/>
      <c r="F13" s="117"/>
      <c r="G13" s="117"/>
      <c r="H13" s="117"/>
      <c r="I13" s="117"/>
      <c r="J13" s="117"/>
      <c r="K13" s="117"/>
      <c r="L13" s="117"/>
      <c r="M13" s="117"/>
      <c r="N13" s="117"/>
      <c r="O13" s="117"/>
      <c r="P13" s="117"/>
      <c r="Q13" s="117"/>
      <c r="R13" s="117"/>
      <c r="S13" s="117"/>
      <c r="T13" s="112"/>
      <c r="U13" s="112"/>
      <c r="V13" s="112"/>
      <c r="W13" s="112"/>
      <c r="Z13" s="152"/>
      <c r="AA13" s="153"/>
      <c r="AB13" s="154"/>
    </row>
    <row r="14" spans="1:28" x14ac:dyDescent="0.25">
      <c r="D14" s="112"/>
      <c r="E14" s="112"/>
      <c r="F14" s="117"/>
      <c r="G14" s="117"/>
      <c r="H14" s="117"/>
      <c r="I14" s="117"/>
      <c r="J14" s="117"/>
      <c r="K14" s="117"/>
      <c r="L14" s="117"/>
      <c r="M14" s="116"/>
      <c r="N14" s="117"/>
      <c r="O14" s="117"/>
      <c r="P14" s="117"/>
      <c r="Q14" s="117"/>
      <c r="R14" s="112"/>
      <c r="S14" s="112"/>
      <c r="T14" s="112"/>
      <c r="U14" s="112"/>
      <c r="V14" s="112"/>
      <c r="W14" s="112"/>
      <c r="Z14" s="152"/>
      <c r="AA14" s="153"/>
      <c r="AB14" s="154"/>
    </row>
    <row r="15" spans="1:28" x14ac:dyDescent="0.25">
      <c r="D15" s="112"/>
      <c r="E15" s="112"/>
      <c r="F15" s="117"/>
      <c r="G15" s="117"/>
      <c r="H15" s="117"/>
      <c r="I15" s="117"/>
      <c r="J15" s="117"/>
      <c r="K15" s="117"/>
      <c r="L15" s="117"/>
      <c r="M15" s="116" t="s">
        <v>108</v>
      </c>
      <c r="N15" s="117"/>
      <c r="O15" s="117"/>
      <c r="P15" s="117"/>
      <c r="Q15" s="117"/>
      <c r="R15" s="112"/>
      <c r="S15" s="112"/>
      <c r="T15" s="112"/>
      <c r="U15" s="112"/>
      <c r="V15" s="112"/>
      <c r="W15" s="112"/>
      <c r="Z15" s="152"/>
      <c r="AA15" s="153"/>
      <c r="AB15" s="154"/>
    </row>
    <row r="16" spans="1:28" x14ac:dyDescent="0.25">
      <c r="D16" s="112"/>
      <c r="E16" s="112"/>
      <c r="F16" s="117"/>
      <c r="G16" s="117"/>
      <c r="H16" s="117"/>
      <c r="I16" s="117"/>
      <c r="J16" s="117"/>
      <c r="K16" s="117"/>
      <c r="L16" s="117"/>
      <c r="M16" s="117"/>
      <c r="N16" s="117"/>
      <c r="O16" s="117"/>
      <c r="P16" s="117"/>
      <c r="Q16" s="117"/>
      <c r="R16" s="112"/>
      <c r="S16" s="112"/>
      <c r="T16" s="112"/>
      <c r="U16" s="112"/>
      <c r="V16" s="112"/>
      <c r="W16" s="112"/>
      <c r="Z16" s="152"/>
      <c r="AA16" s="153"/>
      <c r="AB16" s="154"/>
    </row>
    <row r="17" spans="1:28" x14ac:dyDescent="0.25">
      <c r="D17" s="112"/>
      <c r="E17" s="112"/>
      <c r="F17" s="117"/>
      <c r="G17" s="117"/>
      <c r="H17" s="117"/>
      <c r="I17" s="117"/>
      <c r="J17" s="117"/>
      <c r="K17" s="117"/>
      <c r="L17" s="117"/>
      <c r="M17" s="117"/>
      <c r="N17" s="117"/>
      <c r="O17" s="117"/>
      <c r="P17" s="117"/>
      <c r="Q17" s="117"/>
      <c r="R17" s="112"/>
      <c r="S17" s="112"/>
      <c r="T17" s="112"/>
      <c r="U17" s="112"/>
      <c r="V17" s="112"/>
      <c r="W17" s="112"/>
      <c r="Z17" s="152"/>
      <c r="AA17" s="153"/>
      <c r="AB17" s="154"/>
    </row>
    <row r="18" spans="1:28" x14ac:dyDescent="0.25">
      <c r="D18" s="112"/>
      <c r="E18" s="112"/>
      <c r="F18" s="117"/>
      <c r="G18" s="117"/>
      <c r="H18" s="117"/>
      <c r="I18" s="117"/>
      <c r="J18" s="117"/>
      <c r="K18" s="117"/>
      <c r="L18" s="117"/>
      <c r="M18" s="116" t="s">
        <v>109</v>
      </c>
      <c r="N18" s="117"/>
      <c r="O18" s="117"/>
      <c r="P18" s="117"/>
      <c r="Q18" s="117"/>
      <c r="R18" s="112"/>
      <c r="S18" s="112"/>
      <c r="T18" s="112"/>
      <c r="U18" s="112"/>
      <c r="V18" s="112"/>
      <c r="W18" s="112"/>
      <c r="Z18" s="155"/>
      <c r="AA18" s="153"/>
      <c r="AB18" s="154"/>
    </row>
    <row r="19" spans="1:28" x14ac:dyDescent="0.25">
      <c r="D19" s="112"/>
      <c r="E19" s="112"/>
      <c r="F19" s="117"/>
      <c r="G19" s="117"/>
      <c r="H19" s="117"/>
      <c r="I19" s="117"/>
      <c r="J19" s="117"/>
      <c r="K19" s="117"/>
      <c r="L19" s="117"/>
      <c r="M19" s="117"/>
      <c r="N19" s="117"/>
      <c r="O19" s="117"/>
      <c r="P19" s="117"/>
      <c r="Q19" s="117"/>
      <c r="R19" s="117"/>
      <c r="S19" s="117"/>
      <c r="T19" s="112"/>
      <c r="U19" s="112"/>
      <c r="V19" s="112"/>
      <c r="W19" s="112"/>
      <c r="AA19" s="153"/>
      <c r="AB19" s="154"/>
    </row>
    <row r="20" spans="1:28" x14ac:dyDescent="0.25">
      <c r="D20" s="112"/>
      <c r="E20" s="112"/>
      <c r="F20" s="112"/>
      <c r="G20" s="112"/>
      <c r="H20" s="112"/>
      <c r="I20" s="112"/>
      <c r="J20" s="112"/>
      <c r="K20" s="112"/>
      <c r="L20" s="112"/>
      <c r="M20" s="112"/>
      <c r="N20" s="112"/>
      <c r="O20" s="112"/>
      <c r="P20" s="112"/>
      <c r="Q20" s="112"/>
      <c r="R20" s="112"/>
      <c r="S20" s="112"/>
      <c r="T20" s="112"/>
      <c r="U20" s="112"/>
      <c r="V20" s="112"/>
      <c r="W20" s="112"/>
      <c r="AA20" s="153"/>
      <c r="AB20" s="154"/>
    </row>
    <row r="21" spans="1:28" x14ac:dyDescent="0.25">
      <c r="D21" s="112"/>
      <c r="E21" s="112"/>
      <c r="F21" s="112"/>
      <c r="G21" s="112"/>
      <c r="H21" s="112"/>
      <c r="I21" s="112"/>
      <c r="J21" s="112"/>
      <c r="K21" s="112"/>
      <c r="L21" s="112"/>
      <c r="M21" s="112"/>
      <c r="N21" s="112"/>
      <c r="O21" s="112"/>
      <c r="P21" s="112"/>
      <c r="Q21" s="112"/>
      <c r="R21" s="112"/>
      <c r="S21" s="112"/>
      <c r="T21" s="112"/>
      <c r="U21" s="112"/>
      <c r="V21" s="112"/>
      <c r="W21" s="112"/>
      <c r="AA21" s="153"/>
      <c r="AB21" s="154"/>
    </row>
    <row r="22" spans="1:28" x14ac:dyDescent="0.25">
      <c r="D22" s="112"/>
      <c r="E22" s="112"/>
      <c r="F22" s="112"/>
      <c r="G22" s="112"/>
      <c r="H22" s="112"/>
      <c r="I22" s="112"/>
      <c r="J22" s="112"/>
      <c r="K22" s="112"/>
      <c r="L22" s="112"/>
      <c r="M22" s="112"/>
      <c r="N22" s="112"/>
      <c r="O22" s="112"/>
      <c r="P22" s="112"/>
      <c r="Q22" s="112"/>
      <c r="R22" s="112"/>
      <c r="S22" s="112"/>
      <c r="T22" s="112"/>
      <c r="U22" s="112"/>
      <c r="V22" s="112"/>
      <c r="W22" s="112"/>
      <c r="AA22" s="153"/>
      <c r="AB22" s="154"/>
    </row>
    <row r="23" spans="1:28" x14ac:dyDescent="0.25">
      <c r="D23" s="112"/>
      <c r="E23" s="112"/>
      <c r="F23" s="112"/>
      <c r="G23" s="112"/>
      <c r="H23" s="112"/>
      <c r="I23" s="112"/>
      <c r="J23" s="112"/>
      <c r="K23" s="112"/>
      <c r="L23" s="112"/>
      <c r="M23" s="112"/>
      <c r="N23" s="112"/>
      <c r="O23" s="112"/>
      <c r="P23" s="112"/>
      <c r="Q23" s="112"/>
      <c r="R23" s="112"/>
      <c r="S23" s="112"/>
      <c r="T23" s="112"/>
      <c r="U23" s="112"/>
      <c r="V23" s="112"/>
      <c r="W23" s="112"/>
      <c r="AA23" s="153"/>
      <c r="AB23" s="154"/>
    </row>
    <row r="24" spans="1:28" x14ac:dyDescent="0.25">
      <c r="D24" s="112"/>
      <c r="E24" s="112"/>
      <c r="F24" s="112"/>
      <c r="G24" s="112"/>
      <c r="H24" s="112"/>
      <c r="I24" s="112"/>
      <c r="J24" s="112"/>
      <c r="K24" s="112"/>
      <c r="L24" s="112"/>
      <c r="M24" s="112"/>
      <c r="N24" s="112"/>
      <c r="O24" s="112"/>
      <c r="P24" s="112"/>
      <c r="Q24" s="112"/>
      <c r="R24" s="112"/>
      <c r="S24" s="112"/>
      <c r="T24" s="112"/>
      <c r="U24" s="112"/>
      <c r="V24" s="112"/>
      <c r="W24" s="112"/>
      <c r="AA24" s="153"/>
      <c r="AB24" s="154"/>
    </row>
    <row r="25" spans="1:28" x14ac:dyDescent="0.25">
      <c r="D25" s="112"/>
      <c r="E25" s="112"/>
      <c r="F25" s="112"/>
      <c r="G25" s="112"/>
      <c r="H25" s="112"/>
      <c r="I25" s="112"/>
      <c r="J25" s="112"/>
      <c r="K25" s="112"/>
      <c r="L25" s="112"/>
      <c r="M25" s="112"/>
      <c r="N25" s="112"/>
      <c r="O25" s="112"/>
      <c r="P25" s="112"/>
      <c r="Q25" s="112"/>
      <c r="R25" s="112"/>
      <c r="S25" s="112"/>
      <c r="T25" s="112"/>
      <c r="U25" s="112"/>
      <c r="V25" s="112"/>
      <c r="W25" s="112"/>
      <c r="AA25" s="153"/>
      <c r="AB25" s="154"/>
    </row>
    <row r="26" spans="1:28" x14ac:dyDescent="0.25">
      <c r="D26" s="112"/>
      <c r="E26" s="112"/>
      <c r="F26" s="112"/>
      <c r="G26" s="112"/>
      <c r="H26" s="112"/>
      <c r="I26" s="112"/>
      <c r="J26" s="112"/>
      <c r="K26" s="112"/>
      <c r="L26" s="112"/>
      <c r="M26" s="112"/>
      <c r="N26" s="112"/>
      <c r="O26" s="112"/>
      <c r="P26" s="112"/>
      <c r="Q26" s="112"/>
      <c r="R26" s="112"/>
      <c r="S26" s="112"/>
      <c r="T26" s="112"/>
      <c r="U26" s="112"/>
      <c r="V26" s="112"/>
      <c r="W26" s="112"/>
      <c r="AA26" s="153"/>
      <c r="AB26" s="154"/>
    </row>
    <row r="27" spans="1:28" x14ac:dyDescent="0.25">
      <c r="D27" s="112"/>
      <c r="E27" s="112"/>
      <c r="F27" s="112"/>
      <c r="G27" s="112"/>
      <c r="H27" s="112"/>
      <c r="I27" s="112"/>
      <c r="J27" s="112"/>
      <c r="K27" s="112"/>
      <c r="L27" s="112"/>
      <c r="M27" s="112"/>
      <c r="N27" s="112"/>
      <c r="O27" s="112"/>
      <c r="P27" s="112"/>
      <c r="Q27" s="112"/>
      <c r="R27" s="112"/>
      <c r="S27" s="112"/>
      <c r="T27" s="112"/>
      <c r="U27" s="112"/>
      <c r="V27" s="112"/>
      <c r="W27" s="112"/>
      <c r="AA27" s="153"/>
      <c r="AB27" s="154"/>
    </row>
    <row r="28" spans="1:28" x14ac:dyDescent="0.25">
      <c r="D28" s="112"/>
      <c r="E28" s="112"/>
      <c r="F28" s="112"/>
      <c r="G28" s="112"/>
      <c r="H28" s="112"/>
      <c r="I28" s="112"/>
      <c r="J28" s="112"/>
      <c r="K28" s="112"/>
      <c r="L28" s="112"/>
      <c r="M28" s="112"/>
      <c r="N28" s="112"/>
      <c r="O28" s="112"/>
      <c r="P28" s="112"/>
      <c r="Q28" s="112"/>
      <c r="R28" s="112"/>
      <c r="S28" s="112"/>
      <c r="T28" s="112"/>
      <c r="U28" s="112"/>
      <c r="V28" s="112"/>
      <c r="W28" s="112"/>
      <c r="AA28" s="153"/>
      <c r="AB28" s="154"/>
    </row>
    <row r="29" spans="1:28" ht="12" customHeight="1" x14ac:dyDescent="0.25">
      <c r="D29" s="112"/>
      <c r="E29" s="112"/>
      <c r="F29" s="112"/>
      <c r="G29" s="112"/>
      <c r="H29" s="112"/>
      <c r="I29" s="112"/>
      <c r="J29" s="112"/>
      <c r="K29" s="112"/>
      <c r="L29" s="112"/>
      <c r="M29" s="112"/>
      <c r="N29" s="112"/>
      <c r="O29" s="112"/>
      <c r="P29" s="112"/>
      <c r="Q29" s="112"/>
      <c r="R29" s="112"/>
      <c r="S29" s="112"/>
      <c r="T29" s="112"/>
      <c r="U29" s="112"/>
      <c r="V29" s="112"/>
      <c r="W29" s="112"/>
      <c r="AA29" s="153"/>
      <c r="AB29" s="154"/>
    </row>
    <row r="30" spans="1:28" ht="12.75" customHeight="1" x14ac:dyDescent="0.25">
      <c r="A30" s="113">
        <v>7</v>
      </c>
      <c r="B30" s="114" t="s">
        <v>78</v>
      </c>
      <c r="C30" s="113">
        <v>6</v>
      </c>
      <c r="D30" s="3556" t="s">
        <v>110</v>
      </c>
      <c r="E30" s="3557"/>
      <c r="F30" s="3557"/>
      <c r="G30" s="3557"/>
      <c r="H30" s="3557"/>
      <c r="I30" s="3557"/>
      <c r="J30" s="3557"/>
      <c r="K30" s="3557"/>
      <c r="L30" s="3557"/>
      <c r="M30" s="3557"/>
      <c r="N30" s="3557"/>
      <c r="O30" s="3557"/>
      <c r="P30" s="3557"/>
      <c r="Q30" s="3557"/>
      <c r="R30" s="3557"/>
      <c r="S30" s="3557"/>
      <c r="T30" s="3557"/>
      <c r="U30" s="3557"/>
      <c r="V30" s="3557"/>
      <c r="W30" s="3557"/>
      <c r="X30" s="3557"/>
      <c r="Y30" s="3557"/>
      <c r="Z30" s="3557"/>
      <c r="AA30" s="3558"/>
    </row>
    <row r="31" spans="1:28" ht="15" customHeight="1" x14ac:dyDescent="0.25">
      <c r="A31" s="136">
        <v>8</v>
      </c>
      <c r="B31" s="137" t="s">
        <v>80</v>
      </c>
      <c r="C31" s="136"/>
      <c r="D31" s="3568" t="s">
        <v>111</v>
      </c>
      <c r="E31" s="3569"/>
      <c r="F31" s="3569"/>
      <c r="G31" s="3569"/>
      <c r="H31" s="3569"/>
      <c r="I31" s="3569"/>
      <c r="J31" s="3569"/>
      <c r="K31" s="3569"/>
      <c r="L31" s="3569"/>
      <c r="M31" s="3569"/>
      <c r="N31" s="3569"/>
      <c r="O31" s="3569"/>
      <c r="P31" s="3569"/>
      <c r="Q31" s="3569"/>
      <c r="R31" s="3569"/>
      <c r="S31" s="3569"/>
      <c r="T31" s="3569"/>
      <c r="U31" s="3569"/>
      <c r="V31" s="3569"/>
      <c r="W31" s="3569"/>
      <c r="X31" s="3569"/>
      <c r="Y31" s="3569"/>
      <c r="Z31" s="3569"/>
      <c r="AA31" s="3570"/>
    </row>
    <row r="32" spans="1:28" ht="12.75" customHeight="1" x14ac:dyDescent="0.25">
      <c r="A32" s="113">
        <v>9</v>
      </c>
      <c r="B32" s="114" t="s">
        <v>20</v>
      </c>
      <c r="C32" s="113"/>
      <c r="D32" s="3556" t="s">
        <v>112</v>
      </c>
      <c r="E32" s="3557"/>
      <c r="F32" s="3557"/>
      <c r="G32" s="3557"/>
      <c r="H32" s="3557"/>
      <c r="I32" s="3557"/>
      <c r="J32" s="3557"/>
      <c r="K32" s="3557"/>
      <c r="L32" s="3557"/>
      <c r="M32" s="3557"/>
      <c r="N32" s="3557"/>
      <c r="O32" s="3557"/>
      <c r="P32" s="3557"/>
      <c r="Q32" s="3557"/>
      <c r="R32" s="3557"/>
      <c r="S32" s="3557"/>
      <c r="T32" s="3557"/>
      <c r="U32" s="3557"/>
      <c r="V32" s="3557"/>
      <c r="W32" s="3557"/>
      <c r="X32" s="3557"/>
      <c r="Y32" s="3557"/>
      <c r="Z32" s="3557"/>
      <c r="AA32" s="3558"/>
    </row>
    <row r="34" spans="5:28" x14ac:dyDescent="0.25">
      <c r="F34" s="156"/>
      <c r="G34" s="156"/>
      <c r="H34" s="156"/>
      <c r="I34" s="156"/>
      <c r="J34" s="156"/>
      <c r="K34" s="156"/>
      <c r="L34" s="156"/>
      <c r="M34" s="156"/>
      <c r="N34" s="156"/>
      <c r="O34" s="156"/>
      <c r="P34" s="156"/>
      <c r="Q34" s="156"/>
      <c r="R34" s="157"/>
      <c r="S34" s="157"/>
      <c r="T34" s="157"/>
      <c r="U34" s="157"/>
      <c r="V34" s="157"/>
      <c r="W34" s="157"/>
      <c r="X34" s="157"/>
      <c r="Y34" s="157"/>
    </row>
    <row r="35" spans="5:28" x14ac:dyDescent="0.25">
      <c r="E35" s="51">
        <v>1990</v>
      </c>
      <c r="F35" s="59">
        <v>1991</v>
      </c>
      <c r="G35" s="59">
        <v>1992</v>
      </c>
      <c r="H35" s="51">
        <v>1993</v>
      </c>
      <c r="I35" s="59">
        <v>1994</v>
      </c>
      <c r="J35" s="59">
        <v>1995</v>
      </c>
      <c r="K35" s="51">
        <v>1996</v>
      </c>
      <c r="L35" s="59">
        <v>1997</v>
      </c>
      <c r="M35" s="59">
        <v>1998</v>
      </c>
      <c r="N35" s="51">
        <v>1999</v>
      </c>
      <c r="O35" s="59">
        <v>2000</v>
      </c>
      <c r="P35" s="59">
        <v>2001</v>
      </c>
      <c r="Q35" s="51">
        <v>2002</v>
      </c>
      <c r="R35" s="59">
        <v>2003</v>
      </c>
      <c r="S35" s="59">
        <v>2004</v>
      </c>
      <c r="T35" s="51">
        <v>2005</v>
      </c>
      <c r="U35" s="59">
        <v>2006</v>
      </c>
      <c r="V35" s="59">
        <v>2007</v>
      </c>
      <c r="W35" s="51">
        <v>2008</v>
      </c>
      <c r="X35" s="59">
        <v>2009</v>
      </c>
      <c r="Y35" s="59">
        <v>2010</v>
      </c>
      <c r="Z35" s="51">
        <v>2011</v>
      </c>
      <c r="AA35" s="59">
        <v>2012</v>
      </c>
      <c r="AB35" s="59">
        <v>2013</v>
      </c>
    </row>
    <row r="36" spans="5:28" x14ac:dyDescent="0.25">
      <c r="E36" s="51">
        <v>-274</v>
      </c>
      <c r="F36" s="59">
        <v>111</v>
      </c>
      <c r="G36" s="59">
        <v>-5514</v>
      </c>
      <c r="H36" s="59">
        <v>-941</v>
      </c>
      <c r="I36" s="59">
        <v>-3040</v>
      </c>
      <c r="J36" s="59">
        <v>-4557</v>
      </c>
      <c r="K36" s="59">
        <v>-970</v>
      </c>
      <c r="L36" s="59">
        <v>6756</v>
      </c>
      <c r="M36" s="59">
        <v>-6737</v>
      </c>
      <c r="N36" s="59">
        <v>-475</v>
      </c>
      <c r="O36" s="59">
        <v>4280</v>
      </c>
      <c r="P36" s="59">
        <v>85763</v>
      </c>
      <c r="Q36" s="59">
        <v>20735</v>
      </c>
      <c r="R36" s="59">
        <v>1275</v>
      </c>
      <c r="S36" s="59">
        <v>-3566</v>
      </c>
      <c r="T36" s="59">
        <v>36354</v>
      </c>
      <c r="U36" s="59">
        <v>-38949</v>
      </c>
      <c r="V36" s="59">
        <v>25167</v>
      </c>
      <c r="W36" s="59">
        <v>101967</v>
      </c>
      <c r="X36" s="59">
        <v>53813</v>
      </c>
      <c r="Y36" s="59">
        <v>27171</v>
      </c>
      <c r="Z36" s="59">
        <v>32673</v>
      </c>
      <c r="AA36" s="59">
        <v>12900</v>
      </c>
      <c r="AB36" s="59">
        <v>15942</v>
      </c>
    </row>
    <row r="37" spans="5:28" x14ac:dyDescent="0.25">
      <c r="E37" s="51">
        <f>+E36/1000</f>
        <v>-0.27400000000000002</v>
      </c>
      <c r="F37" s="51">
        <f t="shared" ref="F37:AB37" si="0">+F36/1000</f>
        <v>0.111</v>
      </c>
      <c r="G37" s="51">
        <f t="shared" si="0"/>
        <v>-5.5140000000000002</v>
      </c>
      <c r="H37" s="51">
        <f t="shared" si="0"/>
        <v>-0.94099999999999995</v>
      </c>
      <c r="I37" s="51">
        <f t="shared" si="0"/>
        <v>-3.04</v>
      </c>
      <c r="J37" s="51">
        <f t="shared" si="0"/>
        <v>-4.5570000000000004</v>
      </c>
      <c r="K37" s="51">
        <f t="shared" si="0"/>
        <v>-0.97</v>
      </c>
      <c r="L37" s="51">
        <f t="shared" si="0"/>
        <v>6.7560000000000002</v>
      </c>
      <c r="M37" s="51">
        <f t="shared" si="0"/>
        <v>-6.7370000000000001</v>
      </c>
      <c r="N37" s="51">
        <f t="shared" si="0"/>
        <v>-0.47499999999999998</v>
      </c>
      <c r="O37" s="51">
        <f t="shared" si="0"/>
        <v>4.28</v>
      </c>
      <c r="P37" s="51">
        <f t="shared" si="0"/>
        <v>85.763000000000005</v>
      </c>
      <c r="Q37" s="51">
        <f t="shared" si="0"/>
        <v>20.734999999999999</v>
      </c>
      <c r="R37" s="51">
        <f t="shared" si="0"/>
        <v>1.2749999999999999</v>
      </c>
      <c r="S37" s="51">
        <f t="shared" si="0"/>
        <v>-3.5659999999999998</v>
      </c>
      <c r="T37" s="51">
        <f t="shared" si="0"/>
        <v>36.353999999999999</v>
      </c>
      <c r="U37" s="51">
        <f t="shared" si="0"/>
        <v>-38.948999999999998</v>
      </c>
      <c r="V37" s="51">
        <f t="shared" si="0"/>
        <v>25.167000000000002</v>
      </c>
      <c r="W37" s="51">
        <f t="shared" si="0"/>
        <v>101.967</v>
      </c>
      <c r="X37" s="51">
        <f t="shared" si="0"/>
        <v>53.813000000000002</v>
      </c>
      <c r="Y37" s="51">
        <f t="shared" si="0"/>
        <v>27.170999999999999</v>
      </c>
      <c r="Z37" s="51">
        <f t="shared" si="0"/>
        <v>32.673000000000002</v>
      </c>
      <c r="AA37" s="51">
        <f t="shared" si="0"/>
        <v>12.9</v>
      </c>
      <c r="AB37" s="51">
        <f t="shared" si="0"/>
        <v>15.942</v>
      </c>
    </row>
    <row r="38" spans="5:28" x14ac:dyDescent="0.25">
      <c r="F38" s="59"/>
      <c r="G38" s="59"/>
      <c r="H38" s="59"/>
      <c r="I38" s="158"/>
      <c r="J38" s="158"/>
      <c r="K38" s="158"/>
      <c r="L38" s="158"/>
      <c r="M38" s="158"/>
      <c r="N38" s="158"/>
      <c r="O38" s="158"/>
      <c r="P38" s="158"/>
      <c r="Q38" s="158"/>
      <c r="R38" s="158"/>
      <c r="S38" s="158"/>
      <c r="T38" s="158"/>
      <c r="U38" s="158"/>
      <c r="V38" s="158"/>
      <c r="W38" s="158"/>
      <c r="X38" s="158"/>
      <c r="Y38" s="158"/>
      <c r="Z38" s="158"/>
      <c r="AA38" s="158"/>
      <c r="AB38" s="158"/>
    </row>
    <row r="39" spans="5:28" x14ac:dyDescent="0.25">
      <c r="F39" s="59"/>
      <c r="G39" s="59"/>
      <c r="H39" s="59"/>
      <c r="I39" s="59"/>
      <c r="J39" s="59"/>
      <c r="K39" s="59"/>
      <c r="L39" s="59"/>
      <c r="M39" s="59"/>
      <c r="N39" s="59"/>
      <c r="O39" s="59"/>
      <c r="P39" s="59"/>
      <c r="Q39" s="59"/>
      <c r="R39" s="59"/>
      <c r="S39" s="59"/>
      <c r="T39" s="59"/>
      <c r="U39" s="59"/>
      <c r="V39" s="59"/>
      <c r="W39" s="59"/>
      <c r="X39" s="59"/>
      <c r="Y39" s="59"/>
      <c r="Z39" s="59"/>
      <c r="AA39" s="59"/>
      <c r="AB39" s="59"/>
    </row>
    <row r="40" spans="5:28" x14ac:dyDescent="0.25">
      <c r="F40" s="59"/>
      <c r="G40" s="59"/>
      <c r="H40" s="59"/>
      <c r="I40" s="59"/>
      <c r="J40" s="59"/>
      <c r="K40" s="59"/>
      <c r="L40" s="59"/>
      <c r="M40" s="59"/>
      <c r="N40" s="59"/>
      <c r="O40" s="59"/>
      <c r="P40" s="59"/>
      <c r="Q40" s="59"/>
      <c r="R40" s="59"/>
      <c r="S40" s="59"/>
      <c r="T40" s="59"/>
      <c r="U40" s="59"/>
      <c r="V40" s="59"/>
      <c r="W40" s="59"/>
      <c r="X40" s="59"/>
      <c r="Y40" s="59"/>
      <c r="Z40" s="59"/>
      <c r="AA40" s="59"/>
      <c r="AB40" s="59"/>
    </row>
  </sheetData>
  <mergeCells count="6">
    <mergeCell ref="D32:AA32"/>
    <mergeCell ref="D2:AA2"/>
    <mergeCell ref="D3:AA3"/>
    <mergeCell ref="D4:AA4"/>
    <mergeCell ref="D30:AA30"/>
    <mergeCell ref="D31:AA31"/>
  </mergeCells>
  <pageMargins left="0.74803149606299213" right="0.74803149606299213" top="0.98425196850393704" bottom="0.98425196850393704" header="0.51181102362204722" footer="0.51181102362204722"/>
  <pageSetup paperSize="9" scale="5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B59"/>
  <sheetViews>
    <sheetView showGridLines="0" view="pageBreakPreview" topLeftCell="E1" zoomScaleNormal="100" zoomScaleSheetLayoutView="100" workbookViewId="0">
      <selection activeCell="S21" sqref="S21"/>
    </sheetView>
  </sheetViews>
  <sheetFormatPr defaultColWidth="9.140625" defaultRowHeight="15" x14ac:dyDescent="0.2"/>
  <cols>
    <col min="1" max="1" width="3.7109375" style="965" customWidth="1"/>
    <col min="2" max="2" width="14.42578125" style="1277" customWidth="1"/>
    <col min="3" max="3" width="3.7109375" style="1277" customWidth="1"/>
    <col min="4" max="4" width="23.42578125" style="964" customWidth="1"/>
    <col min="5" max="25" width="6.28515625" style="964" customWidth="1"/>
    <col min="26" max="37" width="10" style="964" bestFit="1" customWidth="1"/>
    <col min="38" max="260" width="9.140625" style="964"/>
    <col min="261" max="261" width="3.7109375" style="964" customWidth="1"/>
    <col min="262" max="262" width="14.42578125" style="964" customWidth="1"/>
    <col min="263" max="263" width="3.7109375" style="964" customWidth="1"/>
    <col min="264" max="264" width="14.5703125" style="964" customWidth="1"/>
    <col min="265" max="281" width="6.28515625" style="964" customWidth="1"/>
    <col min="282" max="516" width="9.140625" style="964"/>
    <col min="517" max="517" width="3.7109375" style="964" customWidth="1"/>
    <col min="518" max="518" width="14.42578125" style="964" customWidth="1"/>
    <col min="519" max="519" width="3.7109375" style="964" customWidth="1"/>
    <col min="520" max="520" width="14.5703125" style="964" customWidth="1"/>
    <col min="521" max="537" width="6.28515625" style="964" customWidth="1"/>
    <col min="538" max="772" width="9.140625" style="964"/>
    <col min="773" max="773" width="3.7109375" style="964" customWidth="1"/>
    <col min="774" max="774" width="14.42578125" style="964" customWidth="1"/>
    <col min="775" max="775" width="3.7109375" style="964" customWidth="1"/>
    <col min="776" max="776" width="14.5703125" style="964" customWidth="1"/>
    <col min="777" max="793" width="6.28515625" style="964" customWidth="1"/>
    <col min="794" max="1028" width="9.140625" style="964"/>
    <col min="1029" max="1029" width="3.7109375" style="964" customWidth="1"/>
    <col min="1030" max="1030" width="14.42578125" style="964" customWidth="1"/>
    <col min="1031" max="1031" width="3.7109375" style="964" customWidth="1"/>
    <col min="1032" max="1032" width="14.5703125" style="964" customWidth="1"/>
    <col min="1033" max="1049" width="6.28515625" style="964" customWidth="1"/>
    <col min="1050" max="1284" width="9.140625" style="964"/>
    <col min="1285" max="1285" width="3.7109375" style="964" customWidth="1"/>
    <col min="1286" max="1286" width="14.42578125" style="964" customWidth="1"/>
    <col min="1287" max="1287" width="3.7109375" style="964" customWidth="1"/>
    <col min="1288" max="1288" width="14.5703125" style="964" customWidth="1"/>
    <col min="1289" max="1305" width="6.28515625" style="964" customWidth="1"/>
    <col min="1306" max="1540" width="9.140625" style="964"/>
    <col min="1541" max="1541" width="3.7109375" style="964" customWidth="1"/>
    <col min="1542" max="1542" width="14.42578125" style="964" customWidth="1"/>
    <col min="1543" max="1543" width="3.7109375" style="964" customWidth="1"/>
    <col min="1544" max="1544" width="14.5703125" style="964" customWidth="1"/>
    <col min="1545" max="1561" width="6.28515625" style="964" customWidth="1"/>
    <col min="1562" max="1796" width="9.140625" style="964"/>
    <col min="1797" max="1797" width="3.7109375" style="964" customWidth="1"/>
    <col min="1798" max="1798" width="14.42578125" style="964" customWidth="1"/>
    <col min="1799" max="1799" width="3.7109375" style="964" customWidth="1"/>
    <col min="1800" max="1800" width="14.5703125" style="964" customWidth="1"/>
    <col min="1801" max="1817" width="6.28515625" style="964" customWidth="1"/>
    <col min="1818" max="2052" width="9.140625" style="964"/>
    <col min="2053" max="2053" width="3.7109375" style="964" customWidth="1"/>
    <col min="2054" max="2054" width="14.42578125" style="964" customWidth="1"/>
    <col min="2055" max="2055" width="3.7109375" style="964" customWidth="1"/>
    <col min="2056" max="2056" width="14.5703125" style="964" customWidth="1"/>
    <col min="2057" max="2073" width="6.28515625" style="964" customWidth="1"/>
    <col min="2074" max="2308" width="9.140625" style="964"/>
    <col min="2309" max="2309" width="3.7109375" style="964" customWidth="1"/>
    <col min="2310" max="2310" width="14.42578125" style="964" customWidth="1"/>
    <col min="2311" max="2311" width="3.7109375" style="964" customWidth="1"/>
    <col min="2312" max="2312" width="14.5703125" style="964" customWidth="1"/>
    <col min="2313" max="2329" width="6.28515625" style="964" customWidth="1"/>
    <col min="2330" max="2564" width="9.140625" style="964"/>
    <col min="2565" max="2565" width="3.7109375" style="964" customWidth="1"/>
    <col min="2566" max="2566" width="14.42578125" style="964" customWidth="1"/>
    <col min="2567" max="2567" width="3.7109375" style="964" customWidth="1"/>
    <col min="2568" max="2568" width="14.5703125" style="964" customWidth="1"/>
    <col min="2569" max="2585" width="6.28515625" style="964" customWidth="1"/>
    <col min="2586" max="2820" width="9.140625" style="964"/>
    <col min="2821" max="2821" width="3.7109375" style="964" customWidth="1"/>
    <col min="2822" max="2822" width="14.42578125" style="964" customWidth="1"/>
    <col min="2823" max="2823" width="3.7109375" style="964" customWidth="1"/>
    <col min="2824" max="2824" width="14.5703125" style="964" customWidth="1"/>
    <col min="2825" max="2841" width="6.28515625" style="964" customWidth="1"/>
    <col min="2842" max="3076" width="9.140625" style="964"/>
    <col min="3077" max="3077" width="3.7109375" style="964" customWidth="1"/>
    <col min="3078" max="3078" width="14.42578125" style="964" customWidth="1"/>
    <col min="3079" max="3079" width="3.7109375" style="964" customWidth="1"/>
    <col min="3080" max="3080" width="14.5703125" style="964" customWidth="1"/>
    <col min="3081" max="3097" width="6.28515625" style="964" customWidth="1"/>
    <col min="3098" max="3332" width="9.140625" style="964"/>
    <col min="3333" max="3333" width="3.7109375" style="964" customWidth="1"/>
    <col min="3334" max="3334" width="14.42578125" style="964" customWidth="1"/>
    <col min="3335" max="3335" width="3.7109375" style="964" customWidth="1"/>
    <col min="3336" max="3336" width="14.5703125" style="964" customWidth="1"/>
    <col min="3337" max="3353" width="6.28515625" style="964" customWidth="1"/>
    <col min="3354" max="3588" width="9.140625" style="964"/>
    <col min="3589" max="3589" width="3.7109375" style="964" customWidth="1"/>
    <col min="3590" max="3590" width="14.42578125" style="964" customWidth="1"/>
    <col min="3591" max="3591" width="3.7109375" style="964" customWidth="1"/>
    <col min="3592" max="3592" width="14.5703125" style="964" customWidth="1"/>
    <col min="3593" max="3609" width="6.28515625" style="964" customWidth="1"/>
    <col min="3610" max="3844" width="9.140625" style="964"/>
    <col min="3845" max="3845" width="3.7109375" style="964" customWidth="1"/>
    <col min="3846" max="3846" width="14.42578125" style="964" customWidth="1"/>
    <col min="3847" max="3847" width="3.7109375" style="964" customWidth="1"/>
    <col min="3848" max="3848" width="14.5703125" style="964" customWidth="1"/>
    <col min="3849" max="3865" width="6.28515625" style="964" customWidth="1"/>
    <col min="3866" max="4100" width="9.140625" style="964"/>
    <col min="4101" max="4101" width="3.7109375" style="964" customWidth="1"/>
    <col min="4102" max="4102" width="14.42578125" style="964" customWidth="1"/>
    <col min="4103" max="4103" width="3.7109375" style="964" customWidth="1"/>
    <col min="4104" max="4104" width="14.5703125" style="964" customWidth="1"/>
    <col min="4105" max="4121" width="6.28515625" style="964" customWidth="1"/>
    <col min="4122" max="4356" width="9.140625" style="964"/>
    <col min="4357" max="4357" width="3.7109375" style="964" customWidth="1"/>
    <col min="4358" max="4358" width="14.42578125" style="964" customWidth="1"/>
    <col min="4359" max="4359" width="3.7109375" style="964" customWidth="1"/>
    <col min="4360" max="4360" width="14.5703125" style="964" customWidth="1"/>
    <col min="4361" max="4377" width="6.28515625" style="964" customWidth="1"/>
    <col min="4378" max="4612" width="9.140625" style="964"/>
    <col min="4613" max="4613" width="3.7109375" style="964" customWidth="1"/>
    <col min="4614" max="4614" width="14.42578125" style="964" customWidth="1"/>
    <col min="4615" max="4615" width="3.7109375" style="964" customWidth="1"/>
    <col min="4616" max="4616" width="14.5703125" style="964" customWidth="1"/>
    <col min="4617" max="4633" width="6.28515625" style="964" customWidth="1"/>
    <col min="4634" max="4868" width="9.140625" style="964"/>
    <col min="4869" max="4869" width="3.7109375" style="964" customWidth="1"/>
    <col min="4870" max="4870" width="14.42578125" style="964" customWidth="1"/>
    <col min="4871" max="4871" width="3.7109375" style="964" customWidth="1"/>
    <col min="4872" max="4872" width="14.5703125" style="964" customWidth="1"/>
    <col min="4873" max="4889" width="6.28515625" style="964" customWidth="1"/>
    <col min="4890" max="5124" width="9.140625" style="964"/>
    <col min="5125" max="5125" width="3.7109375" style="964" customWidth="1"/>
    <col min="5126" max="5126" width="14.42578125" style="964" customWidth="1"/>
    <col min="5127" max="5127" width="3.7109375" style="964" customWidth="1"/>
    <col min="5128" max="5128" width="14.5703125" style="964" customWidth="1"/>
    <col min="5129" max="5145" width="6.28515625" style="964" customWidth="1"/>
    <col min="5146" max="5380" width="9.140625" style="964"/>
    <col min="5381" max="5381" width="3.7109375" style="964" customWidth="1"/>
    <col min="5382" max="5382" width="14.42578125" style="964" customWidth="1"/>
    <col min="5383" max="5383" width="3.7109375" style="964" customWidth="1"/>
    <col min="5384" max="5384" width="14.5703125" style="964" customWidth="1"/>
    <col min="5385" max="5401" width="6.28515625" style="964" customWidth="1"/>
    <col min="5402" max="5636" width="9.140625" style="964"/>
    <col min="5637" max="5637" width="3.7109375" style="964" customWidth="1"/>
    <col min="5638" max="5638" width="14.42578125" style="964" customWidth="1"/>
    <col min="5639" max="5639" width="3.7109375" style="964" customWidth="1"/>
    <col min="5640" max="5640" width="14.5703125" style="964" customWidth="1"/>
    <col min="5641" max="5657" width="6.28515625" style="964" customWidth="1"/>
    <col min="5658" max="5892" width="9.140625" style="964"/>
    <col min="5893" max="5893" width="3.7109375" style="964" customWidth="1"/>
    <col min="5894" max="5894" width="14.42578125" style="964" customWidth="1"/>
    <col min="5895" max="5895" width="3.7109375" style="964" customWidth="1"/>
    <col min="5896" max="5896" width="14.5703125" style="964" customWidth="1"/>
    <col min="5897" max="5913" width="6.28515625" style="964" customWidth="1"/>
    <col min="5914" max="6148" width="9.140625" style="964"/>
    <col min="6149" max="6149" width="3.7109375" style="964" customWidth="1"/>
    <col min="6150" max="6150" width="14.42578125" style="964" customWidth="1"/>
    <col min="6151" max="6151" width="3.7109375" style="964" customWidth="1"/>
    <col min="6152" max="6152" width="14.5703125" style="964" customWidth="1"/>
    <col min="6153" max="6169" width="6.28515625" style="964" customWidth="1"/>
    <col min="6170" max="6404" width="9.140625" style="964"/>
    <col min="6405" max="6405" width="3.7109375" style="964" customWidth="1"/>
    <col min="6406" max="6406" width="14.42578125" style="964" customWidth="1"/>
    <col min="6407" max="6407" width="3.7109375" style="964" customWidth="1"/>
    <col min="6408" max="6408" width="14.5703125" style="964" customWidth="1"/>
    <col min="6409" max="6425" width="6.28515625" style="964" customWidth="1"/>
    <col min="6426" max="6660" width="9.140625" style="964"/>
    <col min="6661" max="6661" width="3.7109375" style="964" customWidth="1"/>
    <col min="6662" max="6662" width="14.42578125" style="964" customWidth="1"/>
    <col min="6663" max="6663" width="3.7109375" style="964" customWidth="1"/>
    <col min="6664" max="6664" width="14.5703125" style="964" customWidth="1"/>
    <col min="6665" max="6681" width="6.28515625" style="964" customWidth="1"/>
    <col min="6682" max="6916" width="9.140625" style="964"/>
    <col min="6917" max="6917" width="3.7109375" style="964" customWidth="1"/>
    <col min="6918" max="6918" width="14.42578125" style="964" customWidth="1"/>
    <col min="6919" max="6919" width="3.7109375" style="964" customWidth="1"/>
    <col min="6920" max="6920" width="14.5703125" style="964" customWidth="1"/>
    <col min="6921" max="6937" width="6.28515625" style="964" customWidth="1"/>
    <col min="6938" max="7172" width="9.140625" style="964"/>
    <col min="7173" max="7173" width="3.7109375" style="964" customWidth="1"/>
    <col min="7174" max="7174" width="14.42578125" style="964" customWidth="1"/>
    <col min="7175" max="7175" width="3.7109375" style="964" customWidth="1"/>
    <col min="7176" max="7176" width="14.5703125" style="964" customWidth="1"/>
    <col min="7177" max="7193" width="6.28515625" style="964" customWidth="1"/>
    <col min="7194" max="7428" width="9.140625" style="964"/>
    <col min="7429" max="7429" width="3.7109375" style="964" customWidth="1"/>
    <col min="7430" max="7430" width="14.42578125" style="964" customWidth="1"/>
    <col min="7431" max="7431" width="3.7109375" style="964" customWidth="1"/>
    <col min="7432" max="7432" width="14.5703125" style="964" customWidth="1"/>
    <col min="7433" max="7449" width="6.28515625" style="964" customWidth="1"/>
    <col min="7450" max="7684" width="9.140625" style="964"/>
    <col min="7685" max="7685" width="3.7109375" style="964" customWidth="1"/>
    <col min="7686" max="7686" width="14.42578125" style="964" customWidth="1"/>
    <col min="7687" max="7687" width="3.7109375" style="964" customWidth="1"/>
    <col min="7688" max="7688" width="14.5703125" style="964" customWidth="1"/>
    <col min="7689" max="7705" width="6.28515625" style="964" customWidth="1"/>
    <col min="7706" max="7940" width="9.140625" style="964"/>
    <col min="7941" max="7941" width="3.7109375" style="964" customWidth="1"/>
    <col min="7942" max="7942" width="14.42578125" style="964" customWidth="1"/>
    <col min="7943" max="7943" width="3.7109375" style="964" customWidth="1"/>
    <col min="7944" max="7944" width="14.5703125" style="964" customWidth="1"/>
    <col min="7945" max="7961" width="6.28515625" style="964" customWidth="1"/>
    <col min="7962" max="8196" width="9.140625" style="964"/>
    <col min="8197" max="8197" width="3.7109375" style="964" customWidth="1"/>
    <col min="8198" max="8198" width="14.42578125" style="964" customWidth="1"/>
    <col min="8199" max="8199" width="3.7109375" style="964" customWidth="1"/>
    <col min="8200" max="8200" width="14.5703125" style="964" customWidth="1"/>
    <col min="8201" max="8217" width="6.28515625" style="964" customWidth="1"/>
    <col min="8218" max="8452" width="9.140625" style="964"/>
    <col min="8453" max="8453" width="3.7109375" style="964" customWidth="1"/>
    <col min="8454" max="8454" width="14.42578125" style="964" customWidth="1"/>
    <col min="8455" max="8455" width="3.7109375" style="964" customWidth="1"/>
    <col min="8456" max="8456" width="14.5703125" style="964" customWidth="1"/>
    <col min="8457" max="8473" width="6.28515625" style="964" customWidth="1"/>
    <col min="8474" max="8708" width="9.140625" style="964"/>
    <col min="8709" max="8709" width="3.7109375" style="964" customWidth="1"/>
    <col min="8710" max="8710" width="14.42578125" style="964" customWidth="1"/>
    <col min="8711" max="8711" width="3.7109375" style="964" customWidth="1"/>
    <col min="8712" max="8712" width="14.5703125" style="964" customWidth="1"/>
    <col min="8713" max="8729" width="6.28515625" style="964" customWidth="1"/>
    <col min="8730" max="8964" width="9.140625" style="964"/>
    <col min="8965" max="8965" width="3.7109375" style="964" customWidth="1"/>
    <col min="8966" max="8966" width="14.42578125" style="964" customWidth="1"/>
    <col min="8967" max="8967" width="3.7109375" style="964" customWidth="1"/>
    <col min="8968" max="8968" width="14.5703125" style="964" customWidth="1"/>
    <col min="8969" max="8985" width="6.28515625" style="964" customWidth="1"/>
    <col min="8986" max="9220" width="9.140625" style="964"/>
    <col min="9221" max="9221" width="3.7109375" style="964" customWidth="1"/>
    <col min="9222" max="9222" width="14.42578125" style="964" customWidth="1"/>
    <col min="9223" max="9223" width="3.7109375" style="964" customWidth="1"/>
    <col min="9224" max="9224" width="14.5703125" style="964" customWidth="1"/>
    <col min="9225" max="9241" width="6.28515625" style="964" customWidth="1"/>
    <col min="9242" max="9476" width="9.140625" style="964"/>
    <col min="9477" max="9477" width="3.7109375" style="964" customWidth="1"/>
    <col min="9478" max="9478" width="14.42578125" style="964" customWidth="1"/>
    <col min="9479" max="9479" width="3.7109375" style="964" customWidth="1"/>
    <col min="9480" max="9480" width="14.5703125" style="964" customWidth="1"/>
    <col min="9481" max="9497" width="6.28515625" style="964" customWidth="1"/>
    <col min="9498" max="9732" width="9.140625" style="964"/>
    <col min="9733" max="9733" width="3.7109375" style="964" customWidth="1"/>
    <col min="9734" max="9734" width="14.42578125" style="964" customWidth="1"/>
    <col min="9735" max="9735" width="3.7109375" style="964" customWidth="1"/>
    <col min="9736" max="9736" width="14.5703125" style="964" customWidth="1"/>
    <col min="9737" max="9753" width="6.28515625" style="964" customWidth="1"/>
    <col min="9754" max="9988" width="9.140625" style="964"/>
    <col min="9989" max="9989" width="3.7109375" style="964" customWidth="1"/>
    <col min="9990" max="9990" width="14.42578125" style="964" customWidth="1"/>
    <col min="9991" max="9991" width="3.7109375" style="964" customWidth="1"/>
    <col min="9992" max="9992" width="14.5703125" style="964" customWidth="1"/>
    <col min="9993" max="10009" width="6.28515625" style="964" customWidth="1"/>
    <col min="10010" max="10244" width="9.140625" style="964"/>
    <col min="10245" max="10245" width="3.7109375" style="964" customWidth="1"/>
    <col min="10246" max="10246" width="14.42578125" style="964" customWidth="1"/>
    <col min="10247" max="10247" width="3.7109375" style="964" customWidth="1"/>
    <col min="10248" max="10248" width="14.5703125" style="964" customWidth="1"/>
    <col min="10249" max="10265" width="6.28515625" style="964" customWidth="1"/>
    <col min="10266" max="10500" width="9.140625" style="964"/>
    <col min="10501" max="10501" width="3.7109375" style="964" customWidth="1"/>
    <col min="10502" max="10502" width="14.42578125" style="964" customWidth="1"/>
    <col min="10503" max="10503" width="3.7109375" style="964" customWidth="1"/>
    <col min="10504" max="10504" width="14.5703125" style="964" customWidth="1"/>
    <col min="10505" max="10521" width="6.28515625" style="964" customWidth="1"/>
    <col min="10522" max="10756" width="9.140625" style="964"/>
    <col min="10757" max="10757" width="3.7109375" style="964" customWidth="1"/>
    <col min="10758" max="10758" width="14.42578125" style="964" customWidth="1"/>
    <col min="10759" max="10759" width="3.7109375" style="964" customWidth="1"/>
    <col min="10760" max="10760" width="14.5703125" style="964" customWidth="1"/>
    <col min="10761" max="10777" width="6.28515625" style="964" customWidth="1"/>
    <col min="10778" max="11012" width="9.140625" style="964"/>
    <col min="11013" max="11013" width="3.7109375" style="964" customWidth="1"/>
    <col min="11014" max="11014" width="14.42578125" style="964" customWidth="1"/>
    <col min="11015" max="11015" width="3.7109375" style="964" customWidth="1"/>
    <col min="11016" max="11016" width="14.5703125" style="964" customWidth="1"/>
    <col min="11017" max="11033" width="6.28515625" style="964" customWidth="1"/>
    <col min="11034" max="11268" width="9.140625" style="964"/>
    <col min="11269" max="11269" width="3.7109375" style="964" customWidth="1"/>
    <col min="11270" max="11270" width="14.42578125" style="964" customWidth="1"/>
    <col min="11271" max="11271" width="3.7109375" style="964" customWidth="1"/>
    <col min="11272" max="11272" width="14.5703125" style="964" customWidth="1"/>
    <col min="11273" max="11289" width="6.28515625" style="964" customWidth="1"/>
    <col min="11290" max="11524" width="9.140625" style="964"/>
    <col min="11525" max="11525" width="3.7109375" style="964" customWidth="1"/>
    <col min="11526" max="11526" width="14.42578125" style="964" customWidth="1"/>
    <col min="11527" max="11527" width="3.7109375" style="964" customWidth="1"/>
    <col min="11528" max="11528" width="14.5703125" style="964" customWidth="1"/>
    <col min="11529" max="11545" width="6.28515625" style="964" customWidth="1"/>
    <col min="11546" max="11780" width="9.140625" style="964"/>
    <col min="11781" max="11781" width="3.7109375" style="964" customWidth="1"/>
    <col min="11782" max="11782" width="14.42578125" style="964" customWidth="1"/>
    <col min="11783" max="11783" width="3.7109375" style="964" customWidth="1"/>
    <col min="11784" max="11784" width="14.5703125" style="964" customWidth="1"/>
    <col min="11785" max="11801" width="6.28515625" style="964" customWidth="1"/>
    <col min="11802" max="12036" width="9.140625" style="964"/>
    <col min="12037" max="12037" width="3.7109375" style="964" customWidth="1"/>
    <col min="12038" max="12038" width="14.42578125" style="964" customWidth="1"/>
    <col min="12039" max="12039" width="3.7109375" style="964" customWidth="1"/>
    <col min="12040" max="12040" width="14.5703125" style="964" customWidth="1"/>
    <col min="12041" max="12057" width="6.28515625" style="964" customWidth="1"/>
    <col min="12058" max="12292" width="9.140625" style="964"/>
    <col min="12293" max="12293" width="3.7109375" style="964" customWidth="1"/>
    <col min="12294" max="12294" width="14.42578125" style="964" customWidth="1"/>
    <col min="12295" max="12295" width="3.7109375" style="964" customWidth="1"/>
    <col min="12296" max="12296" width="14.5703125" style="964" customWidth="1"/>
    <col min="12297" max="12313" width="6.28515625" style="964" customWidth="1"/>
    <col min="12314" max="12548" width="9.140625" style="964"/>
    <col min="12549" max="12549" width="3.7109375" style="964" customWidth="1"/>
    <col min="12550" max="12550" width="14.42578125" style="964" customWidth="1"/>
    <col min="12551" max="12551" width="3.7109375" style="964" customWidth="1"/>
    <col min="12552" max="12552" width="14.5703125" style="964" customWidth="1"/>
    <col min="12553" max="12569" width="6.28515625" style="964" customWidth="1"/>
    <col min="12570" max="12804" width="9.140625" style="964"/>
    <col min="12805" max="12805" width="3.7109375" style="964" customWidth="1"/>
    <col min="12806" max="12806" width="14.42578125" style="964" customWidth="1"/>
    <col min="12807" max="12807" width="3.7109375" style="964" customWidth="1"/>
    <col min="12808" max="12808" width="14.5703125" style="964" customWidth="1"/>
    <col min="12809" max="12825" width="6.28515625" style="964" customWidth="1"/>
    <col min="12826" max="13060" width="9.140625" style="964"/>
    <col min="13061" max="13061" width="3.7109375" style="964" customWidth="1"/>
    <col min="13062" max="13062" width="14.42578125" style="964" customWidth="1"/>
    <col min="13063" max="13063" width="3.7109375" style="964" customWidth="1"/>
    <col min="13064" max="13064" width="14.5703125" style="964" customWidth="1"/>
    <col min="13065" max="13081" width="6.28515625" style="964" customWidth="1"/>
    <col min="13082" max="13316" width="9.140625" style="964"/>
    <col min="13317" max="13317" width="3.7109375" style="964" customWidth="1"/>
    <col min="13318" max="13318" width="14.42578125" style="964" customWidth="1"/>
    <col min="13319" max="13319" width="3.7109375" style="964" customWidth="1"/>
    <col min="13320" max="13320" width="14.5703125" style="964" customWidth="1"/>
    <col min="13321" max="13337" width="6.28515625" style="964" customWidth="1"/>
    <col min="13338" max="13572" width="9.140625" style="964"/>
    <col min="13573" max="13573" width="3.7109375" style="964" customWidth="1"/>
    <col min="13574" max="13574" width="14.42578125" style="964" customWidth="1"/>
    <col min="13575" max="13575" width="3.7109375" style="964" customWidth="1"/>
    <col min="13576" max="13576" width="14.5703125" style="964" customWidth="1"/>
    <col min="13577" max="13593" width="6.28515625" style="964" customWidth="1"/>
    <col min="13594" max="13828" width="9.140625" style="964"/>
    <col min="13829" max="13829" width="3.7109375" style="964" customWidth="1"/>
    <col min="13830" max="13830" width="14.42578125" style="964" customWidth="1"/>
    <col min="13831" max="13831" width="3.7109375" style="964" customWidth="1"/>
    <col min="13832" max="13832" width="14.5703125" style="964" customWidth="1"/>
    <col min="13833" max="13849" width="6.28515625" style="964" customWidth="1"/>
    <col min="13850" max="14084" width="9.140625" style="964"/>
    <col min="14085" max="14085" width="3.7109375" style="964" customWidth="1"/>
    <col min="14086" max="14086" width="14.42578125" style="964" customWidth="1"/>
    <col min="14087" max="14087" width="3.7109375" style="964" customWidth="1"/>
    <col min="14088" max="14088" width="14.5703125" style="964" customWidth="1"/>
    <col min="14089" max="14105" width="6.28515625" style="964" customWidth="1"/>
    <col min="14106" max="14340" width="9.140625" style="964"/>
    <col min="14341" max="14341" width="3.7109375" style="964" customWidth="1"/>
    <col min="14342" max="14342" width="14.42578125" style="964" customWidth="1"/>
    <col min="14343" max="14343" width="3.7109375" style="964" customWidth="1"/>
    <col min="14344" max="14344" width="14.5703125" style="964" customWidth="1"/>
    <col min="14345" max="14361" width="6.28515625" style="964" customWidth="1"/>
    <col min="14362" max="14596" width="9.140625" style="964"/>
    <col min="14597" max="14597" width="3.7109375" style="964" customWidth="1"/>
    <col min="14598" max="14598" width="14.42578125" style="964" customWidth="1"/>
    <col min="14599" max="14599" width="3.7109375" style="964" customWidth="1"/>
    <col min="14600" max="14600" width="14.5703125" style="964" customWidth="1"/>
    <col min="14601" max="14617" width="6.28515625" style="964" customWidth="1"/>
    <col min="14618" max="14852" width="9.140625" style="964"/>
    <col min="14853" max="14853" width="3.7109375" style="964" customWidth="1"/>
    <col min="14854" max="14854" width="14.42578125" style="964" customWidth="1"/>
    <col min="14855" max="14855" width="3.7109375" style="964" customWidth="1"/>
    <col min="14856" max="14856" width="14.5703125" style="964" customWidth="1"/>
    <col min="14857" max="14873" width="6.28515625" style="964" customWidth="1"/>
    <col min="14874" max="15108" width="9.140625" style="964"/>
    <col min="15109" max="15109" width="3.7109375" style="964" customWidth="1"/>
    <col min="15110" max="15110" width="14.42578125" style="964" customWidth="1"/>
    <col min="15111" max="15111" width="3.7109375" style="964" customWidth="1"/>
    <col min="15112" max="15112" width="14.5703125" style="964" customWidth="1"/>
    <col min="15113" max="15129" width="6.28515625" style="964" customWidth="1"/>
    <col min="15130" max="15364" width="9.140625" style="964"/>
    <col min="15365" max="15365" width="3.7109375" style="964" customWidth="1"/>
    <col min="15366" max="15366" width="14.42578125" style="964" customWidth="1"/>
    <col min="15367" max="15367" width="3.7109375" style="964" customWidth="1"/>
    <col min="15368" max="15368" width="14.5703125" style="964" customWidth="1"/>
    <col min="15369" max="15385" width="6.28515625" style="964" customWidth="1"/>
    <col min="15386" max="15620" width="9.140625" style="964"/>
    <col min="15621" max="15621" width="3.7109375" style="964" customWidth="1"/>
    <col min="15622" max="15622" width="14.42578125" style="964" customWidth="1"/>
    <col min="15623" max="15623" width="3.7109375" style="964" customWidth="1"/>
    <col min="15624" max="15624" width="14.5703125" style="964" customWidth="1"/>
    <col min="15625" max="15641" width="6.28515625" style="964" customWidth="1"/>
    <col min="15642" max="15876" width="9.140625" style="964"/>
    <col min="15877" max="15877" width="3.7109375" style="964" customWidth="1"/>
    <col min="15878" max="15878" width="14.42578125" style="964" customWidth="1"/>
    <col min="15879" max="15879" width="3.7109375" style="964" customWidth="1"/>
    <col min="15880" max="15880" width="14.5703125" style="964" customWidth="1"/>
    <col min="15881" max="15897" width="6.28515625" style="964" customWidth="1"/>
    <col min="15898" max="16132" width="9.140625" style="964"/>
    <col min="16133" max="16133" width="3.7109375" style="964" customWidth="1"/>
    <col min="16134" max="16134" width="14.42578125" style="964" customWidth="1"/>
    <col min="16135" max="16135" width="3.7109375" style="964" customWidth="1"/>
    <col min="16136" max="16136" width="14.5703125" style="964" customWidth="1"/>
    <col min="16137" max="16153" width="6.28515625" style="964" customWidth="1"/>
    <col min="16154" max="16384" width="9.140625" style="964"/>
  </cols>
  <sheetData>
    <row r="2" spans="1:26" ht="15" customHeight="1" x14ac:dyDescent="0.2">
      <c r="A2" s="835">
        <v>1</v>
      </c>
      <c r="B2" s="835" t="s">
        <v>24</v>
      </c>
      <c r="C2" s="835">
        <f>'[22]Martenal mortality'!C2+1</f>
        <v>39</v>
      </c>
      <c r="D2" s="3629" t="s">
        <v>1527</v>
      </c>
      <c r="E2" s="3630"/>
      <c r="F2" s="3630"/>
      <c r="G2" s="3630"/>
      <c r="H2" s="3630"/>
      <c r="I2" s="3630"/>
      <c r="J2" s="3630"/>
      <c r="K2" s="3630"/>
      <c r="L2" s="3630"/>
      <c r="M2" s="3630"/>
      <c r="N2" s="3630"/>
      <c r="O2" s="3630"/>
      <c r="P2" s="3630"/>
      <c r="Q2" s="3630"/>
      <c r="R2" s="3630"/>
      <c r="S2" s="3630"/>
      <c r="T2" s="3630"/>
      <c r="U2" s="3630"/>
      <c r="V2" s="3630"/>
      <c r="W2" s="3630"/>
      <c r="X2" s="3630"/>
      <c r="Y2" s="3630"/>
      <c r="Z2" s="3631"/>
    </row>
    <row r="3" spans="1:26" ht="15" customHeight="1" x14ac:dyDescent="0.2">
      <c r="A3" s="835">
        <v>2</v>
      </c>
      <c r="B3" s="835" t="s">
        <v>26</v>
      </c>
      <c r="C3" s="835"/>
      <c r="D3" s="3615" t="s">
        <v>1455</v>
      </c>
      <c r="E3" s="3616"/>
      <c r="F3" s="3616"/>
      <c r="G3" s="3616"/>
      <c r="H3" s="3616"/>
      <c r="I3" s="3616"/>
      <c r="J3" s="3616"/>
      <c r="K3" s="3616"/>
      <c r="L3" s="3616"/>
      <c r="M3" s="3616"/>
      <c r="N3" s="3616"/>
      <c r="O3" s="3616"/>
      <c r="P3" s="3616"/>
      <c r="Q3" s="3616"/>
      <c r="R3" s="3616"/>
      <c r="S3" s="3616"/>
      <c r="T3" s="3616"/>
      <c r="U3" s="3616"/>
      <c r="V3" s="3616"/>
      <c r="W3" s="3616"/>
      <c r="X3" s="3616"/>
      <c r="Y3" s="3616"/>
      <c r="Z3" s="3617"/>
    </row>
    <row r="4" spans="1:26" ht="15" customHeight="1" x14ac:dyDescent="0.2">
      <c r="A4" s="835">
        <v>3</v>
      </c>
      <c r="B4" s="835" t="s">
        <v>28</v>
      </c>
      <c r="C4" s="835"/>
      <c r="D4" s="3801" t="s">
        <v>1886</v>
      </c>
      <c r="E4" s="3802"/>
      <c r="F4" s="3802"/>
      <c r="G4" s="3802"/>
      <c r="H4" s="3802"/>
      <c r="I4" s="3802"/>
      <c r="J4" s="3802"/>
      <c r="K4" s="3802"/>
      <c r="L4" s="3802"/>
      <c r="M4" s="3802"/>
      <c r="N4" s="3802"/>
      <c r="O4" s="3802"/>
      <c r="P4" s="3802"/>
      <c r="Q4" s="3802"/>
      <c r="R4" s="3802"/>
      <c r="S4" s="3802"/>
      <c r="T4" s="3802"/>
      <c r="U4" s="3802"/>
      <c r="V4" s="3802"/>
      <c r="W4" s="3802"/>
      <c r="X4" s="3802"/>
      <c r="Y4" s="3802"/>
      <c r="Z4" s="3803"/>
    </row>
    <row r="5" spans="1:26" ht="15" customHeight="1" x14ac:dyDescent="0.2">
      <c r="A5" s="835"/>
      <c r="B5" s="835"/>
      <c r="C5" s="835"/>
      <c r="D5" s="3801" t="s">
        <v>1528</v>
      </c>
      <c r="E5" s="3802"/>
      <c r="F5" s="3802"/>
      <c r="G5" s="3802"/>
      <c r="H5" s="3802"/>
      <c r="I5" s="3802"/>
      <c r="J5" s="3802"/>
      <c r="K5" s="3802"/>
      <c r="L5" s="3802"/>
      <c r="M5" s="3802"/>
      <c r="N5" s="3802"/>
      <c r="O5" s="3802"/>
      <c r="P5" s="3802"/>
      <c r="Q5" s="3802"/>
      <c r="R5" s="3802"/>
      <c r="S5" s="3802"/>
      <c r="T5" s="3802"/>
      <c r="U5" s="3802"/>
      <c r="V5" s="3802"/>
      <c r="W5" s="3802"/>
      <c r="X5" s="3802"/>
      <c r="Y5" s="3802"/>
      <c r="Z5" s="3803"/>
    </row>
    <row r="6" spans="1:26" ht="15" customHeight="1" x14ac:dyDescent="0.2">
      <c r="A6" s="835"/>
      <c r="B6" s="835"/>
      <c r="C6" s="835"/>
      <c r="D6" s="1471"/>
      <c r="E6" s="416"/>
      <c r="F6" s="416"/>
      <c r="G6" s="416"/>
      <c r="H6" s="416"/>
      <c r="I6" s="416"/>
      <c r="J6" s="416"/>
      <c r="K6" s="416"/>
      <c r="L6" s="416"/>
      <c r="M6" s="416"/>
      <c r="N6" s="416"/>
      <c r="O6" s="416"/>
      <c r="P6" s="416"/>
    </row>
    <row r="7" spans="1:26" ht="14.25" x14ac:dyDescent="0.2">
      <c r="A7" s="1224">
        <v>4</v>
      </c>
      <c r="B7" s="418" t="s">
        <v>1</v>
      </c>
      <c r="C7" s="914"/>
      <c r="D7" s="401"/>
      <c r="E7" s="401"/>
      <c r="F7" s="401"/>
      <c r="G7" s="401"/>
      <c r="H7" s="401"/>
      <c r="I7" s="401"/>
      <c r="J7" s="401"/>
      <c r="K7" s="401"/>
      <c r="L7" s="401"/>
      <c r="M7" s="401"/>
      <c r="N7" s="401"/>
      <c r="O7" s="401"/>
      <c r="P7" s="401"/>
      <c r="Q7" s="401"/>
      <c r="R7" s="401"/>
      <c r="S7" s="401"/>
      <c r="T7" s="401"/>
      <c r="U7" s="401"/>
      <c r="V7" s="401"/>
      <c r="W7" s="401"/>
      <c r="X7" s="401"/>
      <c r="Y7" s="401"/>
    </row>
    <row r="8" spans="1:26" s="401" customFormat="1" ht="12.75" x14ac:dyDescent="0.2">
      <c r="A8" s="1224"/>
      <c r="B8" s="1222"/>
      <c r="C8" s="1222"/>
      <c r="D8" s="1253" t="s">
        <v>31</v>
      </c>
      <c r="E8" s="1253" t="s">
        <v>1527</v>
      </c>
      <c r="F8" s="1253"/>
      <c r="G8" s="424"/>
      <c r="H8" s="424"/>
      <c r="I8" s="424"/>
      <c r="J8" s="424"/>
      <c r="K8" s="424"/>
      <c r="L8" s="424"/>
      <c r="M8" s="432"/>
      <c r="N8" s="432"/>
      <c r="O8" s="432"/>
      <c r="P8" s="432"/>
      <c r="Q8" s="432"/>
      <c r="R8" s="432"/>
      <c r="S8" s="432"/>
      <c r="T8" s="432"/>
      <c r="U8" s="432"/>
      <c r="V8" s="432"/>
      <c r="W8" s="432"/>
      <c r="X8" s="432"/>
      <c r="Y8" s="432"/>
    </row>
    <row r="9" spans="1:26" s="401" customFormat="1" ht="15" customHeight="1" x14ac:dyDescent="0.25">
      <c r="A9" s="1224"/>
      <c r="B9" s="1222"/>
      <c r="C9" s="1222"/>
      <c r="D9" s="834" t="s">
        <v>54</v>
      </c>
      <c r="E9" s="800"/>
      <c r="F9" s="1323">
        <v>2002</v>
      </c>
      <c r="G9" s="1323">
        <v>2003</v>
      </c>
      <c r="H9" s="1323">
        <v>2004</v>
      </c>
      <c r="I9" s="1323">
        <v>2005</v>
      </c>
      <c r="J9" s="1323">
        <v>2006</v>
      </c>
      <c r="K9" s="1323">
        <v>2007</v>
      </c>
      <c r="L9" s="1323">
        <v>2008</v>
      </c>
      <c r="M9" s="1323">
        <v>2009</v>
      </c>
      <c r="N9" s="1323">
        <v>2010</v>
      </c>
      <c r="O9" s="1323">
        <v>2011</v>
      </c>
      <c r="P9" s="1323">
        <v>2012</v>
      </c>
      <c r="Q9" s="1323">
        <v>2013</v>
      </c>
      <c r="R9" s="1323">
        <v>2014</v>
      </c>
      <c r="S9" s="2803">
        <v>2015</v>
      </c>
      <c r="U9" s="1324"/>
    </row>
    <row r="10" spans="1:26" s="401" customFormat="1" ht="15.75" customHeight="1" x14ac:dyDescent="0.25">
      <c r="A10" s="1224"/>
      <c r="B10" s="1222"/>
      <c r="C10" s="2243">
        <v>1</v>
      </c>
      <c r="D10" s="432" t="s">
        <v>1529</v>
      </c>
      <c r="E10" s="770"/>
      <c r="F10" s="1324">
        <v>7.6</v>
      </c>
      <c r="G10" s="1324">
        <v>7.1</v>
      </c>
      <c r="H10" s="1324">
        <v>6.6</v>
      </c>
      <c r="I10" s="1324">
        <v>6.4</v>
      </c>
      <c r="J10" s="1324">
        <v>6.3</v>
      </c>
      <c r="K10" s="1324">
        <v>6.2</v>
      </c>
      <c r="L10" s="1324">
        <v>6.2</v>
      </c>
      <c r="M10" s="1324">
        <v>6.3</v>
      </c>
      <c r="N10" s="1324">
        <v>6.4</v>
      </c>
      <c r="O10" s="1324">
        <v>6.3</v>
      </c>
      <c r="P10" s="1324">
        <v>6.2</v>
      </c>
      <c r="Q10" s="1324">
        <v>6.1</v>
      </c>
      <c r="R10" s="1324">
        <v>5.9</v>
      </c>
      <c r="S10" s="2804">
        <v>5.8</v>
      </c>
      <c r="U10" s="1324"/>
    </row>
    <row r="11" spans="1:26" s="401" customFormat="1" ht="15" customHeight="1" x14ac:dyDescent="0.25">
      <c r="A11" s="1224"/>
      <c r="B11" s="1222"/>
      <c r="C11" s="2243">
        <v>2</v>
      </c>
      <c r="D11" s="432" t="s">
        <v>1530</v>
      </c>
      <c r="E11" s="770"/>
      <c r="F11" s="1324">
        <v>19.600000000000001</v>
      </c>
      <c r="G11" s="1324">
        <v>19.8</v>
      </c>
      <c r="H11" s="1324">
        <v>19.899999999999999</v>
      </c>
      <c r="I11" s="1324">
        <v>20</v>
      </c>
      <c r="J11" s="1324">
        <v>20.100000000000001</v>
      </c>
      <c r="K11" s="1324">
        <v>20.3</v>
      </c>
      <c r="L11" s="1324">
        <v>20.5</v>
      </c>
      <c r="M11" s="1324">
        <v>20.7</v>
      </c>
      <c r="N11" s="1324">
        <v>20.9</v>
      </c>
      <c r="O11" s="1324">
        <v>21.2</v>
      </c>
      <c r="P11" s="1324">
        <v>21.5</v>
      </c>
      <c r="Q11" s="1324">
        <v>21.8</v>
      </c>
      <c r="R11" s="1324">
        <v>22</v>
      </c>
      <c r="S11" s="2804">
        <v>22.2</v>
      </c>
      <c r="U11" s="1324"/>
    </row>
    <row r="12" spans="1:26" s="401" customFormat="1" ht="15" customHeight="1" x14ac:dyDescent="0.25">
      <c r="A12" s="1224"/>
      <c r="B12" s="1222"/>
      <c r="C12" s="2243">
        <v>3</v>
      </c>
      <c r="D12" s="432" t="s">
        <v>1531</v>
      </c>
      <c r="E12" s="770"/>
      <c r="F12" s="1324">
        <v>20.742050656303572</v>
      </c>
      <c r="G12" s="1324">
        <v>21.092460466365665</v>
      </c>
      <c r="H12" s="1324">
        <v>21.335471077288634</v>
      </c>
      <c r="I12" s="1324">
        <v>21.535227556731869</v>
      </c>
      <c r="J12" s="1324">
        <v>21.668477369316868</v>
      </c>
      <c r="K12" s="1324">
        <v>21.845919138826911</v>
      </c>
      <c r="L12" s="1324">
        <v>22.094697832519884</v>
      </c>
      <c r="M12" s="1324">
        <v>22.364064085349224</v>
      </c>
      <c r="N12" s="1324">
        <v>22.60552764157709</v>
      </c>
      <c r="O12" s="1324">
        <v>22.896104913848809</v>
      </c>
      <c r="P12" s="1324">
        <v>23.235641620825309</v>
      </c>
      <c r="Q12" s="1324">
        <v>23.5689590076034</v>
      </c>
      <c r="R12" s="1324">
        <v>23.863536693078601</v>
      </c>
      <c r="S12" s="2804">
        <v>24.143514546807303</v>
      </c>
      <c r="U12" s="1324"/>
    </row>
    <row r="13" spans="1:26" s="401" customFormat="1" ht="15" customHeight="1" x14ac:dyDescent="0.25">
      <c r="A13" s="1224"/>
      <c r="B13" s="1222"/>
      <c r="C13" s="2243">
        <v>4</v>
      </c>
      <c r="D13" s="432" t="s">
        <v>1532</v>
      </c>
      <c r="E13" s="770"/>
      <c r="F13" s="1324">
        <v>15.8278458386606</v>
      </c>
      <c r="G13" s="1324">
        <v>16.041768506131497</v>
      </c>
      <c r="H13" s="1324">
        <v>16.193275185198917</v>
      </c>
      <c r="I13" s="1324">
        <v>16.324956868648162</v>
      </c>
      <c r="J13" s="1324">
        <v>16.342977633014151</v>
      </c>
      <c r="K13" s="1324">
        <v>16.392172842639368</v>
      </c>
      <c r="L13" s="1324">
        <v>16.484628661682077</v>
      </c>
      <c r="M13" s="1324">
        <v>16.588648341389053</v>
      </c>
      <c r="N13" s="1324">
        <v>16.666549894042028</v>
      </c>
      <c r="O13" s="1324">
        <v>16.770481457726994</v>
      </c>
      <c r="P13" s="1324">
        <v>16.905555416882208</v>
      </c>
      <c r="Q13" s="1324">
        <v>17.041799020949082</v>
      </c>
      <c r="R13" s="1324">
        <v>17.156704262303617</v>
      </c>
      <c r="S13" s="2804">
        <v>17.267659423862696</v>
      </c>
      <c r="U13" s="1324"/>
    </row>
    <row r="14" spans="1:26" s="401" customFormat="1" ht="15" customHeight="1" x14ac:dyDescent="0.25">
      <c r="A14" s="1224"/>
      <c r="B14" s="1222"/>
      <c r="C14" s="2243">
        <v>5</v>
      </c>
      <c r="D14" s="432" t="s">
        <v>1533</v>
      </c>
      <c r="E14" s="770"/>
      <c r="F14" s="1324">
        <v>17.09443728387529</v>
      </c>
      <c r="G14" s="1324">
        <v>17.20835513329796</v>
      </c>
      <c r="H14" s="1324">
        <v>17.26128146417236</v>
      </c>
      <c r="I14" s="1324">
        <v>17.304245211674541</v>
      </c>
      <c r="J14" s="1324">
        <v>17.364564341671006</v>
      </c>
      <c r="K14" s="1324">
        <v>17.457466187938131</v>
      </c>
      <c r="L14" s="1324">
        <v>17.609306346459256</v>
      </c>
      <c r="M14" s="1324">
        <v>17.769668090997687</v>
      </c>
      <c r="N14" s="1324">
        <v>17.91225035213499</v>
      </c>
      <c r="O14" s="1324">
        <v>18.093636821427406</v>
      </c>
      <c r="P14" s="1324">
        <v>18.309845448726165</v>
      </c>
      <c r="Q14" s="1324">
        <v>18.508456473800059</v>
      </c>
      <c r="R14" s="1324">
        <v>18.664999084145634</v>
      </c>
      <c r="S14" s="2804">
        <v>18.789829525105628</v>
      </c>
      <c r="T14" s="1225"/>
      <c r="U14" s="1324"/>
    </row>
    <row r="15" spans="1:26" s="401" customFormat="1" ht="15" customHeight="1" x14ac:dyDescent="0.25">
      <c r="A15" s="1224"/>
      <c r="B15" s="1222"/>
      <c r="C15" s="2243">
        <v>6</v>
      </c>
      <c r="D15" s="432" t="s">
        <v>1534</v>
      </c>
      <c r="E15" s="770"/>
      <c r="F15" s="1324">
        <v>18.40773222706369</v>
      </c>
      <c r="G15" s="1324">
        <v>18.689829337973411</v>
      </c>
      <c r="H15" s="1324">
        <v>18.885451885287225</v>
      </c>
      <c r="I15" s="1324">
        <v>19.048657037395145</v>
      </c>
      <c r="J15" s="1324">
        <v>19.116969639718913</v>
      </c>
      <c r="K15" s="1324">
        <v>19.223895940034417</v>
      </c>
      <c r="L15" s="1324">
        <v>19.389166614143974</v>
      </c>
      <c r="M15" s="1324">
        <v>19.570870065050347</v>
      </c>
      <c r="N15" s="1324">
        <v>19.72551586428256</v>
      </c>
      <c r="O15" s="1324">
        <v>19.918557784299452</v>
      </c>
      <c r="P15" s="1324">
        <v>20.153092544638486</v>
      </c>
      <c r="Q15" s="1324">
        <v>20.385863749491854</v>
      </c>
      <c r="R15" s="1324">
        <v>20.588404666866424</v>
      </c>
      <c r="S15" s="2804">
        <v>20.781638150095784</v>
      </c>
      <c r="U15" s="1324"/>
    </row>
    <row r="16" spans="1:26" s="401" customFormat="1" ht="15" customHeight="1" x14ac:dyDescent="0.25">
      <c r="A16" s="1224"/>
      <c r="B16" s="1222"/>
      <c r="C16" s="2243">
        <v>7</v>
      </c>
      <c r="D16" s="1167" t="s">
        <v>1535</v>
      </c>
      <c r="E16" s="2244"/>
      <c r="F16" s="1325">
        <v>11.793997313577337</v>
      </c>
      <c r="G16" s="1325">
        <v>12.036518608595918</v>
      </c>
      <c r="H16" s="1325">
        <v>12.221651319932079</v>
      </c>
      <c r="I16" s="1325">
        <v>12.383115369400732</v>
      </c>
      <c r="J16" s="1325">
        <v>12.547915854404716</v>
      </c>
      <c r="K16" s="1325">
        <v>12.732596731760365</v>
      </c>
      <c r="L16" s="1325">
        <v>12.955484354801431</v>
      </c>
      <c r="M16" s="1325">
        <v>13.168889376522113</v>
      </c>
      <c r="N16" s="1325">
        <v>13.366420440616661</v>
      </c>
      <c r="O16" s="1325">
        <v>13.598032884462302</v>
      </c>
      <c r="P16" s="1325">
        <v>13.86236391609909</v>
      </c>
      <c r="Q16" s="1325">
        <v>14.114945895555579</v>
      </c>
      <c r="R16" s="1325">
        <v>14.346101431059349</v>
      </c>
      <c r="S16" s="2805">
        <v>14.547523405073756</v>
      </c>
      <c r="U16" s="1324"/>
    </row>
    <row r="17" spans="1:28" s="401" customFormat="1" ht="15" customHeight="1" x14ac:dyDescent="0.25">
      <c r="A17" s="1224"/>
      <c r="B17" s="1222"/>
      <c r="C17" s="2243">
        <v>8</v>
      </c>
      <c r="D17" s="1167" t="s">
        <v>1536</v>
      </c>
      <c r="E17" s="2244"/>
      <c r="F17" s="1325">
        <v>8.7917813900320123</v>
      </c>
      <c r="G17" s="1325">
        <v>8.9577270677594321</v>
      </c>
      <c r="H17" s="1325">
        <v>9.0842421544526264</v>
      </c>
      <c r="I17" s="1325">
        <v>9.1961639589228792</v>
      </c>
      <c r="J17" s="1325">
        <v>9.3109866434056574</v>
      </c>
      <c r="K17" s="1325">
        <v>9.4356969613314128</v>
      </c>
      <c r="L17" s="1325">
        <v>9.5809617897851975</v>
      </c>
      <c r="M17" s="1325">
        <v>9.7084001840773997</v>
      </c>
      <c r="N17" s="1325">
        <v>9.8205904881021606</v>
      </c>
      <c r="O17" s="1325">
        <v>9.9485485521426131</v>
      </c>
      <c r="P17" s="1325">
        <v>10.092950240654057</v>
      </c>
      <c r="Q17" s="1325">
        <v>10.226403968861089</v>
      </c>
      <c r="R17" s="1325">
        <v>10.346227894630916</v>
      </c>
      <c r="S17" s="2805">
        <v>10.439499706437685</v>
      </c>
      <c r="U17" s="1324"/>
    </row>
    <row r="18" spans="1:28" s="401" customFormat="1" ht="12.75" x14ac:dyDescent="0.25">
      <c r="A18" s="1224"/>
      <c r="B18" s="1222"/>
      <c r="C18" s="2243">
        <v>9</v>
      </c>
      <c r="D18" s="1703" t="s">
        <v>1537</v>
      </c>
      <c r="E18" s="1784"/>
      <c r="F18" s="1326">
        <v>10.349663409529269</v>
      </c>
      <c r="G18" s="1326">
        <v>10.552878558643378</v>
      </c>
      <c r="H18" s="1326">
        <v>10.707087068093614</v>
      </c>
      <c r="I18" s="1326">
        <v>10.841786289127727</v>
      </c>
      <c r="J18" s="1326">
        <v>10.979469417673318</v>
      </c>
      <c r="K18" s="1326">
        <v>11.132446108048004</v>
      </c>
      <c r="L18" s="1326">
        <v>11.315186233807292</v>
      </c>
      <c r="M18" s="1326">
        <v>11.484504209686026</v>
      </c>
      <c r="N18" s="1326">
        <v>11.638222064926261</v>
      </c>
      <c r="O18" s="1326">
        <v>11.817205039561816</v>
      </c>
      <c r="P18" s="1326">
        <v>12.021305085820435</v>
      </c>
      <c r="Q18" s="1326">
        <v>12.214204938334591</v>
      </c>
      <c r="R18" s="1326">
        <v>12.38950587302072</v>
      </c>
      <c r="S18" s="2806">
        <v>12.536681303093141</v>
      </c>
      <c r="U18" s="1324"/>
    </row>
    <row r="19" spans="1:28" s="401" customFormat="1" ht="22.5" customHeight="1" x14ac:dyDescent="0.25">
      <c r="A19" s="1327"/>
      <c r="B19" s="1222"/>
      <c r="C19" s="1328">
        <v>10</v>
      </c>
      <c r="D19" s="796" t="s">
        <v>1538</v>
      </c>
      <c r="E19" s="1329"/>
      <c r="F19" s="1329">
        <v>26.5</v>
      </c>
      <c r="G19" s="1329">
        <v>27.9</v>
      </c>
      <c r="H19" s="1329">
        <v>29.5</v>
      </c>
      <c r="I19" s="1329">
        <v>30.2</v>
      </c>
      <c r="J19" s="1330">
        <v>29.1</v>
      </c>
      <c r="K19" s="1330">
        <v>29.4</v>
      </c>
      <c r="L19" s="1330">
        <v>29.3</v>
      </c>
      <c r="M19" s="1330">
        <v>29.4</v>
      </c>
      <c r="N19" s="1331">
        <v>30.2</v>
      </c>
      <c r="O19" s="1331">
        <v>29.5</v>
      </c>
      <c r="P19" s="1331">
        <v>29.5</v>
      </c>
      <c r="Q19" s="1331"/>
      <c r="R19" s="1331"/>
      <c r="S19" s="2807"/>
      <c r="U19" s="1324"/>
    </row>
    <row r="20" spans="1:28" s="401" customFormat="1" ht="22.5" customHeight="1" x14ac:dyDescent="0.25">
      <c r="A20" s="1327"/>
      <c r="B20" s="1222"/>
      <c r="C20" s="1328"/>
      <c r="D20" s="1253" t="s">
        <v>1539</v>
      </c>
      <c r="E20" s="1332"/>
      <c r="F20" s="1332"/>
      <c r="G20" s="1332"/>
      <c r="H20" s="1332"/>
      <c r="I20" s="1332"/>
      <c r="J20" s="1332"/>
      <c r="K20" s="1332"/>
      <c r="L20" s="1332"/>
      <c r="M20" s="1332"/>
      <c r="N20" s="1332"/>
      <c r="O20" s="1332"/>
      <c r="P20" s="1332"/>
      <c r="R20" s="1333"/>
      <c r="S20" s="1333"/>
      <c r="T20" s="1333"/>
      <c r="U20" s="432"/>
      <c r="V20" s="432"/>
      <c r="W20" s="432"/>
      <c r="X20" s="432"/>
      <c r="Y20" s="432"/>
      <c r="Z20" s="432"/>
      <c r="AB20" s="1324"/>
    </row>
    <row r="21" spans="1:28" s="401" customFormat="1" ht="16.149999999999999" customHeight="1" x14ac:dyDescent="0.25">
      <c r="A21" s="1327"/>
      <c r="B21" s="1222"/>
      <c r="C21" s="1328"/>
      <c r="D21" s="3483" t="s">
        <v>415</v>
      </c>
      <c r="E21" s="1335"/>
      <c r="F21" s="1335"/>
      <c r="G21" s="1335"/>
      <c r="H21" s="1335"/>
      <c r="I21" s="1335"/>
      <c r="J21" s="1335"/>
      <c r="K21" s="1335"/>
      <c r="L21" s="1335"/>
      <c r="M21" s="1336">
        <v>28.1</v>
      </c>
      <c r="N21" s="635">
        <v>29.9</v>
      </c>
      <c r="O21" s="635">
        <v>29.3</v>
      </c>
      <c r="P21" s="3091">
        <v>29.1</v>
      </c>
      <c r="R21" s="432"/>
      <c r="T21" s="1324"/>
    </row>
    <row r="22" spans="1:28" s="401" customFormat="1" ht="16.149999999999999" customHeight="1" x14ac:dyDescent="0.2">
      <c r="A22" s="1327"/>
      <c r="B22" s="1222"/>
      <c r="C22" s="1328"/>
      <c r="D22" s="2955" t="s">
        <v>417</v>
      </c>
      <c r="E22" s="1332"/>
      <c r="F22" s="1332"/>
      <c r="G22" s="1332"/>
      <c r="H22" s="1332"/>
      <c r="I22" s="1332"/>
      <c r="J22" s="1332"/>
      <c r="K22" s="1332"/>
      <c r="L22" s="1332"/>
      <c r="M22" s="1333">
        <v>30.1</v>
      </c>
      <c r="N22" s="432">
        <v>30.6</v>
      </c>
      <c r="O22" s="432">
        <v>32.5</v>
      </c>
      <c r="P22" s="3085">
        <v>32</v>
      </c>
      <c r="R22" s="432"/>
    </row>
    <row r="23" spans="1:28" s="401" customFormat="1" ht="16.149999999999999" customHeight="1" x14ac:dyDescent="0.2">
      <c r="A23" s="1327"/>
      <c r="B23" s="1222"/>
      <c r="C23" s="1328"/>
      <c r="D23" s="2955" t="s">
        <v>420</v>
      </c>
      <c r="E23" s="1332"/>
      <c r="F23" s="1332"/>
      <c r="G23" s="1332"/>
      <c r="H23" s="1332"/>
      <c r="I23" s="1332"/>
      <c r="J23" s="1332"/>
      <c r="K23" s="1332"/>
      <c r="L23" s="1332"/>
      <c r="M23" s="1333">
        <v>29.8</v>
      </c>
      <c r="N23" s="432">
        <v>30.4</v>
      </c>
      <c r="O23" s="432">
        <v>28.7</v>
      </c>
      <c r="P23" s="2787">
        <v>29.9</v>
      </c>
      <c r="R23" s="432"/>
    </row>
    <row r="24" spans="1:28" s="401" customFormat="1" ht="16.149999999999999" customHeight="1" x14ac:dyDescent="0.2">
      <c r="A24" s="1327"/>
      <c r="B24" s="1222"/>
      <c r="C24" s="1328"/>
      <c r="D24" s="2955" t="s">
        <v>418</v>
      </c>
      <c r="E24" s="1332"/>
      <c r="F24" s="1332"/>
      <c r="G24" s="1332"/>
      <c r="H24" s="1332"/>
      <c r="I24" s="1332"/>
      <c r="J24" s="1332"/>
      <c r="K24" s="1332"/>
      <c r="L24" s="1332"/>
      <c r="M24" s="1333">
        <v>39.4</v>
      </c>
      <c r="N24" s="432">
        <v>39.5</v>
      </c>
      <c r="O24" s="432">
        <v>37.4</v>
      </c>
      <c r="P24" s="2787">
        <v>37.4</v>
      </c>
      <c r="R24" s="432"/>
    </row>
    <row r="25" spans="1:28" s="401" customFormat="1" ht="16.149999999999999" customHeight="1" x14ac:dyDescent="0.2">
      <c r="A25" s="1327"/>
      <c r="B25" s="1222"/>
      <c r="C25" s="1328"/>
      <c r="D25" s="2955" t="s">
        <v>422</v>
      </c>
      <c r="E25" s="1332"/>
      <c r="F25" s="1332"/>
      <c r="G25" s="1332"/>
      <c r="H25" s="1332"/>
      <c r="I25" s="1332"/>
      <c r="J25" s="1332"/>
      <c r="K25" s="1332"/>
      <c r="L25" s="1332"/>
      <c r="M25" s="1333">
        <v>21.4</v>
      </c>
      <c r="N25" s="432">
        <v>21.9</v>
      </c>
      <c r="O25" s="432">
        <v>22.1</v>
      </c>
      <c r="P25" s="2787">
        <v>22.3</v>
      </c>
      <c r="R25" s="432"/>
    </row>
    <row r="26" spans="1:28" s="401" customFormat="1" ht="16.149999999999999" customHeight="1" x14ac:dyDescent="0.2">
      <c r="A26" s="1327"/>
      <c r="B26" s="1222"/>
      <c r="C26" s="1328"/>
      <c r="D26" s="2955" t="s">
        <v>421</v>
      </c>
      <c r="E26" s="1332"/>
      <c r="F26" s="1332"/>
      <c r="G26" s="1332"/>
      <c r="H26" s="1332"/>
      <c r="I26" s="1332"/>
      <c r="J26" s="1332"/>
      <c r="K26" s="1332"/>
      <c r="L26" s="1332"/>
      <c r="M26" s="1333">
        <v>34.700000000000003</v>
      </c>
      <c r="N26" s="432">
        <v>35.1</v>
      </c>
      <c r="O26" s="432">
        <v>36.700000000000003</v>
      </c>
      <c r="P26" s="2787">
        <v>35.6</v>
      </c>
      <c r="R26" s="432"/>
    </row>
    <row r="27" spans="1:28" s="401" customFormat="1" ht="16.149999999999999" customHeight="1" x14ac:dyDescent="0.2">
      <c r="A27" s="1327"/>
      <c r="B27" s="1222"/>
      <c r="C27" s="1328"/>
      <c r="D27" s="2955" t="s">
        <v>419</v>
      </c>
      <c r="E27" s="1332"/>
      <c r="F27" s="1332"/>
      <c r="G27" s="1332"/>
      <c r="H27" s="1332"/>
      <c r="I27" s="1332"/>
      <c r="J27" s="1332"/>
      <c r="K27" s="1332"/>
      <c r="L27" s="1332"/>
      <c r="M27" s="1333">
        <v>30</v>
      </c>
      <c r="N27" s="432">
        <v>29.6</v>
      </c>
      <c r="O27" s="432">
        <v>30.2</v>
      </c>
      <c r="P27" s="2787">
        <v>29.7</v>
      </c>
      <c r="R27" s="432"/>
    </row>
    <row r="28" spans="1:28" s="401" customFormat="1" ht="16.149999999999999" customHeight="1" x14ac:dyDescent="0.2">
      <c r="A28" s="1327"/>
      <c r="B28" s="1222"/>
      <c r="C28" s="1328"/>
      <c r="D28" s="2955" t="s">
        <v>416</v>
      </c>
      <c r="E28" s="1332"/>
      <c r="F28" s="1332"/>
      <c r="G28" s="1332"/>
      <c r="H28" s="1332"/>
      <c r="I28" s="1332"/>
      <c r="J28" s="1332"/>
      <c r="K28" s="1332"/>
      <c r="L28" s="1332"/>
      <c r="M28" s="1333">
        <v>17.2</v>
      </c>
      <c r="N28" s="432">
        <v>18.399999999999999</v>
      </c>
      <c r="O28" s="441">
        <v>17</v>
      </c>
      <c r="P28" s="2787">
        <v>17.8</v>
      </c>
      <c r="R28" s="432"/>
    </row>
    <row r="29" spans="1:28" s="401" customFormat="1" ht="16.149999999999999" customHeight="1" x14ac:dyDescent="0.2">
      <c r="A29" s="1327"/>
      <c r="B29" s="1222"/>
      <c r="C29" s="1328"/>
      <c r="D29" s="2955" t="s">
        <v>414</v>
      </c>
      <c r="E29" s="1332"/>
      <c r="F29" s="1332"/>
      <c r="G29" s="1332"/>
      <c r="H29" s="1332"/>
      <c r="I29" s="1332"/>
      <c r="J29" s="1332"/>
      <c r="K29" s="1332"/>
      <c r="L29" s="1332"/>
      <c r="M29" s="1333">
        <v>16.899999999999999</v>
      </c>
      <c r="N29" s="432">
        <v>18.5</v>
      </c>
      <c r="O29" s="432">
        <v>18.2</v>
      </c>
      <c r="P29" s="2787">
        <v>16.899999999999999</v>
      </c>
      <c r="R29" s="432"/>
    </row>
    <row r="30" spans="1:28" s="401" customFormat="1" ht="16.149999999999999" customHeight="1" x14ac:dyDescent="0.2">
      <c r="A30" s="1327"/>
      <c r="B30" s="1222"/>
      <c r="C30" s="1328"/>
      <c r="D30" s="3124" t="s">
        <v>0</v>
      </c>
      <c r="E30" s="1337"/>
      <c r="F30" s="1337"/>
      <c r="G30" s="1337"/>
      <c r="H30" s="1337"/>
      <c r="I30" s="1337"/>
      <c r="J30" s="1337"/>
      <c r="K30" s="1337"/>
      <c r="L30" s="1337"/>
      <c r="M30" s="1338">
        <v>29.4</v>
      </c>
      <c r="N30" s="436">
        <v>30.2</v>
      </c>
      <c r="O30" s="436">
        <v>29.5</v>
      </c>
      <c r="P30" s="2281">
        <v>29.5</v>
      </c>
      <c r="R30" s="432"/>
    </row>
    <row r="31" spans="1:28" s="401" customFormat="1" ht="16.149999999999999" customHeight="1" x14ac:dyDescent="0.2">
      <c r="A31" s="1327"/>
      <c r="B31" s="1222"/>
      <c r="C31" s="1328"/>
      <c r="D31" s="798"/>
      <c r="E31" s="1332"/>
      <c r="F31" s="1332"/>
      <c r="G31" s="1332"/>
      <c r="H31" s="1332"/>
      <c r="I31" s="1332"/>
      <c r="J31" s="1332"/>
      <c r="K31" s="1332"/>
      <c r="L31" s="1332"/>
      <c r="M31" s="1332"/>
      <c r="N31" s="1332"/>
      <c r="O31" s="1332"/>
      <c r="P31" s="1332"/>
      <c r="Q31" s="1333"/>
      <c r="R31" s="1333"/>
      <c r="S31" s="1333"/>
      <c r="T31" s="1333"/>
      <c r="U31" s="432"/>
      <c r="V31" s="432"/>
      <c r="W31" s="432"/>
      <c r="X31" s="432"/>
      <c r="Y31" s="432"/>
    </row>
    <row r="32" spans="1:28" s="401" customFormat="1" ht="16.149999999999999" hidden="1" customHeight="1" x14ac:dyDescent="0.2">
      <c r="A32" s="1327"/>
      <c r="B32" s="1222"/>
      <c r="C32" s="1328"/>
      <c r="D32" s="798"/>
      <c r="E32" s="1332"/>
      <c r="F32" s="1332"/>
      <c r="G32" s="1332"/>
      <c r="H32" s="1332"/>
      <c r="I32" s="1332"/>
      <c r="J32" s="1332"/>
      <c r="K32" s="1332"/>
      <c r="L32" s="1332"/>
      <c r="M32" s="1332"/>
      <c r="N32" s="1332"/>
      <c r="O32" s="1332"/>
      <c r="P32" s="1332"/>
      <c r="Q32" s="1333"/>
      <c r="R32" s="1333"/>
      <c r="S32" s="1333"/>
      <c r="T32" s="1333"/>
      <c r="U32" s="432"/>
      <c r="V32" s="432"/>
      <c r="W32" s="432"/>
      <c r="X32" s="432"/>
      <c r="Y32" s="432"/>
    </row>
    <row r="33" spans="1:28" s="401" customFormat="1" ht="16.149999999999999" hidden="1" customHeight="1" x14ac:dyDescent="0.2">
      <c r="A33" s="1327"/>
      <c r="B33" s="1222"/>
      <c r="C33" s="1328"/>
      <c r="D33" s="1253" t="s">
        <v>55</v>
      </c>
      <c r="E33" s="1253" t="s">
        <v>1540</v>
      </c>
      <c r="F33" s="1332"/>
      <c r="G33" s="1332"/>
      <c r="H33" s="1332"/>
      <c r="I33" s="1332"/>
      <c r="J33" s="1332"/>
      <c r="K33" s="1332"/>
      <c r="L33" s="1332"/>
      <c r="M33" s="1332"/>
      <c r="N33" s="1332"/>
      <c r="O33" s="1332"/>
      <c r="P33" s="1332"/>
      <c r="Q33" s="1333"/>
      <c r="R33" s="1333"/>
      <c r="S33" s="1333"/>
      <c r="T33" s="1333"/>
      <c r="U33" s="432"/>
      <c r="V33" s="432"/>
      <c r="W33" s="432"/>
      <c r="X33" s="432"/>
      <c r="Y33" s="432"/>
    </row>
    <row r="34" spans="1:28" s="401" customFormat="1" ht="15" hidden="1" customHeight="1" x14ac:dyDescent="0.25">
      <c r="A34" s="1224"/>
      <c r="B34" s="1222"/>
      <c r="C34" s="1222"/>
      <c r="D34" s="834" t="s">
        <v>54</v>
      </c>
      <c r="E34" s="1689">
        <v>1994</v>
      </c>
      <c r="F34" s="1689">
        <v>1995</v>
      </c>
      <c r="G34" s="1689">
        <v>1996</v>
      </c>
      <c r="H34" s="1689">
        <v>1997</v>
      </c>
      <c r="I34" s="2245">
        <v>1998</v>
      </c>
      <c r="J34" s="2245">
        <v>1999</v>
      </c>
      <c r="K34" s="2245">
        <v>2000</v>
      </c>
      <c r="L34" s="1339">
        <v>2001</v>
      </c>
      <c r="M34" s="1339">
        <v>2002</v>
      </c>
      <c r="N34" s="1339">
        <v>2003</v>
      </c>
      <c r="O34" s="1339">
        <v>2004</v>
      </c>
      <c r="P34" s="1339">
        <v>2005</v>
      </c>
      <c r="Q34" s="1339">
        <v>2006</v>
      </c>
      <c r="R34" s="1339">
        <v>2007</v>
      </c>
      <c r="S34" s="1339">
        <v>2008</v>
      </c>
      <c r="T34" s="1339">
        <v>2009</v>
      </c>
      <c r="U34" s="1339">
        <v>2010</v>
      </c>
      <c r="V34" s="1339">
        <v>2011</v>
      </c>
      <c r="W34" s="1339">
        <v>2012</v>
      </c>
      <c r="X34" s="1339">
        <v>2013</v>
      </c>
      <c r="Y34" s="1339">
        <v>2014</v>
      </c>
      <c r="Z34" s="1339">
        <v>2015</v>
      </c>
      <c r="AB34" s="1324"/>
    </row>
    <row r="35" spans="1:28" s="401" customFormat="1" ht="12.6" hidden="1" customHeight="1" x14ac:dyDescent="0.2">
      <c r="A35" s="1327"/>
      <c r="B35" s="1222"/>
      <c r="C35" s="1328">
        <v>11</v>
      </c>
      <c r="D35" s="784" t="s">
        <v>1541</v>
      </c>
      <c r="E35" s="1340"/>
      <c r="F35" s="1340"/>
      <c r="G35" s="1340"/>
      <c r="H35" s="1340"/>
      <c r="I35" s="1340"/>
      <c r="J35" s="1340"/>
      <c r="K35" s="1340"/>
      <c r="L35" s="1340"/>
      <c r="M35" s="1340"/>
      <c r="N35" s="1340"/>
      <c r="O35" s="1340"/>
      <c r="P35" s="1340"/>
      <c r="Q35" s="1341"/>
      <c r="R35" s="1341"/>
      <c r="S35" s="1341"/>
      <c r="T35" s="1341"/>
      <c r="U35" s="1342">
        <v>31.4</v>
      </c>
      <c r="V35" s="1342">
        <v>32.200000000000003</v>
      </c>
      <c r="W35" s="2246"/>
      <c r="X35" s="2246"/>
      <c r="Y35" s="2246"/>
      <c r="Z35" s="2246"/>
    </row>
    <row r="36" spans="1:28" s="401" customFormat="1" ht="20.45" hidden="1" customHeight="1" x14ac:dyDescent="0.2">
      <c r="A36" s="1327"/>
      <c r="B36" s="1222"/>
      <c r="C36" s="1328">
        <v>12</v>
      </c>
      <c r="D36" s="796" t="s">
        <v>1542</v>
      </c>
      <c r="E36" s="1343"/>
      <c r="F36" s="1343"/>
      <c r="G36" s="1343"/>
      <c r="H36" s="1343"/>
      <c r="I36" s="1343"/>
      <c r="J36" s="1343"/>
      <c r="K36" s="1343"/>
      <c r="L36" s="1343"/>
      <c r="M36" s="1343"/>
      <c r="N36" s="1343"/>
      <c r="O36" s="1343"/>
      <c r="P36" s="1343"/>
      <c r="Q36" s="1344"/>
      <c r="R36" s="1344"/>
      <c r="S36" s="1344"/>
      <c r="T36" s="1344"/>
      <c r="U36" s="1345">
        <v>3.5</v>
      </c>
      <c r="V36" s="1345">
        <v>2.67</v>
      </c>
      <c r="W36" s="2247"/>
      <c r="X36" s="2247"/>
      <c r="Y36" s="2247"/>
      <c r="Z36" s="2247"/>
    </row>
    <row r="37" spans="1:28" s="401" customFormat="1" ht="16.149999999999999" hidden="1" customHeight="1" x14ac:dyDescent="0.2">
      <c r="A37" s="1327"/>
      <c r="B37" s="1222"/>
      <c r="C37" s="1328"/>
      <c r="D37" s="798"/>
      <c r="E37" s="1332"/>
      <c r="F37" s="1332"/>
      <c r="G37" s="1332"/>
      <c r="H37" s="1332"/>
      <c r="I37" s="1332"/>
      <c r="J37" s="1332"/>
      <c r="K37" s="1332"/>
      <c r="L37" s="1332"/>
      <c r="M37" s="1332"/>
      <c r="N37" s="1332"/>
      <c r="O37" s="1332"/>
      <c r="P37" s="1332"/>
      <c r="Q37" s="1333"/>
      <c r="R37" s="1333"/>
      <c r="S37" s="1333"/>
      <c r="T37" s="1333"/>
      <c r="U37" s="432"/>
      <c r="V37" s="432"/>
      <c r="W37" s="432"/>
      <c r="X37" s="432"/>
      <c r="Y37" s="432"/>
    </row>
    <row r="38" spans="1:28" s="401" customFormat="1" ht="11.25" hidden="1" x14ac:dyDescent="0.2">
      <c r="A38" s="1327"/>
      <c r="B38" s="1222"/>
      <c r="C38" s="1328"/>
      <c r="D38" s="798"/>
      <c r="E38" s="1332"/>
      <c r="F38" s="1332"/>
      <c r="G38" s="1332"/>
      <c r="H38" s="1332"/>
      <c r="I38" s="1332"/>
      <c r="J38" s="1332"/>
      <c r="K38" s="1332"/>
      <c r="L38" s="1332"/>
      <c r="M38" s="1332"/>
      <c r="N38" s="1332"/>
      <c r="O38" s="1332"/>
      <c r="P38" s="1332"/>
      <c r="Q38" s="1333"/>
      <c r="R38" s="1333"/>
      <c r="S38" s="1333"/>
      <c r="T38" s="1333"/>
      <c r="U38" s="432"/>
      <c r="V38" s="432"/>
      <c r="W38" s="432"/>
      <c r="X38" s="432"/>
      <c r="Y38" s="432"/>
    </row>
    <row r="39" spans="1:28" s="401" customFormat="1" ht="11.25" x14ac:dyDescent="0.2">
      <c r="A39" s="1327"/>
      <c r="B39" s="1222"/>
      <c r="C39" s="1222"/>
      <c r="D39" s="921"/>
      <c r="E39" s="901"/>
      <c r="F39" s="901"/>
      <c r="G39" s="901"/>
      <c r="H39" s="901"/>
      <c r="I39" s="901"/>
      <c r="J39" s="901"/>
      <c r="K39" s="901"/>
      <c r="L39" s="901"/>
      <c r="M39" s="901"/>
      <c r="N39" s="901"/>
      <c r="O39" s="901"/>
      <c r="P39" s="901"/>
      <c r="Q39" s="1346"/>
      <c r="R39" s="1346"/>
    </row>
    <row r="40" spans="1:28" ht="14.25" x14ac:dyDescent="0.2">
      <c r="A40" s="835">
        <v>5</v>
      </c>
      <c r="B40" s="835" t="s">
        <v>77</v>
      </c>
      <c r="C40" s="835"/>
    </row>
    <row r="45" spans="1:28" x14ac:dyDescent="0.2">
      <c r="N45" s="2248"/>
    </row>
    <row r="54" spans="1:25" ht="14.25" x14ac:dyDescent="0.2">
      <c r="A54" s="835">
        <v>6</v>
      </c>
      <c r="B54" s="835" t="s">
        <v>78</v>
      </c>
      <c r="C54" s="835"/>
      <c r="D54" s="3811" t="s">
        <v>398</v>
      </c>
      <c r="E54" s="3812"/>
      <c r="F54" s="3812"/>
      <c r="G54" s="3812"/>
      <c r="H54" s="3812"/>
      <c r="I54" s="3812"/>
      <c r="J54" s="3812"/>
      <c r="K54" s="3812"/>
      <c r="L54" s="3812"/>
      <c r="M54" s="3812"/>
      <c r="N54" s="3812"/>
      <c r="O54" s="3812"/>
      <c r="P54" s="3812"/>
      <c r="Q54" s="3812"/>
      <c r="R54" s="3812"/>
      <c r="S54" s="3812"/>
      <c r="T54" s="3812"/>
      <c r="U54" s="3812"/>
      <c r="V54" s="3812"/>
      <c r="W54" s="3812"/>
      <c r="X54" s="3812"/>
      <c r="Y54" s="3812"/>
    </row>
    <row r="55" spans="1:25" ht="19.899999999999999" customHeight="1" x14ac:dyDescent="0.2">
      <c r="A55" s="963">
        <v>7</v>
      </c>
      <c r="B55" s="963" t="s">
        <v>80</v>
      </c>
      <c r="C55" s="963"/>
      <c r="D55" s="3813" t="s">
        <v>1543</v>
      </c>
      <c r="E55" s="3814"/>
      <c r="F55" s="3814"/>
      <c r="G55" s="3814"/>
      <c r="H55" s="3814"/>
      <c r="I55" s="3814"/>
      <c r="J55" s="3814"/>
      <c r="K55" s="3814"/>
      <c r="L55" s="3814"/>
      <c r="M55" s="3814"/>
      <c r="N55" s="3814"/>
      <c r="O55" s="3814"/>
      <c r="P55" s="3814"/>
      <c r="Q55" s="3814"/>
      <c r="R55" s="3814"/>
      <c r="S55" s="3814"/>
      <c r="T55" s="3814"/>
      <c r="U55" s="3814"/>
      <c r="V55" s="3814"/>
      <c r="W55" s="3814"/>
      <c r="X55" s="3814"/>
      <c r="Y55" s="3814"/>
    </row>
    <row r="56" spans="1:25" ht="17.45" customHeight="1" x14ac:dyDescent="0.2">
      <c r="A56" s="835">
        <v>8</v>
      </c>
      <c r="B56" s="835" t="s">
        <v>20</v>
      </c>
      <c r="C56" s="963"/>
      <c r="D56" s="3811" t="s">
        <v>1544</v>
      </c>
      <c r="E56" s="3812"/>
      <c r="F56" s="3812"/>
      <c r="G56" s="3812"/>
      <c r="H56" s="3812"/>
      <c r="I56" s="3812"/>
      <c r="J56" s="3812"/>
      <c r="K56" s="3812"/>
      <c r="L56" s="3812"/>
      <c r="M56" s="3812"/>
      <c r="N56" s="3812"/>
      <c r="O56" s="3812"/>
      <c r="P56" s="3812"/>
      <c r="Q56" s="3812"/>
      <c r="R56" s="3812"/>
      <c r="S56" s="3812"/>
      <c r="T56" s="3812"/>
      <c r="U56" s="3812"/>
      <c r="V56" s="3812"/>
      <c r="W56" s="3812"/>
      <c r="X56" s="3812"/>
      <c r="Y56" s="3812"/>
    </row>
    <row r="57" spans="1:25" ht="18" customHeight="1" x14ac:dyDescent="0.2">
      <c r="A57" s="1277"/>
      <c r="C57" s="835"/>
      <c r="D57" s="3615" t="s">
        <v>1887</v>
      </c>
      <c r="E57" s="3616"/>
      <c r="F57" s="3616"/>
      <c r="G57" s="3616"/>
      <c r="H57" s="3616"/>
      <c r="I57" s="3616"/>
      <c r="J57" s="3616"/>
      <c r="K57" s="3616"/>
      <c r="L57" s="3616"/>
      <c r="M57" s="3616"/>
      <c r="N57" s="3616"/>
      <c r="O57" s="3616"/>
      <c r="P57" s="3616"/>
      <c r="Q57" s="3616"/>
      <c r="R57" s="3616"/>
      <c r="S57" s="3616"/>
      <c r="T57" s="3616"/>
      <c r="U57" s="3616"/>
      <c r="V57" s="3616"/>
      <c r="W57" s="3616"/>
      <c r="X57" s="3616"/>
      <c r="Y57" s="3617"/>
    </row>
    <row r="58" spans="1:25" hidden="1" x14ac:dyDescent="0.2">
      <c r="A58" s="965">
        <v>9</v>
      </c>
      <c r="B58" s="835" t="s">
        <v>157</v>
      </c>
      <c r="D58" s="3615" t="s">
        <v>1545</v>
      </c>
      <c r="E58" s="3616"/>
      <c r="F58" s="3616"/>
      <c r="G58" s="3616"/>
      <c r="H58" s="3616"/>
      <c r="I58" s="3616"/>
      <c r="J58" s="3616"/>
      <c r="K58" s="3616"/>
      <c r="L58" s="3616"/>
      <c r="M58" s="3616"/>
      <c r="N58" s="3616"/>
      <c r="O58" s="3616"/>
      <c r="P58" s="3616"/>
      <c r="Q58" s="3616"/>
      <c r="R58" s="3616"/>
      <c r="S58" s="3616"/>
      <c r="T58" s="3616"/>
      <c r="U58" s="3616"/>
      <c r="V58" s="3616"/>
      <c r="W58" s="3616"/>
      <c r="X58" s="3616"/>
      <c r="Y58" s="3617"/>
    </row>
    <row r="59" spans="1:25" x14ac:dyDescent="0.2">
      <c r="D59" s="3615"/>
      <c r="E59" s="3616"/>
      <c r="F59" s="3616"/>
      <c r="G59" s="3616"/>
      <c r="H59" s="3616"/>
      <c r="I59" s="3616"/>
      <c r="J59" s="3616"/>
      <c r="K59" s="3616"/>
      <c r="L59" s="3616"/>
      <c r="M59" s="3616"/>
      <c r="N59" s="3616"/>
      <c r="O59" s="3616"/>
      <c r="P59" s="3616"/>
      <c r="Q59" s="3616"/>
      <c r="R59" s="3616"/>
      <c r="S59" s="3616"/>
      <c r="T59" s="3616"/>
      <c r="U59" s="3616"/>
      <c r="V59" s="3616"/>
      <c r="W59" s="3616"/>
      <c r="X59" s="3616"/>
      <c r="Y59" s="3617"/>
    </row>
  </sheetData>
  <mergeCells count="10">
    <mergeCell ref="D58:Y58"/>
    <mergeCell ref="D59:Y59"/>
    <mergeCell ref="D54:Y54"/>
    <mergeCell ref="D55:Y55"/>
    <mergeCell ref="D56:Y56"/>
    <mergeCell ref="D2:Z2"/>
    <mergeCell ref="D3:Z3"/>
    <mergeCell ref="D4:Z4"/>
    <mergeCell ref="D5:Z5"/>
    <mergeCell ref="D57:Y57"/>
  </mergeCells>
  <pageMargins left="0.74803149606299213" right="0.74803149606299213" top="4.3124999999999997E-2" bottom="0.98425196850393704" header="0.51181102362204722" footer="0.51181102362204722"/>
  <pageSetup paperSize="9" scale="65" orientation="landscape" r:id="rId1"/>
  <headerFooter alignWithMargins="0">
    <oddFooter>&amp;LDepartment of Planning, Monitoring and Evaluation (DPME). &amp;CPage &amp;P of &amp;N&amp;R&amp;D</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F97"/>
  <sheetViews>
    <sheetView showGridLines="0" view="pageBreakPreview" topLeftCell="C1" zoomScaleNormal="100" zoomScaleSheetLayoutView="100" workbookViewId="0">
      <selection activeCell="D33" sqref="D33:V33"/>
    </sheetView>
  </sheetViews>
  <sheetFormatPr defaultColWidth="9.140625" defaultRowHeight="15" x14ac:dyDescent="0.2"/>
  <cols>
    <col min="1" max="1" width="3.7109375" style="965" customWidth="1"/>
    <col min="2" max="2" width="14.42578125" style="1277" customWidth="1"/>
    <col min="3" max="3" width="3.7109375" style="1277" customWidth="1"/>
    <col min="4" max="4" width="17.5703125" style="964" customWidth="1"/>
    <col min="5" max="5" width="6.85546875" style="964" customWidth="1"/>
    <col min="6" max="8" width="11.42578125" style="964" bestFit="1" customWidth="1"/>
    <col min="9" max="10" width="9.7109375" style="964" bestFit="1" customWidth="1"/>
    <col min="11" max="14" width="10.42578125" style="964" bestFit="1" customWidth="1"/>
    <col min="15" max="16" width="6.85546875" style="964" customWidth="1"/>
    <col min="17" max="17" width="8.85546875" style="964" bestFit="1" customWidth="1"/>
    <col min="18" max="23" width="6.85546875" style="964" customWidth="1"/>
    <col min="24" max="259" width="9.140625" style="964"/>
    <col min="260" max="260" width="3.7109375" style="964" customWidth="1"/>
    <col min="261" max="261" width="14.42578125" style="964" customWidth="1"/>
    <col min="262" max="262" width="3.7109375" style="964" customWidth="1"/>
    <col min="263" max="263" width="14.140625" style="964" customWidth="1"/>
    <col min="264" max="278" width="6.85546875" style="964" customWidth="1"/>
    <col min="279" max="515" width="9.140625" style="964"/>
    <col min="516" max="516" width="3.7109375" style="964" customWidth="1"/>
    <col min="517" max="517" width="14.42578125" style="964" customWidth="1"/>
    <col min="518" max="518" width="3.7109375" style="964" customWidth="1"/>
    <col min="519" max="519" width="14.140625" style="964" customWidth="1"/>
    <col min="520" max="534" width="6.85546875" style="964" customWidth="1"/>
    <col min="535" max="771" width="9.140625" style="964"/>
    <col min="772" max="772" width="3.7109375" style="964" customWidth="1"/>
    <col min="773" max="773" width="14.42578125" style="964" customWidth="1"/>
    <col min="774" max="774" width="3.7109375" style="964" customWidth="1"/>
    <col min="775" max="775" width="14.140625" style="964" customWidth="1"/>
    <col min="776" max="790" width="6.85546875" style="964" customWidth="1"/>
    <col min="791" max="1027" width="9.140625" style="964"/>
    <col min="1028" max="1028" width="3.7109375" style="964" customWidth="1"/>
    <col min="1029" max="1029" width="14.42578125" style="964" customWidth="1"/>
    <col min="1030" max="1030" width="3.7109375" style="964" customWidth="1"/>
    <col min="1031" max="1031" width="14.140625" style="964" customWidth="1"/>
    <col min="1032" max="1046" width="6.85546875" style="964" customWidth="1"/>
    <col min="1047" max="1283" width="9.140625" style="964"/>
    <col min="1284" max="1284" width="3.7109375" style="964" customWidth="1"/>
    <col min="1285" max="1285" width="14.42578125" style="964" customWidth="1"/>
    <col min="1286" max="1286" width="3.7109375" style="964" customWidth="1"/>
    <col min="1287" max="1287" width="14.140625" style="964" customWidth="1"/>
    <col min="1288" max="1302" width="6.85546875" style="964" customWidth="1"/>
    <col min="1303" max="1539" width="9.140625" style="964"/>
    <col min="1540" max="1540" width="3.7109375" style="964" customWidth="1"/>
    <col min="1541" max="1541" width="14.42578125" style="964" customWidth="1"/>
    <col min="1542" max="1542" width="3.7109375" style="964" customWidth="1"/>
    <col min="1543" max="1543" width="14.140625" style="964" customWidth="1"/>
    <col min="1544" max="1558" width="6.85546875" style="964" customWidth="1"/>
    <col min="1559" max="1795" width="9.140625" style="964"/>
    <col min="1796" max="1796" width="3.7109375" style="964" customWidth="1"/>
    <col min="1797" max="1797" width="14.42578125" style="964" customWidth="1"/>
    <col min="1798" max="1798" width="3.7109375" style="964" customWidth="1"/>
    <col min="1799" max="1799" width="14.140625" style="964" customWidth="1"/>
    <col min="1800" max="1814" width="6.85546875" style="964" customWidth="1"/>
    <col min="1815" max="2051" width="9.140625" style="964"/>
    <col min="2052" max="2052" width="3.7109375" style="964" customWidth="1"/>
    <col min="2053" max="2053" width="14.42578125" style="964" customWidth="1"/>
    <col min="2054" max="2054" width="3.7109375" style="964" customWidth="1"/>
    <col min="2055" max="2055" width="14.140625" style="964" customWidth="1"/>
    <col min="2056" max="2070" width="6.85546875" style="964" customWidth="1"/>
    <col min="2071" max="2307" width="9.140625" style="964"/>
    <col min="2308" max="2308" width="3.7109375" style="964" customWidth="1"/>
    <col min="2309" max="2309" width="14.42578125" style="964" customWidth="1"/>
    <col min="2310" max="2310" width="3.7109375" style="964" customWidth="1"/>
    <col min="2311" max="2311" width="14.140625" style="964" customWidth="1"/>
    <col min="2312" max="2326" width="6.85546875" style="964" customWidth="1"/>
    <col min="2327" max="2563" width="9.140625" style="964"/>
    <col min="2564" max="2564" width="3.7109375" style="964" customWidth="1"/>
    <col min="2565" max="2565" width="14.42578125" style="964" customWidth="1"/>
    <col min="2566" max="2566" width="3.7109375" style="964" customWidth="1"/>
    <col min="2567" max="2567" width="14.140625" style="964" customWidth="1"/>
    <col min="2568" max="2582" width="6.85546875" style="964" customWidth="1"/>
    <col min="2583" max="2819" width="9.140625" style="964"/>
    <col min="2820" max="2820" width="3.7109375" style="964" customWidth="1"/>
    <col min="2821" max="2821" width="14.42578125" style="964" customWidth="1"/>
    <col min="2822" max="2822" width="3.7109375" style="964" customWidth="1"/>
    <col min="2823" max="2823" width="14.140625" style="964" customWidth="1"/>
    <col min="2824" max="2838" width="6.85546875" style="964" customWidth="1"/>
    <col min="2839" max="3075" width="9.140625" style="964"/>
    <col min="3076" max="3076" width="3.7109375" style="964" customWidth="1"/>
    <col min="3077" max="3077" width="14.42578125" style="964" customWidth="1"/>
    <col min="3078" max="3078" width="3.7109375" style="964" customWidth="1"/>
    <col min="3079" max="3079" width="14.140625" style="964" customWidth="1"/>
    <col min="3080" max="3094" width="6.85546875" style="964" customWidth="1"/>
    <col min="3095" max="3331" width="9.140625" style="964"/>
    <col min="3332" max="3332" width="3.7109375" style="964" customWidth="1"/>
    <col min="3333" max="3333" width="14.42578125" style="964" customWidth="1"/>
    <col min="3334" max="3334" width="3.7109375" style="964" customWidth="1"/>
    <col min="3335" max="3335" width="14.140625" style="964" customWidth="1"/>
    <col min="3336" max="3350" width="6.85546875" style="964" customWidth="1"/>
    <col min="3351" max="3587" width="9.140625" style="964"/>
    <col min="3588" max="3588" width="3.7109375" style="964" customWidth="1"/>
    <col min="3589" max="3589" width="14.42578125" style="964" customWidth="1"/>
    <col min="3590" max="3590" width="3.7109375" style="964" customWidth="1"/>
    <col min="3591" max="3591" width="14.140625" style="964" customWidth="1"/>
    <col min="3592" max="3606" width="6.85546875" style="964" customWidth="1"/>
    <col min="3607" max="3843" width="9.140625" style="964"/>
    <col min="3844" max="3844" width="3.7109375" style="964" customWidth="1"/>
    <col min="3845" max="3845" width="14.42578125" style="964" customWidth="1"/>
    <col min="3846" max="3846" width="3.7109375" style="964" customWidth="1"/>
    <col min="3847" max="3847" width="14.140625" style="964" customWidth="1"/>
    <col min="3848" max="3862" width="6.85546875" style="964" customWidth="1"/>
    <col min="3863" max="4099" width="9.140625" style="964"/>
    <col min="4100" max="4100" width="3.7109375" style="964" customWidth="1"/>
    <col min="4101" max="4101" width="14.42578125" style="964" customWidth="1"/>
    <col min="4102" max="4102" width="3.7109375" style="964" customWidth="1"/>
    <col min="4103" max="4103" width="14.140625" style="964" customWidth="1"/>
    <col min="4104" max="4118" width="6.85546875" style="964" customWidth="1"/>
    <col min="4119" max="4355" width="9.140625" style="964"/>
    <col min="4356" max="4356" width="3.7109375" style="964" customWidth="1"/>
    <col min="4357" max="4357" width="14.42578125" style="964" customWidth="1"/>
    <col min="4358" max="4358" width="3.7109375" style="964" customWidth="1"/>
    <col min="4359" max="4359" width="14.140625" style="964" customWidth="1"/>
    <col min="4360" max="4374" width="6.85546875" style="964" customWidth="1"/>
    <col min="4375" max="4611" width="9.140625" style="964"/>
    <col min="4612" max="4612" width="3.7109375" style="964" customWidth="1"/>
    <col min="4613" max="4613" width="14.42578125" style="964" customWidth="1"/>
    <col min="4614" max="4614" width="3.7109375" style="964" customWidth="1"/>
    <col min="4615" max="4615" width="14.140625" style="964" customWidth="1"/>
    <col min="4616" max="4630" width="6.85546875" style="964" customWidth="1"/>
    <col min="4631" max="4867" width="9.140625" style="964"/>
    <col min="4868" max="4868" width="3.7109375" style="964" customWidth="1"/>
    <col min="4869" max="4869" width="14.42578125" style="964" customWidth="1"/>
    <col min="4870" max="4870" width="3.7109375" style="964" customWidth="1"/>
    <col min="4871" max="4871" width="14.140625" style="964" customWidth="1"/>
    <col min="4872" max="4886" width="6.85546875" style="964" customWidth="1"/>
    <col min="4887" max="5123" width="9.140625" style="964"/>
    <col min="5124" max="5124" width="3.7109375" style="964" customWidth="1"/>
    <col min="5125" max="5125" width="14.42578125" style="964" customWidth="1"/>
    <col min="5126" max="5126" width="3.7109375" style="964" customWidth="1"/>
    <col min="5127" max="5127" width="14.140625" style="964" customWidth="1"/>
    <col min="5128" max="5142" width="6.85546875" style="964" customWidth="1"/>
    <col min="5143" max="5379" width="9.140625" style="964"/>
    <col min="5380" max="5380" width="3.7109375" style="964" customWidth="1"/>
    <col min="5381" max="5381" width="14.42578125" style="964" customWidth="1"/>
    <col min="5382" max="5382" width="3.7109375" style="964" customWidth="1"/>
    <col min="5383" max="5383" width="14.140625" style="964" customWidth="1"/>
    <col min="5384" max="5398" width="6.85546875" style="964" customWidth="1"/>
    <col min="5399" max="5635" width="9.140625" style="964"/>
    <col min="5636" max="5636" width="3.7109375" style="964" customWidth="1"/>
    <col min="5637" max="5637" width="14.42578125" style="964" customWidth="1"/>
    <col min="5638" max="5638" width="3.7109375" style="964" customWidth="1"/>
    <col min="5639" max="5639" width="14.140625" style="964" customWidth="1"/>
    <col min="5640" max="5654" width="6.85546875" style="964" customWidth="1"/>
    <col min="5655" max="5891" width="9.140625" style="964"/>
    <col min="5892" max="5892" width="3.7109375" style="964" customWidth="1"/>
    <col min="5893" max="5893" width="14.42578125" style="964" customWidth="1"/>
    <col min="5894" max="5894" width="3.7109375" style="964" customWidth="1"/>
    <col min="5895" max="5895" width="14.140625" style="964" customWidth="1"/>
    <col min="5896" max="5910" width="6.85546875" style="964" customWidth="1"/>
    <col min="5911" max="6147" width="9.140625" style="964"/>
    <col min="6148" max="6148" width="3.7109375" style="964" customWidth="1"/>
    <col min="6149" max="6149" width="14.42578125" style="964" customWidth="1"/>
    <col min="6150" max="6150" width="3.7109375" style="964" customWidth="1"/>
    <col min="6151" max="6151" width="14.140625" style="964" customWidth="1"/>
    <col min="6152" max="6166" width="6.85546875" style="964" customWidth="1"/>
    <col min="6167" max="6403" width="9.140625" style="964"/>
    <col min="6404" max="6404" width="3.7109375" style="964" customWidth="1"/>
    <col min="6405" max="6405" width="14.42578125" style="964" customWidth="1"/>
    <col min="6406" max="6406" width="3.7109375" style="964" customWidth="1"/>
    <col min="6407" max="6407" width="14.140625" style="964" customWidth="1"/>
    <col min="6408" max="6422" width="6.85546875" style="964" customWidth="1"/>
    <col min="6423" max="6659" width="9.140625" style="964"/>
    <col min="6660" max="6660" width="3.7109375" style="964" customWidth="1"/>
    <col min="6661" max="6661" width="14.42578125" style="964" customWidth="1"/>
    <col min="6662" max="6662" width="3.7109375" style="964" customWidth="1"/>
    <col min="6663" max="6663" width="14.140625" style="964" customWidth="1"/>
    <col min="6664" max="6678" width="6.85546875" style="964" customWidth="1"/>
    <col min="6679" max="6915" width="9.140625" style="964"/>
    <col min="6916" max="6916" width="3.7109375" style="964" customWidth="1"/>
    <col min="6917" max="6917" width="14.42578125" style="964" customWidth="1"/>
    <col min="6918" max="6918" width="3.7109375" style="964" customWidth="1"/>
    <col min="6919" max="6919" width="14.140625" style="964" customWidth="1"/>
    <col min="6920" max="6934" width="6.85546875" style="964" customWidth="1"/>
    <col min="6935" max="7171" width="9.140625" style="964"/>
    <col min="7172" max="7172" width="3.7109375" style="964" customWidth="1"/>
    <col min="7173" max="7173" width="14.42578125" style="964" customWidth="1"/>
    <col min="7174" max="7174" width="3.7109375" style="964" customWidth="1"/>
    <col min="7175" max="7175" width="14.140625" style="964" customWidth="1"/>
    <col min="7176" max="7190" width="6.85546875" style="964" customWidth="1"/>
    <col min="7191" max="7427" width="9.140625" style="964"/>
    <col min="7428" max="7428" width="3.7109375" style="964" customWidth="1"/>
    <col min="7429" max="7429" width="14.42578125" style="964" customWidth="1"/>
    <col min="7430" max="7430" width="3.7109375" style="964" customWidth="1"/>
    <col min="7431" max="7431" width="14.140625" style="964" customWidth="1"/>
    <col min="7432" max="7446" width="6.85546875" style="964" customWidth="1"/>
    <col min="7447" max="7683" width="9.140625" style="964"/>
    <col min="7684" max="7684" width="3.7109375" style="964" customWidth="1"/>
    <col min="7685" max="7685" width="14.42578125" style="964" customWidth="1"/>
    <col min="7686" max="7686" width="3.7109375" style="964" customWidth="1"/>
    <col min="7687" max="7687" width="14.140625" style="964" customWidth="1"/>
    <col min="7688" max="7702" width="6.85546875" style="964" customWidth="1"/>
    <col min="7703" max="7939" width="9.140625" style="964"/>
    <col min="7940" max="7940" width="3.7109375" style="964" customWidth="1"/>
    <col min="7941" max="7941" width="14.42578125" style="964" customWidth="1"/>
    <col min="7942" max="7942" width="3.7109375" style="964" customWidth="1"/>
    <col min="7943" max="7943" width="14.140625" style="964" customWidth="1"/>
    <col min="7944" max="7958" width="6.85546875" style="964" customWidth="1"/>
    <col min="7959" max="8195" width="9.140625" style="964"/>
    <col min="8196" max="8196" width="3.7109375" style="964" customWidth="1"/>
    <col min="8197" max="8197" width="14.42578125" style="964" customWidth="1"/>
    <col min="8198" max="8198" width="3.7109375" style="964" customWidth="1"/>
    <col min="8199" max="8199" width="14.140625" style="964" customWidth="1"/>
    <col min="8200" max="8214" width="6.85546875" style="964" customWidth="1"/>
    <col min="8215" max="8451" width="9.140625" style="964"/>
    <col min="8452" max="8452" width="3.7109375" style="964" customWidth="1"/>
    <col min="8453" max="8453" width="14.42578125" style="964" customWidth="1"/>
    <col min="8454" max="8454" width="3.7109375" style="964" customWidth="1"/>
    <col min="8455" max="8455" width="14.140625" style="964" customWidth="1"/>
    <col min="8456" max="8470" width="6.85546875" style="964" customWidth="1"/>
    <col min="8471" max="8707" width="9.140625" style="964"/>
    <col min="8708" max="8708" width="3.7109375" style="964" customWidth="1"/>
    <col min="8709" max="8709" width="14.42578125" style="964" customWidth="1"/>
    <col min="8710" max="8710" width="3.7109375" style="964" customWidth="1"/>
    <col min="8711" max="8711" width="14.140625" style="964" customWidth="1"/>
    <col min="8712" max="8726" width="6.85546875" style="964" customWidth="1"/>
    <col min="8727" max="8963" width="9.140625" style="964"/>
    <col min="8964" max="8964" width="3.7109375" style="964" customWidth="1"/>
    <col min="8965" max="8965" width="14.42578125" style="964" customWidth="1"/>
    <col min="8966" max="8966" width="3.7109375" style="964" customWidth="1"/>
    <col min="8967" max="8967" width="14.140625" style="964" customWidth="1"/>
    <col min="8968" max="8982" width="6.85546875" style="964" customWidth="1"/>
    <col min="8983" max="9219" width="9.140625" style="964"/>
    <col min="9220" max="9220" width="3.7109375" style="964" customWidth="1"/>
    <col min="9221" max="9221" width="14.42578125" style="964" customWidth="1"/>
    <col min="9222" max="9222" width="3.7109375" style="964" customWidth="1"/>
    <col min="9223" max="9223" width="14.140625" style="964" customWidth="1"/>
    <col min="9224" max="9238" width="6.85546875" style="964" customWidth="1"/>
    <col min="9239" max="9475" width="9.140625" style="964"/>
    <col min="9476" max="9476" width="3.7109375" style="964" customWidth="1"/>
    <col min="9477" max="9477" width="14.42578125" style="964" customWidth="1"/>
    <col min="9478" max="9478" width="3.7109375" style="964" customWidth="1"/>
    <col min="9479" max="9479" width="14.140625" style="964" customWidth="1"/>
    <col min="9480" max="9494" width="6.85546875" style="964" customWidth="1"/>
    <col min="9495" max="9731" width="9.140625" style="964"/>
    <col min="9732" max="9732" width="3.7109375" style="964" customWidth="1"/>
    <col min="9733" max="9733" width="14.42578125" style="964" customWidth="1"/>
    <col min="9734" max="9734" width="3.7109375" style="964" customWidth="1"/>
    <col min="9735" max="9735" width="14.140625" style="964" customWidth="1"/>
    <col min="9736" max="9750" width="6.85546875" style="964" customWidth="1"/>
    <col min="9751" max="9987" width="9.140625" style="964"/>
    <col min="9988" max="9988" width="3.7109375" style="964" customWidth="1"/>
    <col min="9989" max="9989" width="14.42578125" style="964" customWidth="1"/>
    <col min="9990" max="9990" width="3.7109375" style="964" customWidth="1"/>
    <col min="9991" max="9991" width="14.140625" style="964" customWidth="1"/>
    <col min="9992" max="10006" width="6.85546875" style="964" customWidth="1"/>
    <col min="10007" max="10243" width="9.140625" style="964"/>
    <col min="10244" max="10244" width="3.7109375" style="964" customWidth="1"/>
    <col min="10245" max="10245" width="14.42578125" style="964" customWidth="1"/>
    <col min="10246" max="10246" width="3.7109375" style="964" customWidth="1"/>
    <col min="10247" max="10247" width="14.140625" style="964" customWidth="1"/>
    <col min="10248" max="10262" width="6.85546875" style="964" customWidth="1"/>
    <col min="10263" max="10499" width="9.140625" style="964"/>
    <col min="10500" max="10500" width="3.7109375" style="964" customWidth="1"/>
    <col min="10501" max="10501" width="14.42578125" style="964" customWidth="1"/>
    <col min="10502" max="10502" width="3.7109375" style="964" customWidth="1"/>
    <col min="10503" max="10503" width="14.140625" style="964" customWidth="1"/>
    <col min="10504" max="10518" width="6.85546875" style="964" customWidth="1"/>
    <col min="10519" max="10755" width="9.140625" style="964"/>
    <col min="10756" max="10756" width="3.7109375" style="964" customWidth="1"/>
    <col min="10757" max="10757" width="14.42578125" style="964" customWidth="1"/>
    <col min="10758" max="10758" width="3.7109375" style="964" customWidth="1"/>
    <col min="10759" max="10759" width="14.140625" style="964" customWidth="1"/>
    <col min="10760" max="10774" width="6.85546875" style="964" customWidth="1"/>
    <col min="10775" max="11011" width="9.140625" style="964"/>
    <col min="11012" max="11012" width="3.7109375" style="964" customWidth="1"/>
    <col min="11013" max="11013" width="14.42578125" style="964" customWidth="1"/>
    <col min="11014" max="11014" width="3.7109375" style="964" customWidth="1"/>
    <col min="11015" max="11015" width="14.140625" style="964" customWidth="1"/>
    <col min="11016" max="11030" width="6.85546875" style="964" customWidth="1"/>
    <col min="11031" max="11267" width="9.140625" style="964"/>
    <col min="11268" max="11268" width="3.7109375" style="964" customWidth="1"/>
    <col min="11269" max="11269" width="14.42578125" style="964" customWidth="1"/>
    <col min="11270" max="11270" width="3.7109375" style="964" customWidth="1"/>
    <col min="11271" max="11271" width="14.140625" style="964" customWidth="1"/>
    <col min="11272" max="11286" width="6.85546875" style="964" customWidth="1"/>
    <col min="11287" max="11523" width="9.140625" style="964"/>
    <col min="11524" max="11524" width="3.7109375" style="964" customWidth="1"/>
    <col min="11525" max="11525" width="14.42578125" style="964" customWidth="1"/>
    <col min="11526" max="11526" width="3.7109375" style="964" customWidth="1"/>
    <col min="11527" max="11527" width="14.140625" style="964" customWidth="1"/>
    <col min="11528" max="11542" width="6.85546875" style="964" customWidth="1"/>
    <col min="11543" max="11779" width="9.140625" style="964"/>
    <col min="11780" max="11780" width="3.7109375" style="964" customWidth="1"/>
    <col min="11781" max="11781" width="14.42578125" style="964" customWidth="1"/>
    <col min="11782" max="11782" width="3.7109375" style="964" customWidth="1"/>
    <col min="11783" max="11783" width="14.140625" style="964" customWidth="1"/>
    <col min="11784" max="11798" width="6.85546875" style="964" customWidth="1"/>
    <col min="11799" max="12035" width="9.140625" style="964"/>
    <col min="12036" max="12036" width="3.7109375" style="964" customWidth="1"/>
    <col min="12037" max="12037" width="14.42578125" style="964" customWidth="1"/>
    <col min="12038" max="12038" width="3.7109375" style="964" customWidth="1"/>
    <col min="12039" max="12039" width="14.140625" style="964" customWidth="1"/>
    <col min="12040" max="12054" width="6.85546875" style="964" customWidth="1"/>
    <col min="12055" max="12291" width="9.140625" style="964"/>
    <col min="12292" max="12292" width="3.7109375" style="964" customWidth="1"/>
    <col min="12293" max="12293" width="14.42578125" style="964" customWidth="1"/>
    <col min="12294" max="12294" width="3.7109375" style="964" customWidth="1"/>
    <col min="12295" max="12295" width="14.140625" style="964" customWidth="1"/>
    <col min="12296" max="12310" width="6.85546875" style="964" customWidth="1"/>
    <col min="12311" max="12547" width="9.140625" style="964"/>
    <col min="12548" max="12548" width="3.7109375" style="964" customWidth="1"/>
    <col min="12549" max="12549" width="14.42578125" style="964" customWidth="1"/>
    <col min="12550" max="12550" width="3.7109375" style="964" customWidth="1"/>
    <col min="12551" max="12551" width="14.140625" style="964" customWidth="1"/>
    <col min="12552" max="12566" width="6.85546875" style="964" customWidth="1"/>
    <col min="12567" max="12803" width="9.140625" style="964"/>
    <col min="12804" max="12804" width="3.7109375" style="964" customWidth="1"/>
    <col min="12805" max="12805" width="14.42578125" style="964" customWidth="1"/>
    <col min="12806" max="12806" width="3.7109375" style="964" customWidth="1"/>
    <col min="12807" max="12807" width="14.140625" style="964" customWidth="1"/>
    <col min="12808" max="12822" width="6.85546875" style="964" customWidth="1"/>
    <col min="12823" max="13059" width="9.140625" style="964"/>
    <col min="13060" max="13060" width="3.7109375" style="964" customWidth="1"/>
    <col min="13061" max="13061" width="14.42578125" style="964" customWidth="1"/>
    <col min="13062" max="13062" width="3.7109375" style="964" customWidth="1"/>
    <col min="13063" max="13063" width="14.140625" style="964" customWidth="1"/>
    <col min="13064" max="13078" width="6.85546875" style="964" customWidth="1"/>
    <col min="13079" max="13315" width="9.140625" style="964"/>
    <col min="13316" max="13316" width="3.7109375" style="964" customWidth="1"/>
    <col min="13317" max="13317" width="14.42578125" style="964" customWidth="1"/>
    <col min="13318" max="13318" width="3.7109375" style="964" customWidth="1"/>
    <col min="13319" max="13319" width="14.140625" style="964" customWidth="1"/>
    <col min="13320" max="13334" width="6.85546875" style="964" customWidth="1"/>
    <col min="13335" max="13571" width="9.140625" style="964"/>
    <col min="13572" max="13572" width="3.7109375" style="964" customWidth="1"/>
    <col min="13573" max="13573" width="14.42578125" style="964" customWidth="1"/>
    <col min="13574" max="13574" width="3.7109375" style="964" customWidth="1"/>
    <col min="13575" max="13575" width="14.140625" style="964" customWidth="1"/>
    <col min="13576" max="13590" width="6.85546875" style="964" customWidth="1"/>
    <col min="13591" max="13827" width="9.140625" style="964"/>
    <col min="13828" max="13828" width="3.7109375" style="964" customWidth="1"/>
    <col min="13829" max="13829" width="14.42578125" style="964" customWidth="1"/>
    <col min="13830" max="13830" width="3.7109375" style="964" customWidth="1"/>
    <col min="13831" max="13831" width="14.140625" style="964" customWidth="1"/>
    <col min="13832" max="13846" width="6.85546875" style="964" customWidth="1"/>
    <col min="13847" max="14083" width="9.140625" style="964"/>
    <col min="14084" max="14084" width="3.7109375" style="964" customWidth="1"/>
    <col min="14085" max="14085" width="14.42578125" style="964" customWidth="1"/>
    <col min="14086" max="14086" width="3.7109375" style="964" customWidth="1"/>
    <col min="14087" max="14087" width="14.140625" style="964" customWidth="1"/>
    <col min="14088" max="14102" width="6.85546875" style="964" customWidth="1"/>
    <col min="14103" max="14339" width="9.140625" style="964"/>
    <col min="14340" max="14340" width="3.7109375" style="964" customWidth="1"/>
    <col min="14341" max="14341" width="14.42578125" style="964" customWidth="1"/>
    <col min="14342" max="14342" width="3.7109375" style="964" customWidth="1"/>
    <col min="14343" max="14343" width="14.140625" style="964" customWidth="1"/>
    <col min="14344" max="14358" width="6.85546875" style="964" customWidth="1"/>
    <col min="14359" max="14595" width="9.140625" style="964"/>
    <col min="14596" max="14596" width="3.7109375" style="964" customWidth="1"/>
    <col min="14597" max="14597" width="14.42578125" style="964" customWidth="1"/>
    <col min="14598" max="14598" width="3.7109375" style="964" customWidth="1"/>
    <col min="14599" max="14599" width="14.140625" style="964" customWidth="1"/>
    <col min="14600" max="14614" width="6.85546875" style="964" customWidth="1"/>
    <col min="14615" max="14851" width="9.140625" style="964"/>
    <col min="14852" max="14852" width="3.7109375" style="964" customWidth="1"/>
    <col min="14853" max="14853" width="14.42578125" style="964" customWidth="1"/>
    <col min="14854" max="14854" width="3.7109375" style="964" customWidth="1"/>
    <col min="14855" max="14855" width="14.140625" style="964" customWidth="1"/>
    <col min="14856" max="14870" width="6.85546875" style="964" customWidth="1"/>
    <col min="14871" max="15107" width="9.140625" style="964"/>
    <col min="15108" max="15108" width="3.7109375" style="964" customWidth="1"/>
    <col min="15109" max="15109" width="14.42578125" style="964" customWidth="1"/>
    <col min="15110" max="15110" width="3.7109375" style="964" customWidth="1"/>
    <col min="15111" max="15111" width="14.140625" style="964" customWidth="1"/>
    <col min="15112" max="15126" width="6.85546875" style="964" customWidth="1"/>
    <col min="15127" max="15363" width="9.140625" style="964"/>
    <col min="15364" max="15364" width="3.7109375" style="964" customWidth="1"/>
    <col min="15365" max="15365" width="14.42578125" style="964" customWidth="1"/>
    <col min="15366" max="15366" width="3.7109375" style="964" customWidth="1"/>
    <col min="15367" max="15367" width="14.140625" style="964" customWidth="1"/>
    <col min="15368" max="15382" width="6.85546875" style="964" customWidth="1"/>
    <col min="15383" max="15619" width="9.140625" style="964"/>
    <col min="15620" max="15620" width="3.7109375" style="964" customWidth="1"/>
    <col min="15621" max="15621" width="14.42578125" style="964" customWidth="1"/>
    <col min="15622" max="15622" width="3.7109375" style="964" customWidth="1"/>
    <col min="15623" max="15623" width="14.140625" style="964" customWidth="1"/>
    <col min="15624" max="15638" width="6.85546875" style="964" customWidth="1"/>
    <col min="15639" max="15875" width="9.140625" style="964"/>
    <col min="15876" max="15876" width="3.7109375" style="964" customWidth="1"/>
    <col min="15877" max="15877" width="14.42578125" style="964" customWidth="1"/>
    <col min="15878" max="15878" width="3.7109375" style="964" customWidth="1"/>
    <col min="15879" max="15879" width="14.140625" style="964" customWidth="1"/>
    <col min="15880" max="15894" width="6.85546875" style="964" customWidth="1"/>
    <col min="15895" max="16131" width="9.140625" style="964"/>
    <col min="16132" max="16132" width="3.7109375" style="964" customWidth="1"/>
    <col min="16133" max="16133" width="14.42578125" style="964" customWidth="1"/>
    <col min="16134" max="16134" width="3.7109375" style="964" customWidth="1"/>
    <col min="16135" max="16135" width="14.140625" style="964" customWidth="1"/>
    <col min="16136" max="16150" width="6.85546875" style="964" customWidth="1"/>
    <col min="16151" max="16384" width="9.140625" style="964"/>
  </cols>
  <sheetData>
    <row r="2" spans="1:27" ht="12" customHeight="1" x14ac:dyDescent="0.25">
      <c r="A2" s="835">
        <v>1</v>
      </c>
      <c r="B2" s="835" t="s">
        <v>1546</v>
      </c>
      <c r="C2" s="835">
        <f>1+'HIV Prevalance '!C2</f>
        <v>40</v>
      </c>
      <c r="D2" s="3626" t="s">
        <v>1547</v>
      </c>
      <c r="E2" s="3627"/>
      <c r="F2" s="3627"/>
      <c r="G2" s="3627"/>
      <c r="H2" s="3627"/>
      <c r="I2" s="3627"/>
      <c r="J2" s="3627"/>
      <c r="K2" s="3627"/>
      <c r="L2" s="3627"/>
      <c r="M2" s="3627"/>
      <c r="N2" s="3627"/>
      <c r="O2" s="3627"/>
      <c r="P2" s="3627"/>
      <c r="Q2" s="3627"/>
      <c r="R2" s="3627"/>
      <c r="S2" s="3627"/>
      <c r="T2" s="3627"/>
      <c r="U2" s="3627"/>
      <c r="V2" s="3628"/>
      <c r="W2" s="1351"/>
    </row>
    <row r="3" spans="1:27" ht="13.9" customHeight="1" x14ac:dyDescent="0.25">
      <c r="A3" s="835">
        <v>2</v>
      </c>
      <c r="B3" s="835" t="s">
        <v>1548</v>
      </c>
      <c r="C3" s="835"/>
      <c r="D3" s="3632" t="s">
        <v>1455</v>
      </c>
      <c r="E3" s="3633"/>
      <c r="F3" s="3633"/>
      <c r="G3" s="3633"/>
      <c r="H3" s="3633"/>
      <c r="I3" s="3633"/>
      <c r="J3" s="3633"/>
      <c r="K3" s="3633"/>
      <c r="L3" s="3633"/>
      <c r="M3" s="3633"/>
      <c r="N3" s="3633"/>
      <c r="O3" s="3633"/>
      <c r="P3" s="3633"/>
      <c r="Q3" s="3633"/>
      <c r="R3" s="3633"/>
      <c r="S3" s="3633"/>
      <c r="T3" s="3633"/>
      <c r="U3" s="3633"/>
      <c r="V3" s="3634"/>
      <c r="W3" s="1351"/>
    </row>
    <row r="4" spans="1:27" ht="14.25" customHeight="1" x14ac:dyDescent="0.25">
      <c r="A4" s="835">
        <v>3</v>
      </c>
      <c r="B4" s="835" t="s">
        <v>28</v>
      </c>
      <c r="C4" s="835"/>
      <c r="D4" s="3801" t="s">
        <v>1888</v>
      </c>
      <c r="E4" s="3802"/>
      <c r="F4" s="3802"/>
      <c r="G4" s="3802"/>
      <c r="H4" s="3802"/>
      <c r="I4" s="3802"/>
      <c r="J4" s="3802"/>
      <c r="K4" s="3802"/>
      <c r="L4" s="3802"/>
      <c r="M4" s="3802"/>
      <c r="N4" s="3802"/>
      <c r="O4" s="3802"/>
      <c r="P4" s="3802"/>
      <c r="Q4" s="3802"/>
      <c r="R4" s="3802"/>
      <c r="S4" s="3802"/>
      <c r="T4" s="3802"/>
      <c r="U4" s="3802"/>
      <c r="V4" s="3803"/>
      <c r="W4" s="1351"/>
      <c r="X4" s="1484"/>
      <c r="Y4" s="1484"/>
      <c r="Z4" s="1484"/>
      <c r="AA4" s="1485"/>
    </row>
    <row r="5" spans="1:27" ht="14.25" customHeight="1" x14ac:dyDescent="0.25">
      <c r="A5" s="835"/>
      <c r="B5" s="835"/>
      <c r="C5" s="835"/>
      <c r="D5" s="3632" t="s">
        <v>1549</v>
      </c>
      <c r="E5" s="3633"/>
      <c r="F5" s="3633"/>
      <c r="G5" s="3633"/>
      <c r="H5" s="3633"/>
      <c r="I5" s="3633"/>
      <c r="J5" s="3633"/>
      <c r="K5" s="3633"/>
      <c r="L5" s="3633"/>
      <c r="M5" s="3633"/>
      <c r="N5" s="3633"/>
      <c r="O5" s="3633"/>
      <c r="P5" s="3633"/>
      <c r="Q5" s="3633"/>
      <c r="R5" s="3633"/>
      <c r="S5" s="3633"/>
      <c r="T5" s="3633"/>
      <c r="U5" s="3633"/>
      <c r="V5" s="3634"/>
      <c r="W5" s="1351"/>
    </row>
    <row r="6" spans="1:27" x14ac:dyDescent="0.25">
      <c r="A6" s="835">
        <v>4</v>
      </c>
      <c r="B6" s="418" t="s">
        <v>1</v>
      </c>
      <c r="C6" s="418"/>
      <c r="W6" s="1351"/>
    </row>
    <row r="7" spans="1:27" s="401" customFormat="1" ht="11.25" x14ac:dyDescent="0.2">
      <c r="A7" s="1224"/>
      <c r="B7" s="1222"/>
      <c r="C7" s="1222"/>
      <c r="D7" s="424" t="s">
        <v>31</v>
      </c>
      <c r="E7" s="424" t="s">
        <v>1550</v>
      </c>
      <c r="F7" s="424"/>
      <c r="G7" s="424"/>
      <c r="H7" s="424"/>
      <c r="I7" s="424"/>
      <c r="J7" s="424"/>
      <c r="K7" s="424"/>
      <c r="L7" s="424"/>
      <c r="M7" s="432"/>
      <c r="N7" s="432"/>
      <c r="O7" s="432"/>
      <c r="P7" s="432"/>
      <c r="Q7" s="432"/>
      <c r="R7" s="432"/>
      <c r="S7" s="432"/>
      <c r="T7" s="432"/>
      <c r="U7" s="432"/>
      <c r="V7" s="432"/>
    </row>
    <row r="8" spans="1:27" s="401" customFormat="1" ht="12.75" x14ac:dyDescent="0.25">
      <c r="A8" s="1224"/>
      <c r="B8" s="1222"/>
      <c r="C8" s="1222"/>
      <c r="D8" s="2995"/>
      <c r="E8" s="800">
        <v>2004</v>
      </c>
      <c r="F8" s="800">
        <v>2005</v>
      </c>
      <c r="G8" s="800">
        <v>2006</v>
      </c>
      <c r="H8" s="800">
        <v>2007</v>
      </c>
      <c r="I8" s="1347">
        <v>2008</v>
      </c>
      <c r="J8" s="1347">
        <v>2009</v>
      </c>
      <c r="K8" s="1347">
        <v>2010</v>
      </c>
      <c r="L8" s="1347">
        <v>2011</v>
      </c>
      <c r="M8" s="1347">
        <v>2012</v>
      </c>
      <c r="N8" s="1347">
        <v>2013</v>
      </c>
      <c r="O8" s="1347">
        <v>2014</v>
      </c>
      <c r="P8" s="1347">
        <v>2015</v>
      </c>
      <c r="Q8" s="3485">
        <v>2016</v>
      </c>
      <c r="S8" s="1348"/>
      <c r="T8" s="1348"/>
      <c r="U8" s="1348"/>
      <c r="V8" s="1348"/>
      <c r="W8" s="1348"/>
    </row>
    <row r="9" spans="1:27" s="1319" customFormat="1" ht="24.75" customHeight="1" x14ac:dyDescent="0.25">
      <c r="A9" s="1349"/>
      <c r="B9" s="1350"/>
      <c r="C9" s="1350"/>
      <c r="D9" s="3490" t="s">
        <v>1551</v>
      </c>
      <c r="E9" s="895"/>
      <c r="F9" s="895"/>
      <c r="G9" s="895"/>
      <c r="H9" s="895"/>
      <c r="I9" s="1351"/>
      <c r="J9" s="1351"/>
      <c r="K9" s="1351"/>
      <c r="L9" s="1351">
        <v>471790</v>
      </c>
      <c r="M9" s="1351">
        <v>602211</v>
      </c>
      <c r="N9" s="1351">
        <v>611744</v>
      </c>
      <c r="O9" s="1351">
        <v>609972</v>
      </c>
      <c r="P9" s="1351">
        <v>732044</v>
      </c>
      <c r="Q9" s="3486"/>
      <c r="S9" s="1351"/>
      <c r="T9" s="1351"/>
      <c r="U9" s="1351"/>
      <c r="V9" s="1351"/>
      <c r="W9" s="1351"/>
    </row>
    <row r="10" spans="1:27" s="401" customFormat="1" ht="12.75" x14ac:dyDescent="0.25">
      <c r="A10" s="1224"/>
      <c r="B10" s="1222"/>
      <c r="C10" s="1222"/>
      <c r="D10" s="2948" t="s">
        <v>1552</v>
      </c>
      <c r="E10" s="420"/>
      <c r="F10" s="420"/>
      <c r="G10" s="420"/>
      <c r="H10" s="420"/>
      <c r="I10" s="1352"/>
      <c r="J10" s="1352"/>
      <c r="K10" s="1352"/>
      <c r="L10" s="1351">
        <v>36863</v>
      </c>
      <c r="M10" s="1351">
        <v>29827</v>
      </c>
      <c r="N10" s="1351">
        <v>26226</v>
      </c>
      <c r="O10" s="1351">
        <v>22502</v>
      </c>
      <c r="P10" s="1351">
        <v>25080</v>
      </c>
      <c r="Q10" s="3486"/>
      <c r="S10" s="1352"/>
      <c r="T10" s="1352"/>
      <c r="U10" s="1352"/>
      <c r="V10" s="1352"/>
      <c r="W10" s="1352"/>
    </row>
    <row r="11" spans="1:27" ht="23.25" x14ac:dyDescent="0.25">
      <c r="D11" s="3491" t="s">
        <v>1553</v>
      </c>
      <c r="E11" s="1353"/>
      <c r="F11" s="1354">
        <v>113375</v>
      </c>
      <c r="G11" s="1354">
        <v>173705</v>
      </c>
      <c r="H11" s="1354">
        <v>318447</v>
      </c>
      <c r="I11" s="1354">
        <v>532693</v>
      </c>
      <c r="J11" s="1354">
        <v>695293</v>
      </c>
      <c r="K11" s="1354">
        <v>1204269</v>
      </c>
      <c r="L11" s="1354">
        <v>1308602</v>
      </c>
      <c r="M11" s="1354">
        <v>2029233</v>
      </c>
      <c r="N11" s="1354">
        <v>2469236</v>
      </c>
      <c r="O11" s="1354">
        <v>2761519</v>
      </c>
      <c r="P11" s="1354">
        <v>3182343</v>
      </c>
      <c r="Q11" s="3487">
        <v>3499630</v>
      </c>
      <c r="S11" s="1354"/>
      <c r="T11" s="1355"/>
      <c r="U11" s="1355"/>
      <c r="V11" s="1355"/>
      <c r="W11" s="1355"/>
    </row>
    <row r="12" spans="1:27" ht="23.25" x14ac:dyDescent="0.25">
      <c r="D12" s="3491" t="s">
        <v>1554</v>
      </c>
      <c r="E12" s="1359"/>
      <c r="F12" s="3484">
        <v>11959</v>
      </c>
      <c r="G12" s="3484">
        <v>22369</v>
      </c>
      <c r="H12" s="3484">
        <v>37694</v>
      </c>
      <c r="I12" s="3484">
        <v>59523</v>
      </c>
      <c r="J12" s="3484">
        <v>85630</v>
      </c>
      <c r="K12" s="3484">
        <v>113759</v>
      </c>
      <c r="L12" s="3484">
        <v>98188</v>
      </c>
      <c r="M12" s="3484">
        <v>142023</v>
      </c>
      <c r="N12" s="3484">
        <v>156816</v>
      </c>
      <c r="O12" s="3484">
        <v>159707</v>
      </c>
      <c r="P12" s="3484">
        <v>165816</v>
      </c>
      <c r="Q12" s="3488">
        <v>169711</v>
      </c>
      <c r="S12" s="1354"/>
      <c r="T12" s="1355"/>
      <c r="U12" s="1355"/>
      <c r="V12" s="1355"/>
      <c r="W12" s="1355"/>
    </row>
    <row r="13" spans="1:27" ht="21.75" customHeight="1" x14ac:dyDescent="0.25">
      <c r="D13" s="3492" t="s">
        <v>1889</v>
      </c>
      <c r="E13" s="1357"/>
      <c r="F13" s="1358">
        <f>SUM(F11:F12)</f>
        <v>125334</v>
      </c>
      <c r="G13" s="1358">
        <f t="shared" ref="G13:Q13" si="0">SUM(G11:G12)</f>
        <v>196074</v>
      </c>
      <c r="H13" s="1358">
        <f t="shared" si="0"/>
        <v>356141</v>
      </c>
      <c r="I13" s="1358">
        <f t="shared" si="0"/>
        <v>592216</v>
      </c>
      <c r="J13" s="1358">
        <f t="shared" si="0"/>
        <v>780923</v>
      </c>
      <c r="K13" s="1358">
        <f t="shared" si="0"/>
        <v>1318028</v>
      </c>
      <c r="L13" s="1358">
        <f t="shared" si="0"/>
        <v>1406790</v>
      </c>
      <c r="M13" s="1358">
        <f t="shared" si="0"/>
        <v>2171256</v>
      </c>
      <c r="N13" s="1358">
        <f t="shared" si="0"/>
        <v>2626052</v>
      </c>
      <c r="O13" s="1358">
        <f t="shared" si="0"/>
        <v>2921226</v>
      </c>
      <c r="P13" s="1358">
        <f t="shared" si="0"/>
        <v>3348159</v>
      </c>
      <c r="Q13" s="3489">
        <f t="shared" si="0"/>
        <v>3669341</v>
      </c>
      <c r="S13" s="1242"/>
      <c r="T13" s="1359"/>
      <c r="U13" s="1359"/>
      <c r="V13" s="1359"/>
      <c r="W13" s="1359"/>
    </row>
    <row r="14" spans="1:27" ht="14.25" x14ac:dyDescent="0.2">
      <c r="A14" s="835"/>
      <c r="B14" s="835"/>
      <c r="C14" s="835"/>
      <c r="E14" s="1360"/>
    </row>
    <row r="15" spans="1:27" x14ac:dyDescent="0.2">
      <c r="A15" s="965">
        <v>5</v>
      </c>
      <c r="B15" s="1277" t="s">
        <v>77</v>
      </c>
    </row>
    <row r="18" spans="1:25" x14ac:dyDescent="0.2">
      <c r="B18" s="1361"/>
      <c r="C18" s="1361"/>
    </row>
    <row r="21" spans="1:25" x14ac:dyDescent="0.2">
      <c r="Y21" s="1362"/>
    </row>
    <row r="24" spans="1:25" x14ac:dyDescent="0.2">
      <c r="Y24" s="1363"/>
    </row>
    <row r="26" spans="1:25" x14ac:dyDescent="0.2">
      <c r="X26" s="1364"/>
    </row>
    <row r="28" spans="1:25" ht="65.25" customHeight="1" x14ac:dyDescent="0.2"/>
    <row r="30" spans="1:25" x14ac:dyDescent="0.2">
      <c r="A30" s="965">
        <v>6</v>
      </c>
      <c r="B30" s="835" t="s">
        <v>78</v>
      </c>
      <c r="D30" s="3615" t="s">
        <v>1555</v>
      </c>
      <c r="E30" s="3616"/>
      <c r="F30" s="3616"/>
      <c r="G30" s="3616"/>
      <c r="H30" s="3616"/>
      <c r="I30" s="3616"/>
      <c r="J30" s="3616"/>
      <c r="K30" s="3616"/>
      <c r="L30" s="3616"/>
      <c r="M30" s="3616"/>
      <c r="N30" s="3616"/>
      <c r="O30" s="3616"/>
      <c r="P30" s="3616"/>
      <c r="Q30" s="3616"/>
      <c r="R30" s="3616"/>
      <c r="S30" s="3616"/>
      <c r="T30" s="3616"/>
      <c r="U30" s="3616"/>
      <c r="V30" s="3617"/>
    </row>
    <row r="31" spans="1:25" ht="41.25" customHeight="1" x14ac:dyDescent="0.2">
      <c r="A31" s="835">
        <v>7</v>
      </c>
      <c r="B31" s="835" t="s">
        <v>83</v>
      </c>
      <c r="C31" s="835"/>
      <c r="D31" s="3807" t="s">
        <v>1556</v>
      </c>
      <c r="E31" s="3808"/>
      <c r="F31" s="3808"/>
      <c r="G31" s="3808"/>
      <c r="H31" s="3808"/>
      <c r="I31" s="3808"/>
      <c r="J31" s="3808"/>
      <c r="K31" s="3808"/>
      <c r="L31" s="3808"/>
      <c r="M31" s="3808"/>
      <c r="N31" s="3808"/>
      <c r="O31" s="3808"/>
      <c r="P31" s="3808"/>
      <c r="Q31" s="3808"/>
      <c r="R31" s="3808"/>
      <c r="S31" s="3808"/>
      <c r="T31" s="3808"/>
      <c r="U31" s="3808"/>
      <c r="V31" s="3809"/>
    </row>
    <row r="32" spans="1:25" ht="14.25" customHeight="1" x14ac:dyDescent="0.2">
      <c r="A32" s="963">
        <v>8</v>
      </c>
      <c r="B32" s="963" t="s">
        <v>20</v>
      </c>
      <c r="C32" s="963"/>
      <c r="D32" s="3807" t="s">
        <v>1557</v>
      </c>
      <c r="E32" s="3808"/>
      <c r="F32" s="3808"/>
      <c r="G32" s="3808"/>
      <c r="H32" s="3808"/>
      <c r="I32" s="3808"/>
      <c r="J32" s="3808"/>
      <c r="K32" s="3808"/>
      <c r="L32" s="3808"/>
      <c r="M32" s="3808"/>
      <c r="N32" s="3808"/>
      <c r="O32" s="3808"/>
      <c r="P32" s="3808"/>
      <c r="Q32" s="3808"/>
      <c r="R32" s="3808"/>
      <c r="S32" s="3808"/>
      <c r="T32" s="3808"/>
      <c r="U32" s="3808"/>
      <c r="V32" s="3809"/>
    </row>
    <row r="33" spans="1:32" ht="27.75" customHeight="1" x14ac:dyDescent="0.2">
      <c r="A33" s="963">
        <v>9</v>
      </c>
      <c r="B33" s="835" t="s">
        <v>157</v>
      </c>
      <c r="C33" s="835"/>
      <c r="D33" s="3615" t="s">
        <v>1558</v>
      </c>
      <c r="E33" s="3616"/>
      <c r="F33" s="3616"/>
      <c r="G33" s="3616"/>
      <c r="H33" s="3616"/>
      <c r="I33" s="3616"/>
      <c r="J33" s="3616"/>
      <c r="K33" s="3616"/>
      <c r="L33" s="3616"/>
      <c r="M33" s="3616"/>
      <c r="N33" s="3616"/>
      <c r="O33" s="3616"/>
      <c r="P33" s="3616"/>
      <c r="Q33" s="3616"/>
      <c r="R33" s="3616"/>
      <c r="S33" s="3616"/>
      <c r="T33" s="3616"/>
      <c r="U33" s="3616"/>
      <c r="V33" s="3617"/>
    </row>
    <row r="34" spans="1:32" ht="14.25" x14ac:dyDescent="0.2">
      <c r="A34" s="964"/>
    </row>
    <row r="35" spans="1:32" s="984" customFormat="1" ht="14.25" x14ac:dyDescent="0.2">
      <c r="B35" s="1365"/>
      <c r="C35" s="1365"/>
    </row>
    <row r="36" spans="1:32" s="984" customFormat="1" x14ac:dyDescent="0.2">
      <c r="A36" s="970"/>
      <c r="B36" s="1365"/>
      <c r="C36" s="1365"/>
    </row>
    <row r="37" spans="1:32" s="984" customFormat="1" x14ac:dyDescent="0.2">
      <c r="A37" s="970"/>
      <c r="B37" s="1365"/>
      <c r="C37" s="1365"/>
    </row>
    <row r="38" spans="1:32" s="984" customFormat="1" ht="14.25" x14ac:dyDescent="0.2">
      <c r="B38" s="1366"/>
      <c r="C38" s="1368"/>
      <c r="D38" s="1368"/>
      <c r="E38" s="1368"/>
      <c r="F38" s="1368"/>
      <c r="G38" s="1368"/>
      <c r="H38" s="1368"/>
      <c r="I38" s="1368"/>
      <c r="J38" s="1368"/>
      <c r="K38" s="1368"/>
      <c r="L38" s="1368"/>
      <c r="M38" s="1368"/>
      <c r="N38" s="1368"/>
      <c r="O38" s="1368"/>
      <c r="P38" s="1368"/>
      <c r="Q38" s="1368"/>
      <c r="R38" s="1368"/>
      <c r="S38" s="1368"/>
      <c r="T38" s="1368"/>
      <c r="U38" s="1368"/>
      <c r="V38" s="1368"/>
      <c r="W38" s="1368"/>
      <c r="X38" s="1368"/>
      <c r="Y38" s="1368"/>
      <c r="Z38" s="1368"/>
      <c r="AA38" s="1368"/>
      <c r="AB38" s="1368"/>
      <c r="AC38" s="1368"/>
      <c r="AD38" s="1368"/>
      <c r="AE38" s="1368"/>
      <c r="AF38" s="1368"/>
    </row>
    <row r="39" spans="1:32" s="984" customFormat="1" ht="14.25" x14ac:dyDescent="0.2">
      <c r="B39" s="1368"/>
      <c r="C39" s="1368"/>
      <c r="D39" s="1368"/>
      <c r="E39" s="1368"/>
      <c r="F39" s="1368"/>
      <c r="G39" s="1368"/>
      <c r="H39" s="1368"/>
      <c r="I39" s="1368"/>
      <c r="J39" s="1368"/>
      <c r="K39" s="1368"/>
      <c r="L39" s="1368"/>
      <c r="M39" s="1368"/>
      <c r="N39" s="1368"/>
      <c r="O39" s="1368"/>
      <c r="P39" s="1368"/>
      <c r="Q39" s="1368"/>
      <c r="R39" s="1368"/>
      <c r="S39" s="1368"/>
      <c r="T39" s="1368"/>
      <c r="U39" s="1368"/>
      <c r="V39" s="1368"/>
      <c r="W39" s="1368"/>
      <c r="X39" s="1368"/>
      <c r="Y39" s="1368"/>
      <c r="Z39" s="1368"/>
      <c r="AA39" s="1368"/>
      <c r="AB39" s="1368"/>
      <c r="AC39" s="1368"/>
      <c r="AD39" s="1368"/>
      <c r="AE39" s="1368"/>
      <c r="AF39" s="1368"/>
    </row>
    <row r="40" spans="1:32" s="984" customFormat="1" ht="14.25" x14ac:dyDescent="0.2">
      <c r="B40" s="2236"/>
      <c r="C40" s="3815"/>
      <c r="D40" s="3815"/>
      <c r="E40" s="3815"/>
      <c r="F40" s="3815"/>
      <c r="G40" s="3815"/>
      <c r="H40" s="3815"/>
      <c r="I40" s="3815"/>
      <c r="J40" s="3815"/>
      <c r="K40" s="3815"/>
      <c r="L40" s="3815"/>
      <c r="M40" s="3815"/>
      <c r="N40" s="3815"/>
      <c r="O40" s="3815"/>
      <c r="P40" s="3815"/>
      <c r="Q40" s="3815"/>
      <c r="R40" s="3815"/>
      <c r="S40" s="3815"/>
      <c r="T40" s="3815"/>
      <c r="U40" s="3815"/>
      <c r="V40" s="3815"/>
      <c r="W40" s="3815"/>
      <c r="X40" s="3815"/>
      <c r="Y40" s="3815"/>
      <c r="Z40" s="3815"/>
      <c r="AA40" s="3815"/>
      <c r="AB40" s="3815"/>
      <c r="AC40" s="2237"/>
      <c r="AD40" s="2237"/>
      <c r="AE40" s="2237"/>
    </row>
    <row r="41" spans="1:32" s="984" customFormat="1" ht="14.25" x14ac:dyDescent="0.2">
      <c r="B41" s="2237"/>
      <c r="C41" s="2238"/>
      <c r="D41" s="2238"/>
      <c r="E41" s="2238"/>
      <c r="F41" s="2238"/>
      <c r="G41" s="2238"/>
      <c r="H41" s="2238"/>
      <c r="I41" s="2238"/>
      <c r="J41" s="2238"/>
      <c r="K41" s="2238"/>
      <c r="L41" s="2238"/>
      <c r="M41" s="2238"/>
      <c r="N41" s="2238"/>
      <c r="O41" s="2238"/>
      <c r="P41" s="2238"/>
      <c r="Q41" s="2238"/>
      <c r="R41" s="2238"/>
      <c r="S41" s="2238"/>
      <c r="T41" s="2238"/>
      <c r="U41" s="2239"/>
      <c r="V41" s="2238"/>
      <c r="W41" s="2238"/>
      <c r="X41" s="2238"/>
      <c r="Y41" s="2238"/>
      <c r="Z41" s="2238"/>
      <c r="AA41" s="2238"/>
      <c r="AB41" s="2238"/>
      <c r="AC41" s="2237"/>
      <c r="AD41" s="2237"/>
      <c r="AE41" s="1645"/>
    </row>
    <row r="42" spans="1:32" s="984" customFormat="1" ht="14.25" x14ac:dyDescent="0.2">
      <c r="B42" s="2237"/>
      <c r="C42" s="1368"/>
      <c r="D42" s="1368"/>
      <c r="E42" s="1368"/>
      <c r="F42" s="1368"/>
      <c r="G42" s="1368"/>
      <c r="H42" s="1368"/>
      <c r="I42" s="1368"/>
      <c r="J42" s="1368"/>
      <c r="K42" s="1368"/>
      <c r="L42" s="1368"/>
      <c r="M42" s="1368"/>
      <c r="N42" s="1368"/>
      <c r="O42" s="2034"/>
      <c r="P42" s="2034"/>
      <c r="Q42" s="2034"/>
      <c r="R42" s="2034"/>
      <c r="S42" s="1368"/>
      <c r="T42" s="1368"/>
      <c r="U42" s="1368"/>
      <c r="V42" s="1368"/>
      <c r="W42" s="1368"/>
      <c r="X42" s="1368"/>
      <c r="Y42" s="1368"/>
      <c r="Z42" s="1368"/>
      <c r="AA42" s="1368"/>
      <c r="AB42" s="1368"/>
      <c r="AC42" s="1368"/>
      <c r="AD42" s="1368"/>
      <c r="AE42" s="1368"/>
    </row>
    <row r="43" spans="1:32" s="984" customFormat="1" ht="14.25" x14ac:dyDescent="0.2">
      <c r="B43" s="2237"/>
      <c r="C43" s="1368"/>
      <c r="D43" s="1368"/>
      <c r="E43" s="1368"/>
      <c r="F43" s="1368"/>
      <c r="G43" s="1368"/>
      <c r="H43" s="1368"/>
      <c r="I43" s="1368"/>
      <c r="J43" s="1368"/>
      <c r="K43" s="1368"/>
      <c r="L43" s="1368"/>
      <c r="M43" s="1368"/>
      <c r="N43" s="1368"/>
      <c r="O43" s="2034"/>
      <c r="P43" s="2034"/>
      <c r="Q43" s="2034"/>
      <c r="R43" s="2034"/>
      <c r="S43" s="1368"/>
      <c r="T43" s="1368"/>
      <c r="U43" s="1368"/>
      <c r="V43" s="1368"/>
      <c r="W43" s="1368"/>
      <c r="X43" s="1368"/>
      <c r="Y43" s="1368"/>
      <c r="Z43" s="1368"/>
      <c r="AA43" s="1366"/>
      <c r="AB43" s="1368"/>
      <c r="AC43" s="1368"/>
      <c r="AD43" s="1368"/>
      <c r="AE43" s="1368"/>
    </row>
    <row r="44" spans="1:32" s="984" customFormat="1" ht="14.25" x14ac:dyDescent="0.2">
      <c r="B44" s="2237"/>
      <c r="C44" s="1368"/>
      <c r="D44" s="1368"/>
      <c r="E44" s="1368"/>
      <c r="F44" s="1368"/>
      <c r="G44" s="1368"/>
      <c r="H44" s="1368"/>
      <c r="I44" s="1368"/>
      <c r="J44" s="1368"/>
      <c r="K44" s="1368"/>
      <c r="L44" s="1368"/>
      <c r="M44" s="1368"/>
      <c r="N44" s="1368"/>
      <c r="O44" s="2034"/>
      <c r="P44" s="2034"/>
      <c r="Q44" s="2034"/>
      <c r="R44" s="2034"/>
      <c r="S44" s="1368"/>
      <c r="T44" s="1368"/>
      <c r="U44" s="1368"/>
      <c r="V44" s="1368"/>
      <c r="W44" s="1368"/>
      <c r="X44" s="1368"/>
      <c r="Y44" s="1368"/>
      <c r="Z44" s="1368"/>
      <c r="AA44" s="1366"/>
      <c r="AB44" s="1368"/>
      <c r="AC44" s="1368"/>
      <c r="AD44" s="1368"/>
      <c r="AE44" s="1368"/>
    </row>
    <row r="45" spans="1:32" s="984" customFormat="1" ht="14.25" x14ac:dyDescent="0.2">
      <c r="B45" s="2237"/>
      <c r="C45" s="1368"/>
      <c r="D45" s="1368"/>
      <c r="E45" s="1368"/>
      <c r="F45" s="1368"/>
      <c r="G45" s="1368"/>
      <c r="H45" s="1368"/>
      <c r="I45" s="1368"/>
      <c r="J45" s="1368"/>
      <c r="K45" s="1368"/>
      <c r="L45" s="1368"/>
      <c r="M45" s="1368"/>
      <c r="N45" s="1368"/>
      <c r="O45" s="2034"/>
      <c r="P45" s="2034"/>
      <c r="Q45" s="2034"/>
      <c r="R45" s="2034"/>
      <c r="S45" s="1368"/>
      <c r="T45" s="1368"/>
      <c r="U45" s="1368"/>
      <c r="V45" s="2034"/>
      <c r="W45" s="1368"/>
      <c r="X45" s="1368"/>
      <c r="Y45" s="1368"/>
      <c r="Z45" s="1368"/>
      <c r="AA45" s="1366"/>
      <c r="AB45" s="1368"/>
      <c r="AC45" s="1368"/>
      <c r="AD45" s="1368"/>
      <c r="AE45" s="1368"/>
    </row>
    <row r="46" spans="1:32" s="984" customFormat="1" ht="14.25" x14ac:dyDescent="0.2">
      <c r="B46" s="2237"/>
      <c r="C46" s="1368"/>
      <c r="D46" s="1368"/>
      <c r="E46" s="1368"/>
      <c r="F46" s="1368"/>
      <c r="G46" s="1368"/>
      <c r="H46" s="1368"/>
      <c r="I46" s="1368"/>
      <c r="J46" s="1368"/>
      <c r="K46" s="1368"/>
      <c r="L46" s="1368"/>
      <c r="M46" s="1368"/>
      <c r="N46" s="1368"/>
      <c r="O46" s="1652"/>
      <c r="P46" s="1652"/>
      <c r="Q46" s="1652"/>
      <c r="R46" s="1368"/>
      <c r="S46" s="1652"/>
      <c r="T46" s="1368"/>
      <c r="U46" s="1368"/>
      <c r="V46" s="1368"/>
      <c r="W46" s="1652"/>
      <c r="X46" s="1368"/>
      <c r="Y46" s="1652"/>
      <c r="Z46" s="1368"/>
      <c r="AA46" s="1652"/>
      <c r="AB46" s="1368"/>
      <c r="AC46" s="1368"/>
      <c r="AD46" s="1368"/>
      <c r="AE46" s="1368"/>
    </row>
    <row r="47" spans="1:32" s="984" customFormat="1" ht="14.25" x14ac:dyDescent="0.2">
      <c r="B47" s="2237"/>
      <c r="C47" s="1368"/>
      <c r="D47" s="1368"/>
      <c r="E47" s="1368"/>
      <c r="F47" s="1368"/>
      <c r="G47" s="1368"/>
      <c r="H47" s="1368"/>
      <c r="I47" s="1368"/>
      <c r="J47" s="1368"/>
      <c r="K47" s="1368"/>
      <c r="L47" s="1368"/>
      <c r="M47" s="1368"/>
      <c r="N47" s="1368"/>
      <c r="O47" s="1368"/>
      <c r="P47" s="1368"/>
      <c r="Q47" s="1368"/>
      <c r="R47" s="1368"/>
      <c r="S47" s="1368"/>
      <c r="T47" s="1368"/>
      <c r="U47" s="1368"/>
      <c r="V47" s="1368"/>
      <c r="W47" s="1368"/>
      <c r="X47" s="1368"/>
      <c r="Y47" s="1368"/>
      <c r="Z47" s="1368"/>
      <c r="AA47" s="1368"/>
      <c r="AB47" s="1368"/>
      <c r="AC47" s="1368"/>
      <c r="AD47" s="1368"/>
      <c r="AE47" s="1368"/>
    </row>
    <row r="48" spans="1:32" s="984" customFormat="1" x14ac:dyDescent="0.2">
      <c r="B48" s="2237"/>
      <c r="C48" s="1368"/>
      <c r="D48" s="1368"/>
      <c r="E48" s="1368"/>
      <c r="F48" s="1368"/>
      <c r="G48" s="1368"/>
      <c r="H48" s="1368"/>
      <c r="I48" s="1368"/>
      <c r="J48" s="1368"/>
      <c r="K48" s="1368"/>
      <c r="L48" s="1368"/>
      <c r="M48" s="1368"/>
      <c r="N48" s="1368"/>
      <c r="O48" s="1368"/>
      <c r="P48" s="1368"/>
      <c r="Q48" s="1368"/>
      <c r="R48" s="1368"/>
      <c r="S48" s="1368"/>
      <c r="T48" s="1368"/>
      <c r="U48" s="1368"/>
      <c r="V48" s="1368"/>
      <c r="W48" s="1368"/>
      <c r="X48" s="1368"/>
      <c r="Y48" s="1368"/>
      <c r="Z48" s="1368"/>
      <c r="AA48" s="1368"/>
      <c r="AB48" s="1368"/>
      <c r="AC48" s="2240"/>
      <c r="AD48" s="1368"/>
      <c r="AE48" s="1368"/>
    </row>
    <row r="49" spans="2:32" s="984" customFormat="1" ht="14.25" x14ac:dyDescent="0.2">
      <c r="B49" s="2237"/>
      <c r="C49" s="1368"/>
      <c r="D49" s="1368"/>
      <c r="E49" s="1368"/>
      <c r="F49" s="1368"/>
      <c r="G49" s="1368"/>
      <c r="H49" s="1368"/>
      <c r="I49" s="1368"/>
      <c r="J49" s="1368"/>
      <c r="K49" s="1368"/>
      <c r="L49" s="1368"/>
      <c r="M49" s="1368"/>
      <c r="N49" s="1368"/>
      <c r="O49" s="1368"/>
      <c r="P49" s="1368"/>
      <c r="Q49" s="1368"/>
      <c r="R49" s="1368"/>
      <c r="S49" s="1368"/>
      <c r="T49" s="1368"/>
      <c r="U49" s="1368"/>
      <c r="V49" s="1368"/>
      <c r="W49" s="1368"/>
      <c r="X49" s="1368"/>
      <c r="Y49" s="1368"/>
      <c r="Z49" s="1368"/>
      <c r="AA49" s="1368"/>
      <c r="AB49" s="1368"/>
      <c r="AC49" s="1368"/>
      <c r="AD49" s="1368"/>
      <c r="AE49" s="1368"/>
    </row>
    <row r="50" spans="2:32" s="984" customFormat="1" ht="14.25" x14ac:dyDescent="0.2">
      <c r="B50" s="2237"/>
      <c r="C50" s="1368"/>
      <c r="D50" s="1368"/>
      <c r="E50" s="1368"/>
      <c r="F50" s="1368"/>
      <c r="G50" s="1368"/>
      <c r="H50" s="1368"/>
      <c r="I50" s="1368"/>
      <c r="J50" s="1368"/>
      <c r="K50" s="1368"/>
      <c r="L50" s="1368"/>
      <c r="M50" s="1368"/>
      <c r="N50" s="1368"/>
      <c r="O50" s="1368"/>
      <c r="P50" s="1368"/>
      <c r="Q50" s="1368"/>
      <c r="R50" s="1368"/>
      <c r="S50" s="2034"/>
      <c r="T50" s="2034"/>
      <c r="U50" s="2034"/>
      <c r="V50" s="2034"/>
      <c r="W50" s="1368"/>
      <c r="X50" s="1368"/>
      <c r="Y50" s="1368"/>
      <c r="Z50" s="1368"/>
      <c r="AA50" s="1368"/>
      <c r="AB50" s="1368"/>
      <c r="AC50" s="1368"/>
      <c r="AD50" s="1368"/>
      <c r="AE50" s="1368"/>
    </row>
    <row r="51" spans="2:32" s="984" customFormat="1" ht="14.25" x14ac:dyDescent="0.2">
      <c r="B51" s="1368"/>
      <c r="C51" s="1368"/>
      <c r="D51" s="1368"/>
      <c r="E51" s="1368"/>
      <c r="F51" s="1368"/>
      <c r="G51" s="1368"/>
      <c r="H51" s="1368"/>
      <c r="I51" s="1368"/>
      <c r="J51" s="1368"/>
      <c r="K51" s="1368"/>
      <c r="L51" s="1368"/>
      <c r="M51" s="1368"/>
      <c r="N51" s="1368"/>
      <c r="O51" s="1368"/>
      <c r="P51" s="1368"/>
      <c r="Q51" s="1368"/>
      <c r="R51" s="1368"/>
      <c r="S51" s="1368"/>
      <c r="T51" s="1368"/>
      <c r="U51" s="1368"/>
      <c r="V51" s="1368"/>
      <c r="W51" s="1368"/>
      <c r="X51" s="1368"/>
      <c r="Y51" s="1368"/>
      <c r="Z51" s="1368"/>
      <c r="AA51" s="1368"/>
      <c r="AB51" s="1368"/>
      <c r="AC51" s="1368"/>
      <c r="AD51" s="1368"/>
      <c r="AE51" s="1368"/>
      <c r="AF51" s="1368"/>
    </row>
    <row r="52" spans="2:32" s="984" customFormat="1" ht="14.25" x14ac:dyDescent="0.2">
      <c r="B52" s="1368"/>
      <c r="C52" s="1368"/>
      <c r="D52" s="1368"/>
      <c r="E52" s="1368"/>
      <c r="F52" s="1368"/>
      <c r="G52" s="1368"/>
      <c r="H52" s="1368"/>
      <c r="I52" s="1368"/>
      <c r="J52" s="1368"/>
      <c r="K52" s="1368"/>
      <c r="L52" s="1368"/>
      <c r="M52" s="1368"/>
      <c r="N52" s="1368"/>
      <c r="O52" s="1368"/>
      <c r="P52" s="1368"/>
      <c r="Q52" s="1368"/>
      <c r="R52" s="1368"/>
      <c r="S52" s="1368"/>
      <c r="T52" s="1368"/>
      <c r="U52" s="1368"/>
      <c r="V52" s="1368"/>
      <c r="W52" s="1368"/>
      <c r="X52" s="1368"/>
      <c r="Y52" s="1368"/>
      <c r="Z52" s="1368"/>
      <c r="AA52" s="1368"/>
      <c r="AB52" s="1368"/>
      <c r="AC52" s="1368"/>
      <c r="AD52" s="1368"/>
      <c r="AE52" s="1368"/>
      <c r="AF52" s="1368"/>
    </row>
    <row r="53" spans="2:32" s="984" customFormat="1" ht="14.25" x14ac:dyDescent="0.2">
      <c r="B53" s="1366"/>
      <c r="C53" s="1368"/>
      <c r="D53" s="1368"/>
      <c r="E53" s="1368"/>
      <c r="F53" s="1368"/>
      <c r="G53" s="1366"/>
      <c r="H53" s="1368"/>
      <c r="I53" s="1368"/>
      <c r="J53" s="1368"/>
      <c r="K53" s="1368"/>
      <c r="L53" s="1368"/>
      <c r="M53" s="1368"/>
      <c r="N53" s="1368"/>
      <c r="O53" s="1368"/>
      <c r="P53" s="1368"/>
      <c r="Q53" s="1368"/>
      <c r="R53" s="1368"/>
      <c r="S53" s="1368"/>
      <c r="T53" s="1368"/>
      <c r="U53" s="1368"/>
      <c r="V53" s="1368"/>
      <c r="W53" s="1368"/>
      <c r="X53" s="1368"/>
      <c r="Y53" s="1368"/>
      <c r="Z53" s="1368"/>
      <c r="AA53" s="1368"/>
      <c r="AB53" s="1368"/>
      <c r="AC53" s="1368"/>
      <c r="AD53" s="1368"/>
      <c r="AE53" s="1368"/>
      <c r="AF53" s="1368"/>
    </row>
    <row r="54" spans="2:32" s="984" customFormat="1" ht="14.25" x14ac:dyDescent="0.2">
      <c r="B54" s="1368"/>
      <c r="C54" s="1368"/>
      <c r="D54" s="1368"/>
      <c r="E54" s="1368"/>
      <c r="F54" s="1368"/>
      <c r="G54" s="1368"/>
      <c r="H54" s="1368"/>
      <c r="I54" s="1368"/>
      <c r="J54" s="1368"/>
      <c r="K54" s="1368"/>
      <c r="L54" s="1368"/>
      <c r="M54" s="1368"/>
      <c r="N54" s="1368"/>
      <c r="O54" s="1368"/>
      <c r="P54" s="1368"/>
      <c r="Q54" s="1368"/>
      <c r="R54" s="1368"/>
      <c r="S54" s="1368"/>
      <c r="T54" s="1368"/>
      <c r="U54" s="1368"/>
      <c r="V54" s="1368"/>
      <c r="W54" s="1368"/>
      <c r="X54" s="1368"/>
      <c r="Y54" s="1368"/>
      <c r="Z54" s="1368"/>
      <c r="AA54" s="1368"/>
      <c r="AB54" s="1368"/>
      <c r="AC54" s="1368"/>
      <c r="AD54" s="1368"/>
      <c r="AE54" s="1368"/>
      <c r="AF54" s="1368"/>
    </row>
    <row r="55" spans="2:32" s="984" customFormat="1" ht="14.25" x14ac:dyDescent="0.2">
      <c r="B55" s="2236"/>
      <c r="C55" s="3815"/>
      <c r="D55" s="3815"/>
      <c r="E55" s="3815"/>
      <c r="F55" s="3815"/>
      <c r="G55" s="3815"/>
      <c r="H55" s="3815"/>
      <c r="I55" s="3815"/>
      <c r="J55" s="3815"/>
      <c r="K55" s="3815"/>
      <c r="L55" s="3815"/>
      <c r="M55" s="3815"/>
      <c r="N55" s="3815"/>
      <c r="O55" s="3815"/>
      <c r="P55" s="3815"/>
      <c r="Q55" s="3815"/>
      <c r="R55" s="3815"/>
      <c r="S55" s="3815"/>
      <c r="T55" s="3815"/>
      <c r="U55" s="3815"/>
      <c r="V55" s="3815"/>
      <c r="W55" s="3815"/>
      <c r="X55" s="3815"/>
      <c r="Y55" s="3815"/>
      <c r="Z55" s="3815"/>
      <c r="AA55" s="3815"/>
      <c r="AB55" s="3815"/>
      <c r="AC55" s="2237"/>
      <c r="AD55" s="2237"/>
      <c r="AE55" s="2237"/>
    </row>
    <row r="56" spans="2:32" s="984" customFormat="1" ht="14.25" x14ac:dyDescent="0.2">
      <c r="B56" s="2237"/>
      <c r="C56" s="2238"/>
      <c r="D56" s="2238"/>
      <c r="E56" s="2238"/>
      <c r="F56" s="2238"/>
      <c r="G56" s="2238"/>
      <c r="H56" s="2238"/>
      <c r="I56" s="2238"/>
      <c r="J56" s="2238"/>
      <c r="K56" s="2238"/>
      <c r="L56" s="2238"/>
      <c r="M56" s="2238"/>
      <c r="N56" s="2238"/>
      <c r="O56" s="2238"/>
      <c r="P56" s="2238"/>
      <c r="Q56" s="2238"/>
      <c r="R56" s="2238"/>
      <c r="S56" s="2238"/>
      <c r="T56" s="2238"/>
      <c r="U56" s="2239"/>
      <c r="V56" s="2238"/>
      <c r="W56" s="2238"/>
      <c r="X56" s="2238"/>
      <c r="Y56" s="2238"/>
      <c r="Z56" s="2238"/>
      <c r="AA56" s="2238"/>
      <c r="AB56" s="2238"/>
      <c r="AC56" s="2237"/>
      <c r="AD56" s="2237"/>
      <c r="AE56" s="1652"/>
    </row>
    <row r="57" spans="2:32" s="984" customFormat="1" ht="14.25" x14ac:dyDescent="0.2">
      <c r="B57" s="2237"/>
      <c r="C57" s="2034"/>
      <c r="D57" s="2034"/>
      <c r="E57" s="2034"/>
      <c r="F57" s="2034"/>
      <c r="G57" s="2034"/>
      <c r="H57" s="2034"/>
      <c r="I57" s="2034"/>
      <c r="J57" s="2034"/>
      <c r="K57" s="1368"/>
      <c r="L57" s="1368"/>
      <c r="M57" s="2034"/>
      <c r="N57" s="2034"/>
      <c r="O57" s="2034"/>
      <c r="P57" s="2034"/>
      <c r="Q57" s="2034"/>
      <c r="R57" s="2034"/>
      <c r="S57" s="2034"/>
      <c r="T57" s="2034"/>
      <c r="U57" s="2034"/>
      <c r="V57" s="2034"/>
      <c r="W57" s="1368"/>
      <c r="X57" s="1368"/>
      <c r="Y57" s="1368"/>
      <c r="Z57" s="1368"/>
      <c r="AA57" s="1368"/>
      <c r="AB57" s="1368"/>
      <c r="AC57" s="2034"/>
      <c r="AD57" s="2034"/>
      <c r="AE57" s="2034"/>
    </row>
    <row r="58" spans="2:32" s="984" customFormat="1" ht="14.25" x14ac:dyDescent="0.2">
      <c r="B58" s="2237"/>
      <c r="C58" s="2034"/>
      <c r="D58" s="2034"/>
      <c r="E58" s="2034"/>
      <c r="F58" s="2034"/>
      <c r="G58" s="2034"/>
      <c r="H58" s="2034"/>
      <c r="I58" s="2034"/>
      <c r="J58" s="2034"/>
      <c r="K58" s="1368"/>
      <c r="L58" s="1368"/>
      <c r="M58" s="2034"/>
      <c r="N58" s="2034"/>
      <c r="O58" s="2034"/>
      <c r="P58" s="2034"/>
      <c r="Q58" s="2034"/>
      <c r="R58" s="2034"/>
      <c r="S58" s="2034"/>
      <c r="T58" s="2034"/>
      <c r="U58" s="2034"/>
      <c r="V58" s="2034"/>
      <c r="W58" s="1368"/>
      <c r="X58" s="1368"/>
      <c r="Y58" s="1368"/>
      <c r="Z58" s="1368"/>
      <c r="AA58" s="1366"/>
      <c r="AB58" s="1368"/>
      <c r="AC58" s="2034"/>
      <c r="AD58" s="2034"/>
      <c r="AE58" s="2034"/>
    </row>
    <row r="59" spans="2:32" s="984" customFormat="1" ht="14.25" x14ac:dyDescent="0.2">
      <c r="B59" s="2237"/>
      <c r="C59" s="2034"/>
      <c r="D59" s="2034"/>
      <c r="E59" s="2034"/>
      <c r="F59" s="2034"/>
      <c r="G59" s="2034"/>
      <c r="H59" s="2034"/>
      <c r="I59" s="2034"/>
      <c r="J59" s="2034"/>
      <c r="K59" s="1368"/>
      <c r="L59" s="1368"/>
      <c r="M59" s="2034"/>
      <c r="N59" s="2034"/>
      <c r="O59" s="2034"/>
      <c r="P59" s="2034"/>
      <c r="Q59" s="2034"/>
      <c r="R59" s="2034"/>
      <c r="S59" s="2034"/>
      <c r="T59" s="2034"/>
      <c r="U59" s="2034"/>
      <c r="V59" s="2034"/>
      <c r="W59" s="1368"/>
      <c r="X59" s="1368"/>
      <c r="Y59" s="1368"/>
      <c r="Z59" s="1368"/>
      <c r="AA59" s="1366"/>
      <c r="AB59" s="1368"/>
      <c r="AC59" s="2034"/>
      <c r="AD59" s="2034"/>
      <c r="AE59" s="2034"/>
    </row>
    <row r="60" spans="2:32" s="984" customFormat="1" ht="14.25" x14ac:dyDescent="0.2">
      <c r="B60" s="2237"/>
      <c r="C60" s="1368"/>
      <c r="D60" s="1368"/>
      <c r="E60" s="1368"/>
      <c r="F60" s="1368"/>
      <c r="G60" s="1368"/>
      <c r="H60" s="1368"/>
      <c r="I60" s="1368"/>
      <c r="J60" s="1368"/>
      <c r="K60" s="1368"/>
      <c r="L60" s="1368"/>
      <c r="M60" s="1368"/>
      <c r="N60" s="1368"/>
      <c r="O60" s="2034"/>
      <c r="P60" s="2034"/>
      <c r="Q60" s="2034"/>
      <c r="R60" s="2034"/>
      <c r="S60" s="1368"/>
      <c r="T60" s="1368"/>
      <c r="U60" s="1368"/>
      <c r="V60" s="2034"/>
      <c r="W60" s="1368"/>
      <c r="X60" s="1368"/>
      <c r="Y60" s="1368"/>
      <c r="Z60" s="1368"/>
      <c r="AA60" s="1366"/>
      <c r="AB60" s="1368"/>
      <c r="AC60" s="2034"/>
      <c r="AD60" s="2034"/>
      <c r="AE60" s="2034"/>
    </row>
    <row r="61" spans="2:32" s="984" customFormat="1" ht="14.25" x14ac:dyDescent="0.2">
      <c r="B61" s="2237"/>
      <c r="C61" s="2034"/>
      <c r="D61" s="2034"/>
      <c r="E61" s="2034"/>
      <c r="F61" s="2034"/>
      <c r="G61" s="2034"/>
      <c r="H61" s="2034"/>
      <c r="I61" s="2034"/>
      <c r="J61" s="2034"/>
      <c r="K61" s="1368"/>
      <c r="L61" s="1368"/>
      <c r="M61" s="2034"/>
      <c r="N61" s="2034"/>
      <c r="O61" s="2034"/>
      <c r="P61" s="2034"/>
      <c r="Q61" s="2034"/>
      <c r="R61" s="2034"/>
      <c r="S61" s="2034"/>
      <c r="T61" s="2034"/>
      <c r="U61" s="2034"/>
      <c r="V61" s="2034"/>
      <c r="W61" s="1368"/>
      <c r="X61" s="1368"/>
      <c r="Y61" s="1368"/>
      <c r="Z61" s="1368"/>
      <c r="AA61" s="1366"/>
      <c r="AB61" s="1368"/>
      <c r="AC61" s="1366"/>
      <c r="AD61" s="2034"/>
      <c r="AE61" s="2034"/>
    </row>
    <row r="62" spans="2:32" s="984" customFormat="1" ht="14.25" x14ac:dyDescent="0.2">
      <c r="B62" s="2237"/>
      <c r="C62" s="2034"/>
      <c r="D62" s="2034"/>
      <c r="E62" s="2034"/>
      <c r="F62" s="2034"/>
      <c r="G62" s="2034"/>
      <c r="H62" s="2034"/>
      <c r="I62" s="2034"/>
      <c r="J62" s="2034"/>
      <c r="K62" s="1368"/>
      <c r="L62" s="1368"/>
      <c r="M62" s="2034"/>
      <c r="N62" s="2034"/>
      <c r="O62" s="2034"/>
      <c r="P62" s="2034"/>
      <c r="Q62" s="2034"/>
      <c r="R62" s="2034"/>
      <c r="S62" s="2034"/>
      <c r="T62" s="2034"/>
      <c r="U62" s="2034"/>
      <c r="V62" s="2034"/>
      <c r="W62" s="1368"/>
      <c r="X62" s="1368"/>
      <c r="Y62" s="1368"/>
      <c r="Z62" s="1368"/>
      <c r="AA62" s="1368"/>
      <c r="AB62" s="1368"/>
      <c r="AC62" s="1366"/>
      <c r="AD62" s="2034"/>
      <c r="AE62" s="2034"/>
    </row>
    <row r="63" spans="2:32" s="984" customFormat="1" ht="14.25" x14ac:dyDescent="0.2">
      <c r="B63" s="2237"/>
      <c r="C63" s="2034"/>
      <c r="D63" s="2034"/>
      <c r="E63" s="2034"/>
      <c r="F63" s="2034"/>
      <c r="G63" s="2034"/>
      <c r="H63" s="2034"/>
      <c r="I63" s="2034"/>
      <c r="J63" s="2034"/>
      <c r="K63" s="1368"/>
      <c r="L63" s="1368"/>
      <c r="M63" s="2034"/>
      <c r="N63" s="2034"/>
      <c r="O63" s="2034"/>
      <c r="P63" s="2034"/>
      <c r="Q63" s="2034"/>
      <c r="R63" s="2034"/>
      <c r="S63" s="2034"/>
      <c r="T63" s="2034"/>
      <c r="U63" s="2034"/>
      <c r="V63" s="2034"/>
      <c r="W63" s="2034"/>
      <c r="X63" s="2034"/>
      <c r="Y63" s="2034"/>
      <c r="Z63" s="2034"/>
      <c r="AA63" s="1366"/>
      <c r="AB63" s="2034"/>
      <c r="AC63" s="1366"/>
      <c r="AD63" s="2034"/>
      <c r="AE63" s="2034"/>
    </row>
    <row r="64" spans="2:32" s="984" customFormat="1" ht="14.25" x14ac:dyDescent="0.2">
      <c r="B64" s="2237"/>
      <c r="C64" s="2034"/>
      <c r="D64" s="2034"/>
      <c r="E64" s="2034"/>
      <c r="F64" s="2034"/>
      <c r="G64" s="2034"/>
      <c r="H64" s="2034"/>
      <c r="I64" s="2034"/>
      <c r="J64" s="2034"/>
      <c r="K64" s="1368"/>
      <c r="L64" s="1368"/>
      <c r="M64" s="2034"/>
      <c r="N64" s="2034"/>
      <c r="O64" s="2034"/>
      <c r="P64" s="2034"/>
      <c r="Q64" s="2034"/>
      <c r="R64" s="2034"/>
      <c r="S64" s="2034"/>
      <c r="T64" s="2034"/>
      <c r="U64" s="2034"/>
      <c r="V64" s="2034"/>
      <c r="W64" s="2034"/>
      <c r="X64" s="2034"/>
      <c r="Y64" s="2034"/>
      <c r="Z64" s="2034"/>
      <c r="AA64" s="2034"/>
      <c r="AB64" s="2034"/>
      <c r="AC64" s="2034"/>
      <c r="AD64" s="2034"/>
      <c r="AE64" s="2034"/>
    </row>
    <row r="65" spans="1:32" s="984" customFormat="1" ht="14.25" x14ac:dyDescent="0.2">
      <c r="B65" s="2237"/>
      <c r="C65" s="2034"/>
      <c r="D65" s="2034"/>
      <c r="E65" s="2034"/>
      <c r="F65" s="2034"/>
      <c r="G65" s="2034"/>
      <c r="H65" s="2034"/>
      <c r="I65" s="2034"/>
      <c r="J65" s="2034"/>
      <c r="K65" s="2034"/>
      <c r="L65" s="2034"/>
      <c r="M65" s="2034"/>
      <c r="N65" s="2034"/>
      <c r="O65" s="2034"/>
      <c r="P65" s="2034"/>
      <c r="Q65" s="2034"/>
      <c r="R65" s="2034"/>
      <c r="S65" s="2034"/>
      <c r="T65" s="2034"/>
      <c r="U65" s="2034"/>
      <c r="V65" s="2034"/>
      <c r="W65" s="2034"/>
      <c r="X65" s="2034"/>
      <c r="Y65" s="2034"/>
      <c r="Z65" s="2034"/>
      <c r="AA65" s="2034"/>
      <c r="AB65" s="2034"/>
      <c r="AC65" s="2034"/>
      <c r="AD65" s="2034"/>
      <c r="AE65" s="2034"/>
    </row>
    <row r="66" spans="1:32" s="984" customFormat="1" x14ac:dyDescent="0.2">
      <c r="A66" s="970"/>
      <c r="B66" s="1365"/>
      <c r="C66" s="1365"/>
    </row>
    <row r="67" spans="1:32" s="984" customFormat="1" x14ac:dyDescent="0.25">
      <c r="B67" s="2241"/>
      <c r="C67" s="2241"/>
      <c r="D67" s="2241"/>
      <c r="E67" s="2241"/>
      <c r="F67" s="2242"/>
      <c r="G67" s="2242"/>
      <c r="H67" s="2242"/>
      <c r="I67" s="2242"/>
      <c r="J67" s="2242"/>
      <c r="K67" s="2242"/>
      <c r="L67" s="2242"/>
      <c r="M67" s="2242"/>
      <c r="N67" s="2242"/>
      <c r="O67" s="2242"/>
      <c r="P67" s="2242"/>
      <c r="Q67" s="2242"/>
      <c r="R67" s="2242"/>
      <c r="S67" s="2242"/>
      <c r="T67" s="2242"/>
      <c r="U67" s="2242"/>
      <c r="V67" s="2242"/>
      <c r="W67" s="2242"/>
      <c r="X67" s="2242"/>
      <c r="Y67" s="2242"/>
      <c r="Z67" s="2242"/>
      <c r="AA67" s="2242"/>
      <c r="AB67" s="2242"/>
      <c r="AC67" s="2242"/>
      <c r="AD67" s="2242"/>
      <c r="AE67" s="2242"/>
      <c r="AF67" s="2242"/>
    </row>
    <row r="68" spans="1:32" s="984" customFormat="1" ht="14.25" x14ac:dyDescent="0.2">
      <c r="B68" s="1366"/>
      <c r="C68" s="1367"/>
      <c r="D68" s="1367"/>
      <c r="E68" s="1367"/>
      <c r="F68" s="1367"/>
      <c r="G68" s="1367"/>
      <c r="H68" s="1367"/>
      <c r="I68" s="1367"/>
      <c r="J68" s="1367"/>
      <c r="K68" s="1367"/>
      <c r="L68" s="1367"/>
      <c r="M68" s="1367"/>
      <c r="N68" s="1367"/>
      <c r="O68" s="1367"/>
      <c r="P68" s="1367"/>
      <c r="Q68" s="1367"/>
      <c r="R68" s="1367"/>
      <c r="S68" s="1367"/>
      <c r="T68" s="1367"/>
      <c r="U68" s="1367"/>
      <c r="V68" s="1367"/>
      <c r="W68" s="1367"/>
      <c r="X68" s="1367"/>
      <c r="Y68" s="1367"/>
      <c r="Z68" s="1367"/>
      <c r="AA68" s="1367"/>
      <c r="AB68" s="1367"/>
      <c r="AC68" s="1366"/>
      <c r="AD68" s="1366"/>
      <c r="AE68" s="1366"/>
    </row>
    <row r="69" spans="1:32" s="984" customFormat="1" ht="14.25" x14ac:dyDescent="0.2">
      <c r="B69" s="1366"/>
      <c r="C69" s="1366"/>
      <c r="D69" s="1366"/>
      <c r="E69" s="1366"/>
      <c r="F69" s="1366"/>
      <c r="G69" s="1366"/>
      <c r="H69" s="1366"/>
      <c r="I69" s="1366"/>
      <c r="J69" s="1366"/>
      <c r="K69" s="1366"/>
      <c r="L69" s="1366"/>
      <c r="M69" s="1366"/>
      <c r="N69" s="1366"/>
      <c r="O69" s="1366"/>
      <c r="P69" s="1366"/>
      <c r="Q69" s="1366"/>
      <c r="R69" s="1366"/>
      <c r="S69" s="1366"/>
      <c r="T69" s="1366"/>
      <c r="U69" s="1366"/>
      <c r="V69" s="1366"/>
      <c r="W69" s="1366"/>
      <c r="X69" s="1366"/>
      <c r="Y69" s="1366"/>
      <c r="Z69" s="1366"/>
      <c r="AA69" s="1366"/>
      <c r="AB69" s="1366"/>
      <c r="AC69" s="1366"/>
      <c r="AD69" s="1366"/>
      <c r="AE69" s="1366"/>
    </row>
    <row r="70" spans="1:32" s="984" customFormat="1" ht="14.25" x14ac:dyDescent="0.2">
      <c r="B70" s="1366"/>
      <c r="C70" s="1368"/>
      <c r="D70" s="1368"/>
      <c r="E70" s="1368"/>
      <c r="F70" s="1368"/>
      <c r="G70" s="1368"/>
      <c r="H70" s="1368"/>
      <c r="I70" s="1368"/>
      <c r="J70" s="1368"/>
      <c r="K70" s="1368"/>
      <c r="L70" s="1368"/>
      <c r="M70" s="1368"/>
      <c r="N70" s="1368"/>
      <c r="O70" s="1368"/>
      <c r="P70" s="1368"/>
      <c r="Q70" s="1368"/>
      <c r="R70" s="1368"/>
      <c r="S70" s="1368"/>
      <c r="T70" s="1368"/>
      <c r="U70" s="1368"/>
      <c r="V70" s="1368"/>
      <c r="W70" s="1368"/>
      <c r="X70" s="1368"/>
      <c r="Y70" s="1368"/>
      <c r="Z70" s="1368"/>
      <c r="AA70" s="1368"/>
      <c r="AB70" s="1368"/>
      <c r="AC70" s="1368"/>
      <c r="AD70" s="1368"/>
      <c r="AE70" s="1368"/>
    </row>
    <row r="71" spans="1:32" s="984" customFormat="1" ht="14.25" x14ac:dyDescent="0.2">
      <c r="B71" s="1366"/>
      <c r="C71" s="1368"/>
      <c r="D71" s="1368"/>
      <c r="E71" s="1368"/>
      <c r="F71" s="1368"/>
      <c r="G71" s="1368"/>
      <c r="H71" s="1368"/>
      <c r="I71" s="1368"/>
      <c r="J71" s="1368"/>
      <c r="K71" s="1368"/>
      <c r="L71" s="1368"/>
      <c r="M71" s="1368"/>
      <c r="N71" s="1368"/>
      <c r="O71" s="1368"/>
      <c r="P71" s="1368"/>
      <c r="Q71" s="1368"/>
      <c r="R71" s="1368"/>
      <c r="S71" s="1368"/>
      <c r="T71" s="1368"/>
      <c r="U71" s="1368"/>
      <c r="V71" s="1368"/>
      <c r="W71" s="1368"/>
      <c r="X71" s="1368"/>
      <c r="Y71" s="1368"/>
      <c r="Z71" s="1368"/>
      <c r="AA71" s="1368"/>
      <c r="AB71" s="1368"/>
      <c r="AC71" s="1368"/>
      <c r="AD71" s="1368"/>
      <c r="AE71" s="1368"/>
    </row>
    <row r="72" spans="1:32" s="984" customFormat="1" ht="14.25" x14ac:dyDescent="0.2">
      <c r="B72" s="1366"/>
      <c r="C72" s="1368"/>
      <c r="D72" s="1368"/>
      <c r="E72" s="1368"/>
      <c r="F72" s="1368"/>
      <c r="G72" s="1368"/>
      <c r="H72" s="1368"/>
      <c r="I72" s="1368"/>
      <c r="J72" s="1368"/>
      <c r="K72" s="1368"/>
      <c r="L72" s="1368"/>
      <c r="M72" s="1368"/>
      <c r="N72" s="1368"/>
      <c r="O72" s="1368"/>
      <c r="P72" s="1368"/>
      <c r="Q72" s="1368"/>
      <c r="R72" s="1368"/>
      <c r="S72" s="1368"/>
      <c r="T72" s="1368"/>
      <c r="U72" s="1368"/>
      <c r="V72" s="1368"/>
      <c r="W72" s="1368"/>
      <c r="X72" s="1368"/>
      <c r="Y72" s="1368"/>
      <c r="Z72" s="1368"/>
      <c r="AA72" s="1368"/>
      <c r="AB72" s="1368"/>
      <c r="AC72" s="1368"/>
      <c r="AD72" s="1368"/>
      <c r="AE72" s="1368"/>
    </row>
    <row r="73" spans="1:32" s="984" customFormat="1" ht="14.25" x14ac:dyDescent="0.2">
      <c r="B73" s="1366"/>
      <c r="C73" s="1368"/>
      <c r="D73" s="1368"/>
      <c r="E73" s="1368"/>
      <c r="F73" s="1368"/>
      <c r="G73" s="1368"/>
      <c r="H73" s="1368"/>
      <c r="I73" s="1368"/>
      <c r="J73" s="1368"/>
      <c r="K73" s="1368"/>
      <c r="L73" s="1368"/>
      <c r="M73" s="1368"/>
      <c r="N73" s="1368"/>
      <c r="O73" s="1368"/>
      <c r="P73" s="1368"/>
      <c r="Q73" s="1368"/>
      <c r="R73" s="1368"/>
      <c r="S73" s="1368"/>
      <c r="T73" s="1368"/>
      <c r="U73" s="1368"/>
      <c r="V73" s="1368"/>
      <c r="W73" s="1368"/>
      <c r="X73" s="1368"/>
      <c r="Y73" s="1368"/>
      <c r="Z73" s="1368"/>
      <c r="AA73" s="1368"/>
      <c r="AB73" s="1368"/>
      <c r="AC73" s="1368"/>
      <c r="AD73" s="1368"/>
      <c r="AE73" s="1368"/>
    </row>
    <row r="74" spans="1:32" s="984" customFormat="1" ht="14.25" x14ac:dyDescent="0.2">
      <c r="B74" s="1366"/>
      <c r="C74" s="1368"/>
      <c r="D74" s="1368"/>
      <c r="E74" s="1368"/>
      <c r="F74" s="1368"/>
      <c r="G74" s="1368"/>
      <c r="H74" s="1368"/>
      <c r="I74" s="1368"/>
      <c r="J74" s="1368"/>
      <c r="K74" s="1368"/>
      <c r="L74" s="1368"/>
      <c r="M74" s="1368"/>
      <c r="N74" s="1368"/>
      <c r="O74" s="1369"/>
      <c r="P74" s="1369"/>
      <c r="Q74" s="1369"/>
      <c r="R74" s="1368"/>
      <c r="S74" s="1368"/>
      <c r="T74" s="1368"/>
      <c r="U74" s="1368"/>
      <c r="V74" s="1368"/>
      <c r="W74" s="1368"/>
      <c r="X74" s="1368"/>
      <c r="Y74" s="1368"/>
      <c r="Z74" s="1368"/>
      <c r="AA74" s="1368"/>
      <c r="AB74" s="1368"/>
      <c r="AC74" s="1368"/>
      <c r="AD74" s="1368"/>
      <c r="AE74" s="1368"/>
    </row>
    <row r="75" spans="1:32" s="984" customFormat="1" ht="14.25" x14ac:dyDescent="0.2">
      <c r="B75" s="1366"/>
      <c r="C75" s="1368"/>
      <c r="D75" s="1368"/>
      <c r="E75" s="1368"/>
      <c r="F75" s="1368"/>
      <c r="G75" s="1368"/>
      <c r="H75" s="1368"/>
      <c r="I75" s="1368"/>
      <c r="J75" s="1368"/>
      <c r="K75" s="1368"/>
      <c r="L75" s="1368"/>
      <c r="M75" s="1368"/>
      <c r="N75" s="1368"/>
      <c r="O75" s="1368"/>
      <c r="P75" s="1368"/>
      <c r="Q75" s="1368"/>
      <c r="R75" s="1368"/>
      <c r="S75" s="1368"/>
      <c r="T75" s="1368"/>
      <c r="U75" s="1368"/>
      <c r="V75" s="1368"/>
      <c r="W75" s="1368"/>
      <c r="X75" s="1368"/>
      <c r="Y75" s="1368"/>
      <c r="Z75" s="1368"/>
      <c r="AA75" s="1368"/>
      <c r="AB75" s="1368"/>
      <c r="AC75" s="1368"/>
      <c r="AD75" s="1368"/>
      <c r="AE75" s="1368"/>
    </row>
    <row r="76" spans="1:32" s="984" customFormat="1" ht="14.25" x14ac:dyDescent="0.2">
      <c r="B76" s="1366"/>
      <c r="C76" s="1368"/>
      <c r="D76" s="1368"/>
      <c r="E76" s="1368"/>
      <c r="F76" s="1368"/>
      <c r="G76" s="1368"/>
      <c r="H76" s="1368"/>
      <c r="I76" s="1368"/>
      <c r="J76" s="1368"/>
      <c r="K76" s="1368"/>
      <c r="L76" s="1368"/>
      <c r="M76" s="1368"/>
      <c r="N76" s="1368"/>
      <c r="O76" s="1368"/>
      <c r="P76" s="1368"/>
      <c r="Q76" s="1368"/>
      <c r="R76" s="1368"/>
      <c r="S76" s="1368"/>
      <c r="T76" s="1368"/>
      <c r="U76" s="1368"/>
      <c r="V76" s="1368"/>
      <c r="W76" s="1368"/>
      <c r="X76" s="1368"/>
      <c r="Y76" s="1368"/>
      <c r="Z76" s="1368"/>
      <c r="AA76" s="1368"/>
      <c r="AB76" s="1368"/>
      <c r="AC76" s="1368"/>
      <c r="AD76" s="1368"/>
      <c r="AE76" s="1368"/>
    </row>
    <row r="77" spans="1:32" s="984" customFormat="1" ht="14.25" x14ac:dyDescent="0.2">
      <c r="B77" s="1366"/>
      <c r="C77" s="1368"/>
      <c r="D77" s="1368"/>
      <c r="E77" s="1368"/>
      <c r="F77" s="1368"/>
      <c r="G77" s="1368"/>
      <c r="H77" s="1368"/>
      <c r="I77" s="1368"/>
      <c r="J77" s="1368"/>
      <c r="K77" s="1368"/>
      <c r="L77" s="1368"/>
      <c r="M77" s="1368"/>
      <c r="N77" s="1368"/>
      <c r="O77" s="1368"/>
      <c r="P77" s="1368"/>
      <c r="Q77" s="1368"/>
      <c r="R77" s="1368"/>
      <c r="S77" s="1368"/>
      <c r="T77" s="1368"/>
      <c r="U77" s="1368"/>
      <c r="V77" s="1368"/>
      <c r="W77" s="1368"/>
      <c r="X77" s="1368"/>
      <c r="Y77" s="1368"/>
      <c r="Z77" s="1368"/>
      <c r="AA77" s="1368"/>
      <c r="AB77" s="1368"/>
      <c r="AC77" s="1368"/>
      <c r="AD77" s="1368"/>
      <c r="AE77" s="1368"/>
    </row>
    <row r="78" spans="1:32" s="984" customFormat="1" ht="14.25" x14ac:dyDescent="0.2">
      <c r="B78" s="1366"/>
      <c r="C78" s="1368"/>
      <c r="D78" s="1368"/>
      <c r="E78" s="1368"/>
      <c r="F78" s="1368"/>
      <c r="G78" s="1368"/>
      <c r="H78" s="1368"/>
      <c r="I78" s="1368"/>
      <c r="J78" s="1368"/>
      <c r="K78" s="1368"/>
      <c r="L78" s="1368"/>
      <c r="M78" s="1368"/>
      <c r="N78" s="1368"/>
      <c r="O78" s="1368"/>
      <c r="P78" s="1368"/>
      <c r="Q78" s="1368"/>
      <c r="R78" s="1368"/>
      <c r="S78" s="1368"/>
      <c r="T78" s="1368"/>
      <c r="U78" s="1368"/>
      <c r="V78" s="1368"/>
      <c r="W78" s="1368"/>
      <c r="X78" s="1368"/>
      <c r="Y78" s="1368"/>
      <c r="Z78" s="1368"/>
      <c r="AA78" s="1368"/>
      <c r="AB78" s="1368"/>
      <c r="AC78" s="1368"/>
      <c r="AD78" s="1368"/>
      <c r="AE78" s="1368"/>
    </row>
    <row r="79" spans="1:32" s="984" customFormat="1" ht="14.25" x14ac:dyDescent="0.2">
      <c r="B79" s="1366"/>
      <c r="C79" s="1368"/>
      <c r="D79" s="1368"/>
      <c r="E79" s="1368"/>
      <c r="F79" s="1368"/>
      <c r="G79" s="1368"/>
      <c r="H79" s="1368"/>
      <c r="I79" s="1368"/>
      <c r="J79" s="1368"/>
      <c r="K79" s="1368"/>
      <c r="L79" s="1368"/>
      <c r="M79" s="1368"/>
      <c r="N79" s="1368"/>
      <c r="O79" s="1368"/>
      <c r="P79" s="1368"/>
      <c r="Q79" s="1368"/>
      <c r="R79" s="1368"/>
      <c r="S79" s="1368"/>
      <c r="T79" s="1368"/>
      <c r="U79" s="1368"/>
      <c r="V79" s="1368"/>
      <c r="W79" s="1368"/>
      <c r="X79" s="1368"/>
      <c r="Y79" s="1368"/>
      <c r="Z79" s="1368"/>
      <c r="AA79" s="1368"/>
      <c r="AB79" s="1368"/>
      <c r="AC79" s="1368"/>
      <c r="AD79" s="1368"/>
      <c r="AE79" s="1368"/>
    </row>
    <row r="80" spans="1:32" s="984" customFormat="1" ht="14.25" x14ac:dyDescent="0.2">
      <c r="B80" s="1366"/>
      <c r="C80" s="1368"/>
      <c r="D80" s="1368"/>
      <c r="E80" s="1368"/>
      <c r="F80" s="1368"/>
      <c r="G80" s="1368"/>
      <c r="H80" s="1368"/>
      <c r="I80" s="1368"/>
      <c r="J80" s="1368"/>
      <c r="K80" s="1368"/>
      <c r="L80" s="1368"/>
      <c r="M80" s="1368"/>
      <c r="N80" s="1368"/>
      <c r="O80" s="1368"/>
      <c r="P80" s="1368"/>
      <c r="Q80" s="1368"/>
      <c r="R80" s="1368"/>
      <c r="S80" s="1368"/>
      <c r="T80" s="1368"/>
      <c r="U80" s="1368"/>
      <c r="V80" s="1368"/>
      <c r="W80" s="1368"/>
      <c r="X80" s="1368"/>
      <c r="Y80" s="1368"/>
      <c r="Z80" s="1368"/>
      <c r="AA80" s="1368"/>
      <c r="AB80" s="1368"/>
      <c r="AC80" s="1368"/>
      <c r="AD80" s="1368"/>
      <c r="AE80" s="1368"/>
    </row>
    <row r="81" spans="1:32" s="984" customFormat="1" x14ac:dyDescent="0.2">
      <c r="A81" s="970"/>
      <c r="B81" s="1365"/>
      <c r="C81" s="1365"/>
    </row>
    <row r="82" spans="1:32" s="984" customFormat="1" x14ac:dyDescent="0.25">
      <c r="B82" s="2241"/>
      <c r="C82" s="2241"/>
      <c r="D82" s="2241"/>
      <c r="E82" s="2241"/>
      <c r="F82" s="2242"/>
      <c r="G82" s="2242"/>
      <c r="H82" s="2242"/>
      <c r="I82" s="2242"/>
      <c r="J82" s="2242"/>
      <c r="K82" s="2242"/>
      <c r="L82" s="2242"/>
      <c r="M82" s="2242"/>
      <c r="N82" s="2242"/>
      <c r="O82" s="2242"/>
      <c r="P82" s="2242"/>
      <c r="Q82" s="2242"/>
      <c r="R82" s="2242"/>
      <c r="S82" s="2242"/>
      <c r="T82" s="2242"/>
      <c r="U82" s="2242"/>
      <c r="V82" s="2242"/>
      <c r="W82" s="2242"/>
      <c r="X82" s="2242"/>
      <c r="Y82" s="2242"/>
      <c r="Z82" s="2242"/>
      <c r="AA82" s="2242"/>
      <c r="AB82" s="2242"/>
      <c r="AC82" s="2242"/>
      <c r="AD82" s="2242"/>
      <c r="AE82" s="2242"/>
      <c r="AF82" s="2242"/>
    </row>
    <row r="83" spans="1:32" s="984" customFormat="1" ht="14.25" x14ac:dyDescent="0.2">
      <c r="B83" s="1366"/>
      <c r="C83" s="1367"/>
      <c r="D83" s="1367"/>
      <c r="E83" s="1367"/>
      <c r="F83" s="1367"/>
      <c r="G83" s="1367"/>
      <c r="H83" s="1367"/>
      <c r="I83" s="1367"/>
      <c r="J83" s="1367"/>
      <c r="K83" s="1367"/>
      <c r="L83" s="1367"/>
      <c r="M83" s="1367"/>
      <c r="N83" s="1367"/>
      <c r="O83" s="1367"/>
      <c r="P83" s="1367"/>
      <c r="Q83" s="1367"/>
      <c r="R83" s="1367"/>
      <c r="S83" s="1367"/>
      <c r="T83" s="1367"/>
      <c r="U83" s="1367"/>
      <c r="V83" s="1367"/>
      <c r="W83" s="1367"/>
      <c r="X83" s="1367"/>
      <c r="Y83" s="1367"/>
      <c r="Z83" s="1367"/>
      <c r="AA83" s="1367"/>
      <c r="AB83" s="1367"/>
      <c r="AC83" s="1366"/>
      <c r="AD83" s="1366"/>
      <c r="AE83" s="1366"/>
    </row>
    <row r="84" spans="1:32" s="984" customFormat="1" ht="14.25" x14ac:dyDescent="0.2">
      <c r="B84" s="1366"/>
      <c r="C84" s="1366"/>
      <c r="D84" s="1366"/>
      <c r="E84" s="1366"/>
      <c r="F84" s="1366"/>
      <c r="G84" s="1366"/>
      <c r="H84" s="1366"/>
      <c r="I84" s="1366"/>
      <c r="J84" s="1366"/>
      <c r="K84" s="1366"/>
      <c r="L84" s="1366"/>
      <c r="M84" s="1366"/>
      <c r="N84" s="1366"/>
      <c r="O84" s="1366"/>
      <c r="P84" s="1366"/>
      <c r="Q84" s="1366"/>
      <c r="R84" s="1366"/>
      <c r="S84" s="1366"/>
      <c r="T84" s="1366"/>
      <c r="U84" s="1366"/>
      <c r="V84" s="1366"/>
      <c r="W84" s="1366"/>
      <c r="X84" s="1366"/>
      <c r="Y84" s="1366"/>
      <c r="Z84" s="1366"/>
      <c r="AA84" s="1366"/>
      <c r="AB84" s="1366"/>
      <c r="AC84" s="1366"/>
      <c r="AD84" s="1366"/>
      <c r="AE84" s="1366"/>
    </row>
    <row r="85" spans="1:32" s="984" customFormat="1" ht="14.25" x14ac:dyDescent="0.2">
      <c r="B85" s="1366"/>
      <c r="C85" s="1897"/>
      <c r="D85" s="1897"/>
      <c r="E85" s="1897"/>
      <c r="F85" s="1897"/>
      <c r="G85" s="1897"/>
      <c r="H85" s="1897"/>
      <c r="I85" s="1897"/>
      <c r="J85" s="1897"/>
      <c r="K85" s="1897"/>
      <c r="L85" s="1897"/>
      <c r="M85" s="1897"/>
      <c r="N85" s="1897"/>
      <c r="O85" s="1897"/>
      <c r="P85" s="1897"/>
      <c r="Q85" s="1897"/>
      <c r="R85" s="1897"/>
      <c r="S85" s="1897"/>
      <c r="T85" s="1897"/>
      <c r="U85" s="1897"/>
      <c r="V85" s="1897"/>
      <c r="W85" s="1897"/>
      <c r="X85" s="1897"/>
      <c r="Y85" s="1897"/>
      <c r="Z85" s="1897"/>
      <c r="AA85" s="1897"/>
      <c r="AB85" s="1897"/>
      <c r="AC85" s="1897"/>
      <c r="AD85" s="1897"/>
      <c r="AE85" s="1897"/>
    </row>
    <row r="86" spans="1:32" s="984" customFormat="1" ht="14.25" x14ac:dyDescent="0.2">
      <c r="B86" s="1366"/>
      <c r="C86" s="1897"/>
      <c r="D86" s="1897"/>
      <c r="E86" s="1897"/>
      <c r="F86" s="1897"/>
      <c r="G86" s="1897"/>
      <c r="H86" s="1897"/>
      <c r="I86" s="1897"/>
      <c r="J86" s="1897"/>
      <c r="K86" s="1897"/>
      <c r="L86" s="1897"/>
      <c r="M86" s="1897"/>
      <c r="N86" s="1897"/>
      <c r="O86" s="1897"/>
      <c r="P86" s="1897"/>
      <c r="Q86" s="1897"/>
      <c r="R86" s="1897"/>
      <c r="S86" s="1897"/>
      <c r="T86" s="1897"/>
      <c r="U86" s="1897"/>
      <c r="V86" s="1897"/>
      <c r="W86" s="1897"/>
      <c r="X86" s="1897"/>
      <c r="Y86" s="1897"/>
      <c r="Z86" s="1897"/>
      <c r="AA86" s="1897"/>
      <c r="AB86" s="1897"/>
      <c r="AC86" s="1897"/>
      <c r="AD86" s="1897"/>
      <c r="AE86" s="1897"/>
    </row>
    <row r="87" spans="1:32" s="984" customFormat="1" ht="14.25" x14ac:dyDescent="0.2">
      <c r="B87" s="1366"/>
      <c r="C87" s="1897"/>
      <c r="D87" s="1897"/>
      <c r="E87" s="1897"/>
      <c r="F87" s="1897"/>
      <c r="G87" s="1897"/>
      <c r="H87" s="1897"/>
      <c r="I87" s="1368"/>
      <c r="J87" s="1368"/>
      <c r="K87" s="1368"/>
      <c r="L87" s="1368"/>
      <c r="M87" s="1368"/>
      <c r="N87" s="1368"/>
      <c r="O87" s="1897"/>
      <c r="P87" s="1897"/>
      <c r="Q87" s="1897"/>
      <c r="R87" s="1897"/>
      <c r="S87" s="1897"/>
      <c r="T87" s="1897"/>
      <c r="U87" s="1897"/>
      <c r="V87" s="1897"/>
      <c r="W87" s="1897"/>
      <c r="X87" s="1897"/>
      <c r="Y87" s="1897"/>
      <c r="Z87" s="1897"/>
      <c r="AA87" s="1897"/>
      <c r="AB87" s="1897"/>
      <c r="AC87" s="1897"/>
      <c r="AD87" s="1897"/>
      <c r="AE87" s="1897"/>
    </row>
    <row r="88" spans="1:32" s="984" customFormat="1" ht="14.25" x14ac:dyDescent="0.2">
      <c r="B88" s="1366"/>
      <c r="C88" s="1897"/>
      <c r="D88" s="1897"/>
      <c r="E88" s="1897"/>
      <c r="F88" s="1897"/>
      <c r="G88" s="1897"/>
      <c r="H88" s="1897"/>
      <c r="I88" s="1897"/>
      <c r="J88" s="1897"/>
      <c r="K88" s="1897"/>
      <c r="L88" s="1897"/>
      <c r="M88" s="1897"/>
      <c r="N88" s="1897"/>
      <c r="O88" s="1897"/>
      <c r="P88" s="1897"/>
      <c r="Q88" s="1897"/>
      <c r="R88" s="1897"/>
      <c r="S88" s="1897"/>
      <c r="T88" s="1897"/>
      <c r="U88" s="1897"/>
      <c r="V88" s="1897"/>
      <c r="W88" s="1897"/>
      <c r="X88" s="1897"/>
      <c r="Y88" s="1897"/>
      <c r="Z88" s="1897"/>
      <c r="AA88" s="1897"/>
      <c r="AB88" s="1897"/>
      <c r="AC88" s="1897"/>
      <c r="AD88" s="1897"/>
      <c r="AE88" s="1897"/>
    </row>
    <row r="89" spans="1:32" s="984" customFormat="1" ht="14.25" x14ac:dyDescent="0.2">
      <c r="B89" s="1366"/>
      <c r="C89" s="1897"/>
      <c r="D89" s="1897"/>
      <c r="E89" s="1897"/>
      <c r="F89" s="1897"/>
      <c r="G89" s="1897"/>
      <c r="H89" s="1897"/>
      <c r="I89" s="1897"/>
      <c r="J89" s="1897"/>
      <c r="K89" s="1897"/>
      <c r="L89" s="1897"/>
      <c r="M89" s="1897"/>
      <c r="N89" s="1897"/>
      <c r="O89" s="1897"/>
      <c r="P89" s="1897"/>
      <c r="Q89" s="1897"/>
      <c r="R89" s="1897"/>
      <c r="S89" s="1897"/>
      <c r="T89" s="1897"/>
      <c r="U89" s="1897"/>
      <c r="V89" s="1897"/>
      <c r="W89" s="1897"/>
      <c r="X89" s="1897"/>
      <c r="Y89" s="1897"/>
      <c r="Z89" s="1897"/>
      <c r="AA89" s="1897"/>
      <c r="AB89" s="1897"/>
      <c r="AC89" s="1897"/>
      <c r="AD89" s="1897"/>
      <c r="AE89" s="1897"/>
    </row>
    <row r="90" spans="1:32" s="984" customFormat="1" ht="14.25" x14ac:dyDescent="0.2">
      <c r="B90" s="1366"/>
      <c r="C90" s="1897"/>
      <c r="D90" s="1897"/>
      <c r="E90" s="1897"/>
      <c r="F90" s="1897"/>
      <c r="G90" s="1897"/>
      <c r="H90" s="1897"/>
      <c r="I90" s="1897"/>
      <c r="J90" s="1897"/>
      <c r="K90" s="1897"/>
      <c r="L90" s="1897"/>
      <c r="M90" s="1897"/>
      <c r="N90" s="1897"/>
      <c r="O90" s="1897"/>
      <c r="P90" s="1897"/>
      <c r="Q90" s="1897"/>
      <c r="R90" s="1897"/>
      <c r="S90" s="1897"/>
      <c r="T90" s="1897"/>
      <c r="U90" s="1897"/>
      <c r="V90" s="1897"/>
      <c r="W90" s="1897"/>
      <c r="X90" s="1897"/>
      <c r="Y90" s="1897"/>
      <c r="Z90" s="1897"/>
      <c r="AA90" s="1897"/>
      <c r="AB90" s="1897"/>
      <c r="AC90" s="1897"/>
      <c r="AD90" s="1897"/>
      <c r="AE90" s="1897"/>
    </row>
    <row r="91" spans="1:32" s="984" customFormat="1" ht="14.25" x14ac:dyDescent="0.2">
      <c r="B91" s="1366"/>
      <c r="C91" s="1897"/>
      <c r="D91" s="1897"/>
      <c r="E91" s="1897"/>
      <c r="F91" s="1897"/>
      <c r="G91" s="1897"/>
      <c r="H91" s="1897"/>
      <c r="I91" s="1897"/>
      <c r="J91" s="1897"/>
      <c r="K91" s="1897"/>
      <c r="L91" s="1897"/>
      <c r="M91" s="1897"/>
      <c r="N91" s="1897"/>
      <c r="O91" s="1897"/>
      <c r="P91" s="1897"/>
      <c r="Q91" s="1897"/>
      <c r="R91" s="1897"/>
      <c r="S91" s="1897"/>
      <c r="T91" s="1897"/>
      <c r="U91" s="1897"/>
      <c r="V91" s="1897"/>
      <c r="W91" s="1897"/>
      <c r="X91" s="1897"/>
      <c r="Y91" s="1897"/>
      <c r="Z91" s="1897"/>
      <c r="AA91" s="1897"/>
      <c r="AB91" s="1897"/>
      <c r="AC91" s="1897"/>
      <c r="AD91" s="1897"/>
      <c r="AE91" s="1897"/>
    </row>
    <row r="92" spans="1:32" s="984" customFormat="1" ht="14.25" x14ac:dyDescent="0.2">
      <c r="B92" s="1366"/>
      <c r="C92" s="2034"/>
      <c r="D92" s="2034"/>
      <c r="E92" s="2034"/>
      <c r="F92" s="2034"/>
      <c r="G92" s="2034"/>
      <c r="H92" s="2034"/>
      <c r="I92" s="2034"/>
      <c r="J92" s="2034"/>
      <c r="K92" s="2034"/>
      <c r="L92" s="2034"/>
      <c r="M92" s="2034"/>
      <c r="N92" s="2034"/>
      <c r="O92" s="2034"/>
      <c r="P92" s="2034"/>
      <c r="Q92" s="2034"/>
      <c r="R92" s="2034"/>
      <c r="S92" s="2034"/>
      <c r="T92" s="2034"/>
      <c r="U92" s="2034"/>
      <c r="V92" s="2034"/>
      <c r="W92" s="2034"/>
      <c r="X92" s="2034"/>
      <c r="Y92" s="2034"/>
      <c r="Z92" s="2034"/>
      <c r="AA92" s="2034"/>
      <c r="AB92" s="2034"/>
      <c r="AC92" s="1897"/>
      <c r="AD92" s="1897"/>
      <c r="AE92" s="2034"/>
    </row>
    <row r="93" spans="1:32" s="984" customFormat="1" ht="14.25" x14ac:dyDescent="0.2">
      <c r="B93" s="1366"/>
      <c r="C93" s="1897"/>
      <c r="D93" s="1897"/>
      <c r="E93" s="1897"/>
      <c r="F93" s="1897"/>
      <c r="G93" s="1897"/>
      <c r="H93" s="1897"/>
      <c r="I93" s="1897"/>
      <c r="J93" s="1897"/>
      <c r="K93" s="1897"/>
      <c r="L93" s="1897"/>
      <c r="M93" s="1897"/>
      <c r="N93" s="1897"/>
      <c r="O93" s="1897"/>
      <c r="P93" s="1897"/>
      <c r="Q93" s="1897"/>
      <c r="R93" s="1897"/>
      <c r="S93" s="1897"/>
      <c r="T93" s="1897"/>
      <c r="U93" s="1897"/>
      <c r="V93" s="1897"/>
      <c r="W93" s="1897"/>
      <c r="X93" s="1897"/>
      <c r="Y93" s="1897"/>
      <c r="Z93" s="1897"/>
      <c r="AA93" s="1897"/>
      <c r="AB93" s="1897"/>
      <c r="AC93" s="1897"/>
      <c r="AD93" s="1897"/>
      <c r="AE93" s="1897"/>
    </row>
    <row r="94" spans="1:32" s="984" customFormat="1" ht="14.25" x14ac:dyDescent="0.2">
      <c r="B94" s="1366"/>
      <c r="C94" s="1897"/>
      <c r="D94" s="1897"/>
      <c r="E94" s="1897"/>
      <c r="F94" s="1897"/>
      <c r="G94" s="1897"/>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row>
    <row r="95" spans="1:32" s="984" customFormat="1" x14ac:dyDescent="0.2">
      <c r="A95" s="970"/>
      <c r="B95" s="1365"/>
      <c r="C95" s="1365"/>
    </row>
    <row r="96" spans="1:32" s="984" customFormat="1" x14ac:dyDescent="0.2">
      <c r="A96" s="970"/>
      <c r="B96" s="1365"/>
      <c r="C96" s="1365"/>
    </row>
    <row r="97" spans="1:3" s="984" customFormat="1" x14ac:dyDescent="0.2">
      <c r="A97" s="970"/>
      <c r="B97" s="1365"/>
      <c r="C97" s="1365"/>
    </row>
  </sheetData>
  <mergeCells count="32">
    <mergeCell ref="Y55:Z55"/>
    <mergeCell ref="AA55:AB55"/>
    <mergeCell ref="D33:V33"/>
    <mergeCell ref="C40:D40"/>
    <mergeCell ref="E40:F40"/>
    <mergeCell ref="G40:H40"/>
    <mergeCell ref="I40:J40"/>
    <mergeCell ref="K40:L40"/>
    <mergeCell ref="M40:N40"/>
    <mergeCell ref="O40:R40"/>
    <mergeCell ref="S40:T40"/>
    <mergeCell ref="U40:V40"/>
    <mergeCell ref="M55:N55"/>
    <mergeCell ref="O55:R55"/>
    <mergeCell ref="S55:T55"/>
    <mergeCell ref="U55:V55"/>
    <mergeCell ref="W55:X55"/>
    <mergeCell ref="C55:D55"/>
    <mergeCell ref="E55:F55"/>
    <mergeCell ref="G55:H55"/>
    <mergeCell ref="I55:J55"/>
    <mergeCell ref="K55:L55"/>
    <mergeCell ref="D2:V2"/>
    <mergeCell ref="D4:V4"/>
    <mergeCell ref="W40:X40"/>
    <mergeCell ref="Y40:Z40"/>
    <mergeCell ref="AA40:AB40"/>
    <mergeCell ref="D32:V32"/>
    <mergeCell ref="D3:V3"/>
    <mergeCell ref="D5:V5"/>
    <mergeCell ref="D30:V30"/>
    <mergeCell ref="D31:V31"/>
  </mergeCells>
  <pageMargins left="0.74803149606299213" right="0.74803149606299213" top="0.98425196850393704" bottom="0.98425196850393704" header="0.51181102362204722" footer="0.51181102362204722"/>
  <pageSetup paperSize="9" scale="6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E61"/>
  <sheetViews>
    <sheetView showGridLines="0" view="pageBreakPreview" topLeftCell="H1" zoomScaleNormal="100" zoomScaleSheetLayoutView="100" workbookViewId="0">
      <selection activeCell="D14" sqref="D14"/>
    </sheetView>
  </sheetViews>
  <sheetFormatPr defaultColWidth="9.140625" defaultRowHeight="15" x14ac:dyDescent="0.2"/>
  <cols>
    <col min="1" max="1" width="3.7109375" style="965" customWidth="1"/>
    <col min="2" max="2" width="14.42578125" style="1277" customWidth="1"/>
    <col min="3" max="3" width="3.7109375" style="1277" customWidth="1"/>
    <col min="4" max="4" width="21.42578125" style="964" customWidth="1"/>
    <col min="5" max="17" width="7.28515625" style="964" customWidth="1"/>
    <col min="18" max="19" width="8" style="964" customWidth="1"/>
    <col min="20" max="20" width="9.140625" style="964" customWidth="1"/>
    <col min="21" max="24" width="9.42578125" style="964" customWidth="1"/>
    <col min="25" max="259" width="9.140625" style="964"/>
    <col min="260" max="260" width="3.7109375" style="964" customWidth="1"/>
    <col min="261" max="261" width="14.42578125" style="964" customWidth="1"/>
    <col min="262" max="262" width="3.7109375" style="964" customWidth="1"/>
    <col min="263" max="263" width="21.42578125" style="964" customWidth="1"/>
    <col min="264" max="276" width="7.28515625" style="964" customWidth="1"/>
    <col min="277" max="278" width="8" style="964" customWidth="1"/>
    <col min="279" max="279" width="9.140625" style="964" customWidth="1"/>
    <col min="280" max="280" width="9.42578125" style="964" customWidth="1"/>
    <col min="281" max="515" width="9.140625" style="964"/>
    <col min="516" max="516" width="3.7109375" style="964" customWidth="1"/>
    <col min="517" max="517" width="14.42578125" style="964" customWidth="1"/>
    <col min="518" max="518" width="3.7109375" style="964" customWidth="1"/>
    <col min="519" max="519" width="21.42578125" style="964" customWidth="1"/>
    <col min="520" max="532" width="7.28515625" style="964" customWidth="1"/>
    <col min="533" max="534" width="8" style="964" customWidth="1"/>
    <col min="535" max="535" width="9.140625" style="964" customWidth="1"/>
    <col min="536" max="536" width="9.42578125" style="964" customWidth="1"/>
    <col min="537" max="771" width="9.140625" style="964"/>
    <col min="772" max="772" width="3.7109375" style="964" customWidth="1"/>
    <col min="773" max="773" width="14.42578125" style="964" customWidth="1"/>
    <col min="774" max="774" width="3.7109375" style="964" customWidth="1"/>
    <col min="775" max="775" width="21.42578125" style="964" customWidth="1"/>
    <col min="776" max="788" width="7.28515625" style="964" customWidth="1"/>
    <col min="789" max="790" width="8" style="964" customWidth="1"/>
    <col min="791" max="791" width="9.140625" style="964" customWidth="1"/>
    <col min="792" max="792" width="9.42578125" style="964" customWidth="1"/>
    <col min="793" max="1027" width="9.140625" style="964"/>
    <col min="1028" max="1028" width="3.7109375" style="964" customWidth="1"/>
    <col min="1029" max="1029" width="14.42578125" style="964" customWidth="1"/>
    <col min="1030" max="1030" width="3.7109375" style="964" customWidth="1"/>
    <col min="1031" max="1031" width="21.42578125" style="964" customWidth="1"/>
    <col min="1032" max="1044" width="7.28515625" style="964" customWidth="1"/>
    <col min="1045" max="1046" width="8" style="964" customWidth="1"/>
    <col min="1047" max="1047" width="9.140625" style="964" customWidth="1"/>
    <col min="1048" max="1048" width="9.42578125" style="964" customWidth="1"/>
    <col min="1049" max="1283" width="9.140625" style="964"/>
    <col min="1284" max="1284" width="3.7109375" style="964" customWidth="1"/>
    <col min="1285" max="1285" width="14.42578125" style="964" customWidth="1"/>
    <col min="1286" max="1286" width="3.7109375" style="964" customWidth="1"/>
    <col min="1287" max="1287" width="21.42578125" style="964" customWidth="1"/>
    <col min="1288" max="1300" width="7.28515625" style="964" customWidth="1"/>
    <col min="1301" max="1302" width="8" style="964" customWidth="1"/>
    <col min="1303" max="1303" width="9.140625" style="964" customWidth="1"/>
    <col min="1304" max="1304" width="9.42578125" style="964" customWidth="1"/>
    <col min="1305" max="1539" width="9.140625" style="964"/>
    <col min="1540" max="1540" width="3.7109375" style="964" customWidth="1"/>
    <col min="1541" max="1541" width="14.42578125" style="964" customWidth="1"/>
    <col min="1542" max="1542" width="3.7109375" style="964" customWidth="1"/>
    <col min="1543" max="1543" width="21.42578125" style="964" customWidth="1"/>
    <col min="1544" max="1556" width="7.28515625" style="964" customWidth="1"/>
    <col min="1557" max="1558" width="8" style="964" customWidth="1"/>
    <col min="1559" max="1559" width="9.140625" style="964" customWidth="1"/>
    <col min="1560" max="1560" width="9.42578125" style="964" customWidth="1"/>
    <col min="1561" max="1795" width="9.140625" style="964"/>
    <col min="1796" max="1796" width="3.7109375" style="964" customWidth="1"/>
    <col min="1797" max="1797" width="14.42578125" style="964" customWidth="1"/>
    <col min="1798" max="1798" width="3.7109375" style="964" customWidth="1"/>
    <col min="1799" max="1799" width="21.42578125" style="964" customWidth="1"/>
    <col min="1800" max="1812" width="7.28515625" style="964" customWidth="1"/>
    <col min="1813" max="1814" width="8" style="964" customWidth="1"/>
    <col min="1815" max="1815" width="9.140625" style="964" customWidth="1"/>
    <col min="1816" max="1816" width="9.42578125" style="964" customWidth="1"/>
    <col min="1817" max="2051" width="9.140625" style="964"/>
    <col min="2052" max="2052" width="3.7109375" style="964" customWidth="1"/>
    <col min="2053" max="2053" width="14.42578125" style="964" customWidth="1"/>
    <col min="2054" max="2054" width="3.7109375" style="964" customWidth="1"/>
    <col min="2055" max="2055" width="21.42578125" style="964" customWidth="1"/>
    <col min="2056" max="2068" width="7.28515625" style="964" customWidth="1"/>
    <col min="2069" max="2070" width="8" style="964" customWidth="1"/>
    <col min="2071" max="2071" width="9.140625" style="964" customWidth="1"/>
    <col min="2072" max="2072" width="9.42578125" style="964" customWidth="1"/>
    <col min="2073" max="2307" width="9.140625" style="964"/>
    <col min="2308" max="2308" width="3.7109375" style="964" customWidth="1"/>
    <col min="2309" max="2309" width="14.42578125" style="964" customWidth="1"/>
    <col min="2310" max="2310" width="3.7109375" style="964" customWidth="1"/>
    <col min="2311" max="2311" width="21.42578125" style="964" customWidth="1"/>
    <col min="2312" max="2324" width="7.28515625" style="964" customWidth="1"/>
    <col min="2325" max="2326" width="8" style="964" customWidth="1"/>
    <col min="2327" max="2327" width="9.140625" style="964" customWidth="1"/>
    <col min="2328" max="2328" width="9.42578125" style="964" customWidth="1"/>
    <col min="2329" max="2563" width="9.140625" style="964"/>
    <col min="2564" max="2564" width="3.7109375" style="964" customWidth="1"/>
    <col min="2565" max="2565" width="14.42578125" style="964" customWidth="1"/>
    <col min="2566" max="2566" width="3.7109375" style="964" customWidth="1"/>
    <col min="2567" max="2567" width="21.42578125" style="964" customWidth="1"/>
    <col min="2568" max="2580" width="7.28515625" style="964" customWidth="1"/>
    <col min="2581" max="2582" width="8" style="964" customWidth="1"/>
    <col min="2583" max="2583" width="9.140625" style="964" customWidth="1"/>
    <col min="2584" max="2584" width="9.42578125" style="964" customWidth="1"/>
    <col min="2585" max="2819" width="9.140625" style="964"/>
    <col min="2820" max="2820" width="3.7109375" style="964" customWidth="1"/>
    <col min="2821" max="2821" width="14.42578125" style="964" customWidth="1"/>
    <col min="2822" max="2822" width="3.7109375" style="964" customWidth="1"/>
    <col min="2823" max="2823" width="21.42578125" style="964" customWidth="1"/>
    <col min="2824" max="2836" width="7.28515625" style="964" customWidth="1"/>
    <col min="2837" max="2838" width="8" style="964" customWidth="1"/>
    <col min="2839" max="2839" width="9.140625" style="964" customWidth="1"/>
    <col min="2840" max="2840" width="9.42578125" style="964" customWidth="1"/>
    <col min="2841" max="3075" width="9.140625" style="964"/>
    <col min="3076" max="3076" width="3.7109375" style="964" customWidth="1"/>
    <col min="3077" max="3077" width="14.42578125" style="964" customWidth="1"/>
    <col min="3078" max="3078" width="3.7109375" style="964" customWidth="1"/>
    <col min="3079" max="3079" width="21.42578125" style="964" customWidth="1"/>
    <col min="3080" max="3092" width="7.28515625" style="964" customWidth="1"/>
    <col min="3093" max="3094" width="8" style="964" customWidth="1"/>
    <col min="3095" max="3095" width="9.140625" style="964" customWidth="1"/>
    <col min="3096" max="3096" width="9.42578125" style="964" customWidth="1"/>
    <col min="3097" max="3331" width="9.140625" style="964"/>
    <col min="3332" max="3332" width="3.7109375" style="964" customWidth="1"/>
    <col min="3333" max="3333" width="14.42578125" style="964" customWidth="1"/>
    <col min="3334" max="3334" width="3.7109375" style="964" customWidth="1"/>
    <col min="3335" max="3335" width="21.42578125" style="964" customWidth="1"/>
    <col min="3336" max="3348" width="7.28515625" style="964" customWidth="1"/>
    <col min="3349" max="3350" width="8" style="964" customWidth="1"/>
    <col min="3351" max="3351" width="9.140625" style="964" customWidth="1"/>
    <col min="3352" max="3352" width="9.42578125" style="964" customWidth="1"/>
    <col min="3353" max="3587" width="9.140625" style="964"/>
    <col min="3588" max="3588" width="3.7109375" style="964" customWidth="1"/>
    <col min="3589" max="3589" width="14.42578125" style="964" customWidth="1"/>
    <col min="3590" max="3590" width="3.7109375" style="964" customWidth="1"/>
    <col min="3591" max="3591" width="21.42578125" style="964" customWidth="1"/>
    <col min="3592" max="3604" width="7.28515625" style="964" customWidth="1"/>
    <col min="3605" max="3606" width="8" style="964" customWidth="1"/>
    <col min="3607" max="3607" width="9.140625" style="964" customWidth="1"/>
    <col min="3608" max="3608" width="9.42578125" style="964" customWidth="1"/>
    <col min="3609" max="3843" width="9.140625" style="964"/>
    <col min="3844" max="3844" width="3.7109375" style="964" customWidth="1"/>
    <col min="3845" max="3845" width="14.42578125" style="964" customWidth="1"/>
    <col min="3846" max="3846" width="3.7109375" style="964" customWidth="1"/>
    <col min="3847" max="3847" width="21.42578125" style="964" customWidth="1"/>
    <col min="3848" max="3860" width="7.28515625" style="964" customWidth="1"/>
    <col min="3861" max="3862" width="8" style="964" customWidth="1"/>
    <col min="3863" max="3863" width="9.140625" style="964" customWidth="1"/>
    <col min="3864" max="3864" width="9.42578125" style="964" customWidth="1"/>
    <col min="3865" max="4099" width="9.140625" style="964"/>
    <col min="4100" max="4100" width="3.7109375" style="964" customWidth="1"/>
    <col min="4101" max="4101" width="14.42578125" style="964" customWidth="1"/>
    <col min="4102" max="4102" width="3.7109375" style="964" customWidth="1"/>
    <col min="4103" max="4103" width="21.42578125" style="964" customWidth="1"/>
    <col min="4104" max="4116" width="7.28515625" style="964" customWidth="1"/>
    <col min="4117" max="4118" width="8" style="964" customWidth="1"/>
    <col min="4119" max="4119" width="9.140625" style="964" customWidth="1"/>
    <col min="4120" max="4120" width="9.42578125" style="964" customWidth="1"/>
    <col min="4121" max="4355" width="9.140625" style="964"/>
    <col min="4356" max="4356" width="3.7109375" style="964" customWidth="1"/>
    <col min="4357" max="4357" width="14.42578125" style="964" customWidth="1"/>
    <col min="4358" max="4358" width="3.7109375" style="964" customWidth="1"/>
    <col min="4359" max="4359" width="21.42578125" style="964" customWidth="1"/>
    <col min="4360" max="4372" width="7.28515625" style="964" customWidth="1"/>
    <col min="4373" max="4374" width="8" style="964" customWidth="1"/>
    <col min="4375" max="4375" width="9.140625" style="964" customWidth="1"/>
    <col min="4376" max="4376" width="9.42578125" style="964" customWidth="1"/>
    <col min="4377" max="4611" width="9.140625" style="964"/>
    <col min="4612" max="4612" width="3.7109375" style="964" customWidth="1"/>
    <col min="4613" max="4613" width="14.42578125" style="964" customWidth="1"/>
    <col min="4614" max="4614" width="3.7109375" style="964" customWidth="1"/>
    <col min="4615" max="4615" width="21.42578125" style="964" customWidth="1"/>
    <col min="4616" max="4628" width="7.28515625" style="964" customWidth="1"/>
    <col min="4629" max="4630" width="8" style="964" customWidth="1"/>
    <col min="4631" max="4631" width="9.140625" style="964" customWidth="1"/>
    <col min="4632" max="4632" width="9.42578125" style="964" customWidth="1"/>
    <col min="4633" max="4867" width="9.140625" style="964"/>
    <col min="4868" max="4868" width="3.7109375" style="964" customWidth="1"/>
    <col min="4869" max="4869" width="14.42578125" style="964" customWidth="1"/>
    <col min="4870" max="4870" width="3.7109375" style="964" customWidth="1"/>
    <col min="4871" max="4871" width="21.42578125" style="964" customWidth="1"/>
    <col min="4872" max="4884" width="7.28515625" style="964" customWidth="1"/>
    <col min="4885" max="4886" width="8" style="964" customWidth="1"/>
    <col min="4887" max="4887" width="9.140625" style="964" customWidth="1"/>
    <col min="4888" max="4888" width="9.42578125" style="964" customWidth="1"/>
    <col min="4889" max="5123" width="9.140625" style="964"/>
    <col min="5124" max="5124" width="3.7109375" style="964" customWidth="1"/>
    <col min="5125" max="5125" width="14.42578125" style="964" customWidth="1"/>
    <col min="5126" max="5126" width="3.7109375" style="964" customWidth="1"/>
    <col min="5127" max="5127" width="21.42578125" style="964" customWidth="1"/>
    <col min="5128" max="5140" width="7.28515625" style="964" customWidth="1"/>
    <col min="5141" max="5142" width="8" style="964" customWidth="1"/>
    <col min="5143" max="5143" width="9.140625" style="964" customWidth="1"/>
    <col min="5144" max="5144" width="9.42578125" style="964" customWidth="1"/>
    <col min="5145" max="5379" width="9.140625" style="964"/>
    <col min="5380" max="5380" width="3.7109375" style="964" customWidth="1"/>
    <col min="5381" max="5381" width="14.42578125" style="964" customWidth="1"/>
    <col min="5382" max="5382" width="3.7109375" style="964" customWidth="1"/>
    <col min="5383" max="5383" width="21.42578125" style="964" customWidth="1"/>
    <col min="5384" max="5396" width="7.28515625" style="964" customWidth="1"/>
    <col min="5397" max="5398" width="8" style="964" customWidth="1"/>
    <col min="5399" max="5399" width="9.140625" style="964" customWidth="1"/>
    <col min="5400" max="5400" width="9.42578125" style="964" customWidth="1"/>
    <col min="5401" max="5635" width="9.140625" style="964"/>
    <col min="5636" max="5636" width="3.7109375" style="964" customWidth="1"/>
    <col min="5637" max="5637" width="14.42578125" style="964" customWidth="1"/>
    <col min="5638" max="5638" width="3.7109375" style="964" customWidth="1"/>
    <col min="5639" max="5639" width="21.42578125" style="964" customWidth="1"/>
    <col min="5640" max="5652" width="7.28515625" style="964" customWidth="1"/>
    <col min="5653" max="5654" width="8" style="964" customWidth="1"/>
    <col min="5655" max="5655" width="9.140625" style="964" customWidth="1"/>
    <col min="5656" max="5656" width="9.42578125" style="964" customWidth="1"/>
    <col min="5657" max="5891" width="9.140625" style="964"/>
    <col min="5892" max="5892" width="3.7109375" style="964" customWidth="1"/>
    <col min="5893" max="5893" width="14.42578125" style="964" customWidth="1"/>
    <col min="5894" max="5894" width="3.7109375" style="964" customWidth="1"/>
    <col min="5895" max="5895" width="21.42578125" style="964" customWidth="1"/>
    <col min="5896" max="5908" width="7.28515625" style="964" customWidth="1"/>
    <col min="5909" max="5910" width="8" style="964" customWidth="1"/>
    <col min="5911" max="5911" width="9.140625" style="964" customWidth="1"/>
    <col min="5912" max="5912" width="9.42578125" style="964" customWidth="1"/>
    <col min="5913" max="6147" width="9.140625" style="964"/>
    <col min="6148" max="6148" width="3.7109375" style="964" customWidth="1"/>
    <col min="6149" max="6149" width="14.42578125" style="964" customWidth="1"/>
    <col min="6150" max="6150" width="3.7109375" style="964" customWidth="1"/>
    <col min="6151" max="6151" width="21.42578125" style="964" customWidth="1"/>
    <col min="6152" max="6164" width="7.28515625" style="964" customWidth="1"/>
    <col min="6165" max="6166" width="8" style="964" customWidth="1"/>
    <col min="6167" max="6167" width="9.140625" style="964" customWidth="1"/>
    <col min="6168" max="6168" width="9.42578125" style="964" customWidth="1"/>
    <col min="6169" max="6403" width="9.140625" style="964"/>
    <col min="6404" max="6404" width="3.7109375" style="964" customWidth="1"/>
    <col min="6405" max="6405" width="14.42578125" style="964" customWidth="1"/>
    <col min="6406" max="6406" width="3.7109375" style="964" customWidth="1"/>
    <col min="6407" max="6407" width="21.42578125" style="964" customWidth="1"/>
    <col min="6408" max="6420" width="7.28515625" style="964" customWidth="1"/>
    <col min="6421" max="6422" width="8" style="964" customWidth="1"/>
    <col min="6423" max="6423" width="9.140625" style="964" customWidth="1"/>
    <col min="6424" max="6424" width="9.42578125" style="964" customWidth="1"/>
    <col min="6425" max="6659" width="9.140625" style="964"/>
    <col min="6660" max="6660" width="3.7109375" style="964" customWidth="1"/>
    <col min="6661" max="6661" width="14.42578125" style="964" customWidth="1"/>
    <col min="6662" max="6662" width="3.7109375" style="964" customWidth="1"/>
    <col min="6663" max="6663" width="21.42578125" style="964" customWidth="1"/>
    <col min="6664" max="6676" width="7.28515625" style="964" customWidth="1"/>
    <col min="6677" max="6678" width="8" style="964" customWidth="1"/>
    <col min="6679" max="6679" width="9.140625" style="964" customWidth="1"/>
    <col min="6680" max="6680" width="9.42578125" style="964" customWidth="1"/>
    <col min="6681" max="6915" width="9.140625" style="964"/>
    <col min="6916" max="6916" width="3.7109375" style="964" customWidth="1"/>
    <col min="6917" max="6917" width="14.42578125" style="964" customWidth="1"/>
    <col min="6918" max="6918" width="3.7109375" style="964" customWidth="1"/>
    <col min="6919" max="6919" width="21.42578125" style="964" customWidth="1"/>
    <col min="6920" max="6932" width="7.28515625" style="964" customWidth="1"/>
    <col min="6933" max="6934" width="8" style="964" customWidth="1"/>
    <col min="6935" max="6935" width="9.140625" style="964" customWidth="1"/>
    <col min="6936" max="6936" width="9.42578125" style="964" customWidth="1"/>
    <col min="6937" max="7171" width="9.140625" style="964"/>
    <col min="7172" max="7172" width="3.7109375" style="964" customWidth="1"/>
    <col min="7173" max="7173" width="14.42578125" style="964" customWidth="1"/>
    <col min="7174" max="7174" width="3.7109375" style="964" customWidth="1"/>
    <col min="7175" max="7175" width="21.42578125" style="964" customWidth="1"/>
    <col min="7176" max="7188" width="7.28515625" style="964" customWidth="1"/>
    <col min="7189" max="7190" width="8" style="964" customWidth="1"/>
    <col min="7191" max="7191" width="9.140625" style="964" customWidth="1"/>
    <col min="7192" max="7192" width="9.42578125" style="964" customWidth="1"/>
    <col min="7193" max="7427" width="9.140625" style="964"/>
    <col min="7428" max="7428" width="3.7109375" style="964" customWidth="1"/>
    <col min="7429" max="7429" width="14.42578125" style="964" customWidth="1"/>
    <col min="7430" max="7430" width="3.7109375" style="964" customWidth="1"/>
    <col min="7431" max="7431" width="21.42578125" style="964" customWidth="1"/>
    <col min="7432" max="7444" width="7.28515625" style="964" customWidth="1"/>
    <col min="7445" max="7446" width="8" style="964" customWidth="1"/>
    <col min="7447" max="7447" width="9.140625" style="964" customWidth="1"/>
    <col min="7448" max="7448" width="9.42578125" style="964" customWidth="1"/>
    <col min="7449" max="7683" width="9.140625" style="964"/>
    <col min="7684" max="7684" width="3.7109375" style="964" customWidth="1"/>
    <col min="7685" max="7685" width="14.42578125" style="964" customWidth="1"/>
    <col min="7686" max="7686" width="3.7109375" style="964" customWidth="1"/>
    <col min="7687" max="7687" width="21.42578125" style="964" customWidth="1"/>
    <col min="7688" max="7700" width="7.28515625" style="964" customWidth="1"/>
    <col min="7701" max="7702" width="8" style="964" customWidth="1"/>
    <col min="7703" max="7703" width="9.140625" style="964" customWidth="1"/>
    <col min="7704" max="7704" width="9.42578125" style="964" customWidth="1"/>
    <col min="7705" max="7939" width="9.140625" style="964"/>
    <col min="7940" max="7940" width="3.7109375" style="964" customWidth="1"/>
    <col min="7941" max="7941" width="14.42578125" style="964" customWidth="1"/>
    <col min="7942" max="7942" width="3.7109375" style="964" customWidth="1"/>
    <col min="7943" max="7943" width="21.42578125" style="964" customWidth="1"/>
    <col min="7944" max="7956" width="7.28515625" style="964" customWidth="1"/>
    <col min="7957" max="7958" width="8" style="964" customWidth="1"/>
    <col min="7959" max="7959" width="9.140625" style="964" customWidth="1"/>
    <col min="7960" max="7960" width="9.42578125" style="964" customWidth="1"/>
    <col min="7961" max="8195" width="9.140625" style="964"/>
    <col min="8196" max="8196" width="3.7109375" style="964" customWidth="1"/>
    <col min="8197" max="8197" width="14.42578125" style="964" customWidth="1"/>
    <col min="8198" max="8198" width="3.7109375" style="964" customWidth="1"/>
    <col min="8199" max="8199" width="21.42578125" style="964" customWidth="1"/>
    <col min="8200" max="8212" width="7.28515625" style="964" customWidth="1"/>
    <col min="8213" max="8214" width="8" style="964" customWidth="1"/>
    <col min="8215" max="8215" width="9.140625" style="964" customWidth="1"/>
    <col min="8216" max="8216" width="9.42578125" style="964" customWidth="1"/>
    <col min="8217" max="8451" width="9.140625" style="964"/>
    <col min="8452" max="8452" width="3.7109375" style="964" customWidth="1"/>
    <col min="8453" max="8453" width="14.42578125" style="964" customWidth="1"/>
    <col min="8454" max="8454" width="3.7109375" style="964" customWidth="1"/>
    <col min="8455" max="8455" width="21.42578125" style="964" customWidth="1"/>
    <col min="8456" max="8468" width="7.28515625" style="964" customWidth="1"/>
    <col min="8469" max="8470" width="8" style="964" customWidth="1"/>
    <col min="8471" max="8471" width="9.140625" style="964" customWidth="1"/>
    <col min="8472" max="8472" width="9.42578125" style="964" customWidth="1"/>
    <col min="8473" max="8707" width="9.140625" style="964"/>
    <col min="8708" max="8708" width="3.7109375" style="964" customWidth="1"/>
    <col min="8709" max="8709" width="14.42578125" style="964" customWidth="1"/>
    <col min="8710" max="8710" width="3.7109375" style="964" customWidth="1"/>
    <col min="8711" max="8711" width="21.42578125" style="964" customWidth="1"/>
    <col min="8712" max="8724" width="7.28515625" style="964" customWidth="1"/>
    <col min="8725" max="8726" width="8" style="964" customWidth="1"/>
    <col min="8727" max="8727" width="9.140625" style="964" customWidth="1"/>
    <col min="8728" max="8728" width="9.42578125" style="964" customWidth="1"/>
    <col min="8729" max="8963" width="9.140625" style="964"/>
    <col min="8964" max="8964" width="3.7109375" style="964" customWidth="1"/>
    <col min="8965" max="8965" width="14.42578125" style="964" customWidth="1"/>
    <col min="8966" max="8966" width="3.7109375" style="964" customWidth="1"/>
    <col min="8967" max="8967" width="21.42578125" style="964" customWidth="1"/>
    <col min="8968" max="8980" width="7.28515625" style="964" customWidth="1"/>
    <col min="8981" max="8982" width="8" style="964" customWidth="1"/>
    <col min="8983" max="8983" width="9.140625" style="964" customWidth="1"/>
    <col min="8984" max="8984" width="9.42578125" style="964" customWidth="1"/>
    <col min="8985" max="9219" width="9.140625" style="964"/>
    <col min="9220" max="9220" width="3.7109375" style="964" customWidth="1"/>
    <col min="9221" max="9221" width="14.42578125" style="964" customWidth="1"/>
    <col min="9222" max="9222" width="3.7109375" style="964" customWidth="1"/>
    <col min="9223" max="9223" width="21.42578125" style="964" customWidth="1"/>
    <col min="9224" max="9236" width="7.28515625" style="964" customWidth="1"/>
    <col min="9237" max="9238" width="8" style="964" customWidth="1"/>
    <col min="9239" max="9239" width="9.140625" style="964" customWidth="1"/>
    <col min="9240" max="9240" width="9.42578125" style="964" customWidth="1"/>
    <col min="9241" max="9475" width="9.140625" style="964"/>
    <col min="9476" max="9476" width="3.7109375" style="964" customWidth="1"/>
    <col min="9477" max="9477" width="14.42578125" style="964" customWidth="1"/>
    <col min="9478" max="9478" width="3.7109375" style="964" customWidth="1"/>
    <col min="9479" max="9479" width="21.42578125" style="964" customWidth="1"/>
    <col min="9480" max="9492" width="7.28515625" style="964" customWidth="1"/>
    <col min="9493" max="9494" width="8" style="964" customWidth="1"/>
    <col min="9495" max="9495" width="9.140625" style="964" customWidth="1"/>
    <col min="9496" max="9496" width="9.42578125" style="964" customWidth="1"/>
    <col min="9497" max="9731" width="9.140625" style="964"/>
    <col min="9732" max="9732" width="3.7109375" style="964" customWidth="1"/>
    <col min="9733" max="9733" width="14.42578125" style="964" customWidth="1"/>
    <col min="9734" max="9734" width="3.7109375" style="964" customWidth="1"/>
    <col min="9735" max="9735" width="21.42578125" style="964" customWidth="1"/>
    <col min="9736" max="9748" width="7.28515625" style="964" customWidth="1"/>
    <col min="9749" max="9750" width="8" style="964" customWidth="1"/>
    <col min="9751" max="9751" width="9.140625" style="964" customWidth="1"/>
    <col min="9752" max="9752" width="9.42578125" style="964" customWidth="1"/>
    <col min="9753" max="9987" width="9.140625" style="964"/>
    <col min="9988" max="9988" width="3.7109375" style="964" customWidth="1"/>
    <col min="9989" max="9989" width="14.42578125" style="964" customWidth="1"/>
    <col min="9990" max="9990" width="3.7109375" style="964" customWidth="1"/>
    <col min="9991" max="9991" width="21.42578125" style="964" customWidth="1"/>
    <col min="9992" max="10004" width="7.28515625" style="964" customWidth="1"/>
    <col min="10005" max="10006" width="8" style="964" customWidth="1"/>
    <col min="10007" max="10007" width="9.140625" style="964" customWidth="1"/>
    <col min="10008" max="10008" width="9.42578125" style="964" customWidth="1"/>
    <col min="10009" max="10243" width="9.140625" style="964"/>
    <col min="10244" max="10244" width="3.7109375" style="964" customWidth="1"/>
    <col min="10245" max="10245" width="14.42578125" style="964" customWidth="1"/>
    <col min="10246" max="10246" width="3.7109375" style="964" customWidth="1"/>
    <col min="10247" max="10247" width="21.42578125" style="964" customWidth="1"/>
    <col min="10248" max="10260" width="7.28515625" style="964" customWidth="1"/>
    <col min="10261" max="10262" width="8" style="964" customWidth="1"/>
    <col min="10263" max="10263" width="9.140625" style="964" customWidth="1"/>
    <col min="10264" max="10264" width="9.42578125" style="964" customWidth="1"/>
    <col min="10265" max="10499" width="9.140625" style="964"/>
    <col min="10500" max="10500" width="3.7109375" style="964" customWidth="1"/>
    <col min="10501" max="10501" width="14.42578125" style="964" customWidth="1"/>
    <col min="10502" max="10502" width="3.7109375" style="964" customWidth="1"/>
    <col min="10503" max="10503" width="21.42578125" style="964" customWidth="1"/>
    <col min="10504" max="10516" width="7.28515625" style="964" customWidth="1"/>
    <col min="10517" max="10518" width="8" style="964" customWidth="1"/>
    <col min="10519" max="10519" width="9.140625" style="964" customWidth="1"/>
    <col min="10520" max="10520" width="9.42578125" style="964" customWidth="1"/>
    <col min="10521" max="10755" width="9.140625" style="964"/>
    <col min="10756" max="10756" width="3.7109375" style="964" customWidth="1"/>
    <col min="10757" max="10757" width="14.42578125" style="964" customWidth="1"/>
    <col min="10758" max="10758" width="3.7109375" style="964" customWidth="1"/>
    <col min="10759" max="10759" width="21.42578125" style="964" customWidth="1"/>
    <col min="10760" max="10772" width="7.28515625" style="964" customWidth="1"/>
    <col min="10773" max="10774" width="8" style="964" customWidth="1"/>
    <col min="10775" max="10775" width="9.140625" style="964" customWidth="1"/>
    <col min="10776" max="10776" width="9.42578125" style="964" customWidth="1"/>
    <col min="10777" max="11011" width="9.140625" style="964"/>
    <col min="11012" max="11012" width="3.7109375" style="964" customWidth="1"/>
    <col min="11013" max="11013" width="14.42578125" style="964" customWidth="1"/>
    <col min="11014" max="11014" width="3.7109375" style="964" customWidth="1"/>
    <col min="11015" max="11015" width="21.42578125" style="964" customWidth="1"/>
    <col min="11016" max="11028" width="7.28515625" style="964" customWidth="1"/>
    <col min="11029" max="11030" width="8" style="964" customWidth="1"/>
    <col min="11031" max="11031" width="9.140625" style="964" customWidth="1"/>
    <col min="11032" max="11032" width="9.42578125" style="964" customWidth="1"/>
    <col min="11033" max="11267" width="9.140625" style="964"/>
    <col min="11268" max="11268" width="3.7109375" style="964" customWidth="1"/>
    <col min="11269" max="11269" width="14.42578125" style="964" customWidth="1"/>
    <col min="11270" max="11270" width="3.7109375" style="964" customWidth="1"/>
    <col min="11271" max="11271" width="21.42578125" style="964" customWidth="1"/>
    <col min="11272" max="11284" width="7.28515625" style="964" customWidth="1"/>
    <col min="11285" max="11286" width="8" style="964" customWidth="1"/>
    <col min="11287" max="11287" width="9.140625" style="964" customWidth="1"/>
    <col min="11288" max="11288" width="9.42578125" style="964" customWidth="1"/>
    <col min="11289" max="11523" width="9.140625" style="964"/>
    <col min="11524" max="11524" width="3.7109375" style="964" customWidth="1"/>
    <col min="11525" max="11525" width="14.42578125" style="964" customWidth="1"/>
    <col min="11526" max="11526" width="3.7109375" style="964" customWidth="1"/>
    <col min="11527" max="11527" width="21.42578125" style="964" customWidth="1"/>
    <col min="11528" max="11540" width="7.28515625" style="964" customWidth="1"/>
    <col min="11541" max="11542" width="8" style="964" customWidth="1"/>
    <col min="11543" max="11543" width="9.140625" style="964" customWidth="1"/>
    <col min="11544" max="11544" width="9.42578125" style="964" customWidth="1"/>
    <col min="11545" max="11779" width="9.140625" style="964"/>
    <col min="11780" max="11780" width="3.7109375" style="964" customWidth="1"/>
    <col min="11781" max="11781" width="14.42578125" style="964" customWidth="1"/>
    <col min="11782" max="11782" width="3.7109375" style="964" customWidth="1"/>
    <col min="11783" max="11783" width="21.42578125" style="964" customWidth="1"/>
    <col min="11784" max="11796" width="7.28515625" style="964" customWidth="1"/>
    <col min="11797" max="11798" width="8" style="964" customWidth="1"/>
    <col min="11799" max="11799" width="9.140625" style="964" customWidth="1"/>
    <col min="11800" max="11800" width="9.42578125" style="964" customWidth="1"/>
    <col min="11801" max="12035" width="9.140625" style="964"/>
    <col min="12036" max="12036" width="3.7109375" style="964" customWidth="1"/>
    <col min="12037" max="12037" width="14.42578125" style="964" customWidth="1"/>
    <col min="12038" max="12038" width="3.7109375" style="964" customWidth="1"/>
    <col min="12039" max="12039" width="21.42578125" style="964" customWidth="1"/>
    <col min="12040" max="12052" width="7.28515625" style="964" customWidth="1"/>
    <col min="12053" max="12054" width="8" style="964" customWidth="1"/>
    <col min="12055" max="12055" width="9.140625" style="964" customWidth="1"/>
    <col min="12056" max="12056" width="9.42578125" style="964" customWidth="1"/>
    <col min="12057" max="12291" width="9.140625" style="964"/>
    <col min="12292" max="12292" width="3.7109375" style="964" customWidth="1"/>
    <col min="12293" max="12293" width="14.42578125" style="964" customWidth="1"/>
    <col min="12294" max="12294" width="3.7109375" style="964" customWidth="1"/>
    <col min="12295" max="12295" width="21.42578125" style="964" customWidth="1"/>
    <col min="12296" max="12308" width="7.28515625" style="964" customWidth="1"/>
    <col min="12309" max="12310" width="8" style="964" customWidth="1"/>
    <col min="12311" max="12311" width="9.140625" style="964" customWidth="1"/>
    <col min="12312" max="12312" width="9.42578125" style="964" customWidth="1"/>
    <col min="12313" max="12547" width="9.140625" style="964"/>
    <col min="12548" max="12548" width="3.7109375" style="964" customWidth="1"/>
    <col min="12549" max="12549" width="14.42578125" style="964" customWidth="1"/>
    <col min="12550" max="12550" width="3.7109375" style="964" customWidth="1"/>
    <col min="12551" max="12551" width="21.42578125" style="964" customWidth="1"/>
    <col min="12552" max="12564" width="7.28515625" style="964" customWidth="1"/>
    <col min="12565" max="12566" width="8" style="964" customWidth="1"/>
    <col min="12567" max="12567" width="9.140625" style="964" customWidth="1"/>
    <col min="12568" max="12568" width="9.42578125" style="964" customWidth="1"/>
    <col min="12569" max="12803" width="9.140625" style="964"/>
    <col min="12804" max="12804" width="3.7109375" style="964" customWidth="1"/>
    <col min="12805" max="12805" width="14.42578125" style="964" customWidth="1"/>
    <col min="12806" max="12806" width="3.7109375" style="964" customWidth="1"/>
    <col min="12807" max="12807" width="21.42578125" style="964" customWidth="1"/>
    <col min="12808" max="12820" width="7.28515625" style="964" customWidth="1"/>
    <col min="12821" max="12822" width="8" style="964" customWidth="1"/>
    <col min="12823" max="12823" width="9.140625" style="964" customWidth="1"/>
    <col min="12824" max="12824" width="9.42578125" style="964" customWidth="1"/>
    <col min="12825" max="13059" width="9.140625" style="964"/>
    <col min="13060" max="13060" width="3.7109375" style="964" customWidth="1"/>
    <col min="13061" max="13061" width="14.42578125" style="964" customWidth="1"/>
    <col min="13062" max="13062" width="3.7109375" style="964" customWidth="1"/>
    <col min="13063" max="13063" width="21.42578125" style="964" customWidth="1"/>
    <col min="13064" max="13076" width="7.28515625" style="964" customWidth="1"/>
    <col min="13077" max="13078" width="8" style="964" customWidth="1"/>
    <col min="13079" max="13079" width="9.140625" style="964" customWidth="1"/>
    <col min="13080" max="13080" width="9.42578125" style="964" customWidth="1"/>
    <col min="13081" max="13315" width="9.140625" style="964"/>
    <col min="13316" max="13316" width="3.7109375" style="964" customWidth="1"/>
    <col min="13317" max="13317" width="14.42578125" style="964" customWidth="1"/>
    <col min="13318" max="13318" width="3.7109375" style="964" customWidth="1"/>
    <col min="13319" max="13319" width="21.42578125" style="964" customWidth="1"/>
    <col min="13320" max="13332" width="7.28515625" style="964" customWidth="1"/>
    <col min="13333" max="13334" width="8" style="964" customWidth="1"/>
    <col min="13335" max="13335" width="9.140625" style="964" customWidth="1"/>
    <col min="13336" max="13336" width="9.42578125" style="964" customWidth="1"/>
    <col min="13337" max="13571" width="9.140625" style="964"/>
    <col min="13572" max="13572" width="3.7109375" style="964" customWidth="1"/>
    <col min="13573" max="13573" width="14.42578125" style="964" customWidth="1"/>
    <col min="13574" max="13574" width="3.7109375" style="964" customWidth="1"/>
    <col min="13575" max="13575" width="21.42578125" style="964" customWidth="1"/>
    <col min="13576" max="13588" width="7.28515625" style="964" customWidth="1"/>
    <col min="13589" max="13590" width="8" style="964" customWidth="1"/>
    <col min="13591" max="13591" width="9.140625" style="964" customWidth="1"/>
    <col min="13592" max="13592" width="9.42578125" style="964" customWidth="1"/>
    <col min="13593" max="13827" width="9.140625" style="964"/>
    <col min="13828" max="13828" width="3.7109375" style="964" customWidth="1"/>
    <col min="13829" max="13829" width="14.42578125" style="964" customWidth="1"/>
    <col min="13830" max="13830" width="3.7109375" style="964" customWidth="1"/>
    <col min="13831" max="13831" width="21.42578125" style="964" customWidth="1"/>
    <col min="13832" max="13844" width="7.28515625" style="964" customWidth="1"/>
    <col min="13845" max="13846" width="8" style="964" customWidth="1"/>
    <col min="13847" max="13847" width="9.140625" style="964" customWidth="1"/>
    <col min="13848" max="13848" width="9.42578125" style="964" customWidth="1"/>
    <col min="13849" max="14083" width="9.140625" style="964"/>
    <col min="14084" max="14084" width="3.7109375" style="964" customWidth="1"/>
    <col min="14085" max="14085" width="14.42578125" style="964" customWidth="1"/>
    <col min="14086" max="14086" width="3.7109375" style="964" customWidth="1"/>
    <col min="14087" max="14087" width="21.42578125" style="964" customWidth="1"/>
    <col min="14088" max="14100" width="7.28515625" style="964" customWidth="1"/>
    <col min="14101" max="14102" width="8" style="964" customWidth="1"/>
    <col min="14103" max="14103" width="9.140625" style="964" customWidth="1"/>
    <col min="14104" max="14104" width="9.42578125" style="964" customWidth="1"/>
    <col min="14105" max="14339" width="9.140625" style="964"/>
    <col min="14340" max="14340" width="3.7109375" style="964" customWidth="1"/>
    <col min="14341" max="14341" width="14.42578125" style="964" customWidth="1"/>
    <col min="14342" max="14342" width="3.7109375" style="964" customWidth="1"/>
    <col min="14343" max="14343" width="21.42578125" style="964" customWidth="1"/>
    <col min="14344" max="14356" width="7.28515625" style="964" customWidth="1"/>
    <col min="14357" max="14358" width="8" style="964" customWidth="1"/>
    <col min="14359" max="14359" width="9.140625" style="964" customWidth="1"/>
    <col min="14360" max="14360" width="9.42578125" style="964" customWidth="1"/>
    <col min="14361" max="14595" width="9.140625" style="964"/>
    <col min="14596" max="14596" width="3.7109375" style="964" customWidth="1"/>
    <col min="14597" max="14597" width="14.42578125" style="964" customWidth="1"/>
    <col min="14598" max="14598" width="3.7109375" style="964" customWidth="1"/>
    <col min="14599" max="14599" width="21.42578125" style="964" customWidth="1"/>
    <col min="14600" max="14612" width="7.28515625" style="964" customWidth="1"/>
    <col min="14613" max="14614" width="8" style="964" customWidth="1"/>
    <col min="14615" max="14615" width="9.140625" style="964" customWidth="1"/>
    <col min="14616" max="14616" width="9.42578125" style="964" customWidth="1"/>
    <col min="14617" max="14851" width="9.140625" style="964"/>
    <col min="14852" max="14852" width="3.7109375" style="964" customWidth="1"/>
    <col min="14853" max="14853" width="14.42578125" style="964" customWidth="1"/>
    <col min="14854" max="14854" width="3.7109375" style="964" customWidth="1"/>
    <col min="14855" max="14855" width="21.42578125" style="964" customWidth="1"/>
    <col min="14856" max="14868" width="7.28515625" style="964" customWidth="1"/>
    <col min="14869" max="14870" width="8" style="964" customWidth="1"/>
    <col min="14871" max="14871" width="9.140625" style="964" customWidth="1"/>
    <col min="14872" max="14872" width="9.42578125" style="964" customWidth="1"/>
    <col min="14873" max="15107" width="9.140625" style="964"/>
    <col min="15108" max="15108" width="3.7109375" style="964" customWidth="1"/>
    <col min="15109" max="15109" width="14.42578125" style="964" customWidth="1"/>
    <col min="15110" max="15110" width="3.7109375" style="964" customWidth="1"/>
    <col min="15111" max="15111" width="21.42578125" style="964" customWidth="1"/>
    <col min="15112" max="15124" width="7.28515625" style="964" customWidth="1"/>
    <col min="15125" max="15126" width="8" style="964" customWidth="1"/>
    <col min="15127" max="15127" width="9.140625" style="964" customWidth="1"/>
    <col min="15128" max="15128" width="9.42578125" style="964" customWidth="1"/>
    <col min="15129" max="15363" width="9.140625" style="964"/>
    <col min="15364" max="15364" width="3.7109375" style="964" customWidth="1"/>
    <col min="15365" max="15365" width="14.42578125" style="964" customWidth="1"/>
    <col min="15366" max="15366" width="3.7109375" style="964" customWidth="1"/>
    <col min="15367" max="15367" width="21.42578125" style="964" customWidth="1"/>
    <col min="15368" max="15380" width="7.28515625" style="964" customWidth="1"/>
    <col min="15381" max="15382" width="8" style="964" customWidth="1"/>
    <col min="15383" max="15383" width="9.140625" style="964" customWidth="1"/>
    <col min="15384" max="15384" width="9.42578125" style="964" customWidth="1"/>
    <col min="15385" max="15619" width="9.140625" style="964"/>
    <col min="15620" max="15620" width="3.7109375" style="964" customWidth="1"/>
    <col min="15621" max="15621" width="14.42578125" style="964" customWidth="1"/>
    <col min="15622" max="15622" width="3.7109375" style="964" customWidth="1"/>
    <col min="15623" max="15623" width="21.42578125" style="964" customWidth="1"/>
    <col min="15624" max="15636" width="7.28515625" style="964" customWidth="1"/>
    <col min="15637" max="15638" width="8" style="964" customWidth="1"/>
    <col min="15639" max="15639" width="9.140625" style="964" customWidth="1"/>
    <col min="15640" max="15640" width="9.42578125" style="964" customWidth="1"/>
    <col min="15641" max="15875" width="9.140625" style="964"/>
    <col min="15876" max="15876" width="3.7109375" style="964" customWidth="1"/>
    <col min="15877" max="15877" width="14.42578125" style="964" customWidth="1"/>
    <col min="15878" max="15878" width="3.7109375" style="964" customWidth="1"/>
    <col min="15879" max="15879" width="21.42578125" style="964" customWidth="1"/>
    <col min="15880" max="15892" width="7.28515625" style="964" customWidth="1"/>
    <col min="15893" max="15894" width="8" style="964" customWidth="1"/>
    <col min="15895" max="15895" width="9.140625" style="964" customWidth="1"/>
    <col min="15896" max="15896" width="9.42578125" style="964" customWidth="1"/>
    <col min="15897" max="16131" width="9.140625" style="964"/>
    <col min="16132" max="16132" width="3.7109375" style="964" customWidth="1"/>
    <col min="16133" max="16133" width="14.42578125" style="964" customWidth="1"/>
    <col min="16134" max="16134" width="3.7109375" style="964" customWidth="1"/>
    <col min="16135" max="16135" width="21.42578125" style="964" customWidth="1"/>
    <col min="16136" max="16148" width="7.28515625" style="964" customWidth="1"/>
    <col min="16149" max="16150" width="8" style="964" customWidth="1"/>
    <col min="16151" max="16151" width="9.140625" style="964" customWidth="1"/>
    <col min="16152" max="16152" width="9.42578125" style="964" customWidth="1"/>
    <col min="16153" max="16384" width="9.140625" style="964"/>
  </cols>
  <sheetData>
    <row r="2" spans="1:31" ht="12" customHeight="1" x14ac:dyDescent="0.2">
      <c r="A2" s="835">
        <v>1</v>
      </c>
      <c r="B2" s="835" t="s">
        <v>24</v>
      </c>
      <c r="C2" s="835">
        <f>1+'ART new TROA'!C2</f>
        <v>41</v>
      </c>
      <c r="D2" s="3626" t="s">
        <v>1559</v>
      </c>
      <c r="E2" s="3627"/>
      <c r="F2" s="3627"/>
      <c r="G2" s="3627"/>
      <c r="H2" s="3627"/>
      <c r="I2" s="3627"/>
      <c r="J2" s="3627"/>
      <c r="K2" s="3627"/>
      <c r="L2" s="3627"/>
      <c r="M2" s="3627"/>
      <c r="N2" s="3627"/>
      <c r="O2" s="3627"/>
      <c r="P2" s="3627"/>
      <c r="Q2" s="3627"/>
      <c r="R2" s="3627"/>
      <c r="S2" s="3627"/>
      <c r="T2" s="3627"/>
      <c r="U2" s="3627"/>
      <c r="V2" s="3627"/>
      <c r="W2" s="3627"/>
      <c r="X2" s="3627"/>
      <c r="Y2" s="3628"/>
    </row>
    <row r="3" spans="1:31" ht="13.9" customHeight="1" x14ac:dyDescent="0.2">
      <c r="A3" s="835">
        <v>2</v>
      </c>
      <c r="B3" s="835" t="s">
        <v>26</v>
      </c>
      <c r="C3" s="835"/>
      <c r="D3" s="3626" t="s">
        <v>1455</v>
      </c>
      <c r="E3" s="3627"/>
      <c r="F3" s="3627"/>
      <c r="G3" s="3627"/>
      <c r="H3" s="3627"/>
      <c r="I3" s="3627"/>
      <c r="J3" s="3627"/>
      <c r="K3" s="3627"/>
      <c r="L3" s="3627"/>
      <c r="M3" s="3627"/>
      <c r="N3" s="3627"/>
      <c r="O3" s="3627"/>
      <c r="P3" s="3627"/>
      <c r="Q3" s="3627"/>
      <c r="R3" s="3627"/>
      <c r="S3" s="3627"/>
      <c r="T3" s="3627"/>
      <c r="U3" s="3627"/>
      <c r="V3" s="3627"/>
      <c r="W3" s="3627"/>
      <c r="X3" s="3627"/>
      <c r="Y3" s="3628"/>
    </row>
    <row r="4" spans="1:31" ht="13.9" customHeight="1" x14ac:dyDescent="0.2">
      <c r="A4" s="835">
        <v>3</v>
      </c>
      <c r="B4" s="835" t="s">
        <v>28</v>
      </c>
      <c r="C4" s="835"/>
      <c r="D4" s="3626" t="s">
        <v>1890</v>
      </c>
      <c r="E4" s="3627"/>
      <c r="F4" s="3627"/>
      <c r="G4" s="3627"/>
      <c r="H4" s="3627"/>
      <c r="I4" s="3627"/>
      <c r="J4" s="3627"/>
      <c r="K4" s="3627"/>
      <c r="L4" s="3627"/>
      <c r="M4" s="3627"/>
      <c r="N4" s="3627"/>
      <c r="O4" s="3627"/>
      <c r="P4" s="3627"/>
      <c r="Q4" s="3627"/>
      <c r="R4" s="3627"/>
      <c r="S4" s="3627"/>
      <c r="T4" s="3627"/>
      <c r="U4" s="3627"/>
      <c r="V4" s="3627"/>
      <c r="W4" s="3627"/>
      <c r="X4" s="3627"/>
      <c r="Y4" s="3628"/>
    </row>
    <row r="5" spans="1:31" ht="13.9" customHeight="1" x14ac:dyDescent="0.2">
      <c r="A5" s="835"/>
      <c r="B5" s="835"/>
      <c r="C5" s="835"/>
      <c r="D5" s="3626" t="s">
        <v>1560</v>
      </c>
      <c r="E5" s="3627"/>
      <c r="F5" s="3627"/>
      <c r="G5" s="3627"/>
      <c r="H5" s="3627"/>
      <c r="I5" s="3627"/>
      <c r="J5" s="3627"/>
      <c r="K5" s="3627"/>
      <c r="L5" s="3627"/>
      <c r="M5" s="3627"/>
      <c r="N5" s="3627"/>
      <c r="O5" s="3627"/>
      <c r="P5" s="3627"/>
      <c r="Q5" s="3627"/>
      <c r="R5" s="3627"/>
      <c r="S5" s="3627"/>
      <c r="T5" s="3627"/>
      <c r="U5" s="3627"/>
      <c r="V5" s="3627"/>
      <c r="W5" s="3627"/>
      <c r="X5" s="3627"/>
      <c r="Y5" s="3628"/>
    </row>
    <row r="6" spans="1:31" ht="14.25" x14ac:dyDescent="0.2">
      <c r="A6" s="835">
        <v>4</v>
      </c>
      <c r="B6" s="418" t="s">
        <v>1</v>
      </c>
      <c r="C6" s="418"/>
    </row>
    <row r="7" spans="1:31" x14ac:dyDescent="0.2">
      <c r="B7" s="965"/>
      <c r="C7" s="965"/>
      <c r="D7" s="424" t="s">
        <v>93</v>
      </c>
      <c r="E7" s="424" t="s">
        <v>1561</v>
      </c>
      <c r="F7" s="424"/>
      <c r="G7" s="424"/>
      <c r="H7" s="424"/>
      <c r="I7" s="424"/>
      <c r="J7" s="424"/>
      <c r="K7" s="424"/>
      <c r="L7" s="424"/>
      <c r="M7" s="432"/>
      <c r="N7" s="432"/>
      <c r="O7" s="2226"/>
      <c r="P7" s="432"/>
      <c r="Q7" s="432"/>
    </row>
    <row r="8" spans="1:31" x14ac:dyDescent="0.2">
      <c r="B8" s="965"/>
      <c r="C8" s="965"/>
      <c r="D8" s="2227"/>
      <c r="E8" s="800">
        <v>1994</v>
      </c>
      <c r="F8" s="800">
        <v>1995</v>
      </c>
      <c r="G8" s="800">
        <v>1996</v>
      </c>
      <c r="H8" s="800">
        <v>1997</v>
      </c>
      <c r="I8" s="800">
        <v>1998</v>
      </c>
      <c r="J8" s="800">
        <v>1999</v>
      </c>
      <c r="K8" s="800">
        <v>2000</v>
      </c>
      <c r="L8" s="800">
        <v>2001</v>
      </c>
      <c r="M8" s="800">
        <v>2002</v>
      </c>
      <c r="N8" s="800">
        <v>2003</v>
      </c>
      <c r="O8" s="800">
        <v>2004</v>
      </c>
      <c r="P8" s="800">
        <v>2005</v>
      </c>
      <c r="Q8" s="800">
        <v>2006</v>
      </c>
      <c r="R8" s="800">
        <v>2007</v>
      </c>
      <c r="S8" s="800">
        <v>2008</v>
      </c>
      <c r="T8" s="800">
        <v>2009</v>
      </c>
      <c r="U8" s="800">
        <v>2010</v>
      </c>
      <c r="V8" s="800">
        <v>2011</v>
      </c>
      <c r="W8" s="800">
        <v>2012</v>
      </c>
      <c r="X8" s="800" t="s">
        <v>1562</v>
      </c>
      <c r="Y8" s="3129" t="s">
        <v>1563</v>
      </c>
    </row>
    <row r="9" spans="1:31" s="1319" customFormat="1" ht="24.75" customHeight="1" x14ac:dyDescent="0.2">
      <c r="A9" s="1350"/>
      <c r="B9" s="1350"/>
      <c r="C9" s="1370">
        <v>1</v>
      </c>
      <c r="D9" s="776" t="s">
        <v>1564</v>
      </c>
      <c r="E9" s="1220">
        <v>90292</v>
      </c>
      <c r="F9" s="1220">
        <v>73917</v>
      </c>
      <c r="G9" s="1220">
        <v>109328</v>
      </c>
      <c r="H9" s="1220">
        <v>125913</v>
      </c>
      <c r="I9" s="1220">
        <v>142281</v>
      </c>
      <c r="J9" s="1220">
        <v>148164</v>
      </c>
      <c r="K9" s="1220">
        <v>151239</v>
      </c>
      <c r="L9" s="1220">
        <v>188695</v>
      </c>
      <c r="M9" s="1220">
        <v>224420</v>
      </c>
      <c r="N9" s="1220">
        <v>255422</v>
      </c>
      <c r="O9" s="1220">
        <v>279260</v>
      </c>
      <c r="P9" s="1220">
        <v>302467</v>
      </c>
      <c r="Q9" s="1220">
        <v>341165</v>
      </c>
      <c r="R9" s="1220">
        <v>353879</v>
      </c>
      <c r="S9" s="1220">
        <v>388882</v>
      </c>
      <c r="T9" s="1220">
        <v>406082</v>
      </c>
      <c r="U9" s="1220">
        <v>401048</v>
      </c>
      <c r="V9" s="1220">
        <v>389974</v>
      </c>
      <c r="W9" s="1220">
        <v>349582</v>
      </c>
      <c r="X9" s="1220">
        <v>328896</v>
      </c>
      <c r="Y9" s="2795">
        <v>318896</v>
      </c>
    </row>
    <row r="10" spans="1:31" x14ac:dyDescent="0.2">
      <c r="C10" s="2228">
        <v>2</v>
      </c>
      <c r="D10" s="1371" t="s">
        <v>1565</v>
      </c>
      <c r="E10" s="1372">
        <v>73</v>
      </c>
      <c r="F10" s="1372">
        <v>73</v>
      </c>
      <c r="G10" s="1372">
        <v>73</v>
      </c>
      <c r="H10" s="1372">
        <v>73</v>
      </c>
      <c r="I10" s="1372">
        <v>73</v>
      </c>
      <c r="J10" s="1372">
        <v>72</v>
      </c>
      <c r="K10" s="1372">
        <v>63</v>
      </c>
      <c r="L10" s="1372">
        <v>61</v>
      </c>
      <c r="M10" s="1372">
        <v>63</v>
      </c>
      <c r="N10" s="1372">
        <v>63</v>
      </c>
      <c r="O10" s="1372">
        <v>66</v>
      </c>
      <c r="P10" s="1372">
        <v>71</v>
      </c>
      <c r="Q10" s="1372">
        <v>74</v>
      </c>
      <c r="R10" s="1372">
        <v>74</v>
      </c>
      <c r="S10" s="1372">
        <v>76</v>
      </c>
      <c r="T10" s="1372">
        <v>77</v>
      </c>
      <c r="U10" s="1372">
        <v>79</v>
      </c>
      <c r="V10" s="1372">
        <v>80</v>
      </c>
      <c r="W10" s="1372">
        <v>81</v>
      </c>
      <c r="X10" s="1372">
        <v>82</v>
      </c>
      <c r="Y10" s="3493">
        <v>83</v>
      </c>
    </row>
    <row r="11" spans="1:31" x14ac:dyDescent="0.2">
      <c r="C11" s="2228">
        <v>3</v>
      </c>
      <c r="D11" s="776" t="s">
        <v>1566</v>
      </c>
      <c r="E11" s="1372">
        <v>54</v>
      </c>
      <c r="F11" s="1372">
        <v>57</v>
      </c>
      <c r="G11" s="1372">
        <v>54</v>
      </c>
      <c r="H11" s="1372">
        <v>57</v>
      </c>
      <c r="I11" s="1372">
        <v>60</v>
      </c>
      <c r="J11" s="1372">
        <v>60</v>
      </c>
      <c r="K11" s="1372">
        <v>54</v>
      </c>
      <c r="L11" s="1372">
        <v>50</v>
      </c>
      <c r="M11" s="1372">
        <v>50</v>
      </c>
      <c r="N11" s="1372">
        <v>51</v>
      </c>
      <c r="O11" s="1372">
        <v>51</v>
      </c>
      <c r="P11" s="1372">
        <v>58</v>
      </c>
      <c r="Q11" s="1372">
        <v>63</v>
      </c>
      <c r="R11" s="1372">
        <v>64</v>
      </c>
      <c r="S11" s="1372">
        <v>68</v>
      </c>
      <c r="T11" s="1372">
        <v>71</v>
      </c>
      <c r="U11" s="1372">
        <v>73</v>
      </c>
      <c r="V11" s="1372">
        <v>74</v>
      </c>
      <c r="W11" s="1372">
        <v>76</v>
      </c>
      <c r="X11" s="1372">
        <v>77</v>
      </c>
      <c r="Y11" s="3493">
        <v>76.8</v>
      </c>
    </row>
    <row r="12" spans="1:31" s="401" customFormat="1" ht="13.5" customHeight="1" x14ac:dyDescent="0.2">
      <c r="A12" s="1222"/>
      <c r="B12" s="1222"/>
      <c r="C12" s="2228">
        <v>4</v>
      </c>
      <c r="D12" s="1356" t="s">
        <v>1567</v>
      </c>
      <c r="E12" s="1373">
        <v>18</v>
      </c>
      <c r="F12" s="1373">
        <v>19</v>
      </c>
      <c r="G12" s="1373">
        <v>18</v>
      </c>
      <c r="H12" s="1373">
        <v>19</v>
      </c>
      <c r="I12" s="1373">
        <v>19</v>
      </c>
      <c r="J12" s="1373">
        <v>17</v>
      </c>
      <c r="K12" s="1373">
        <v>13</v>
      </c>
      <c r="L12" s="1373">
        <v>11</v>
      </c>
      <c r="M12" s="1373">
        <v>12</v>
      </c>
      <c r="N12" s="1373">
        <v>11</v>
      </c>
      <c r="O12" s="1373">
        <v>10</v>
      </c>
      <c r="P12" s="1373">
        <v>10</v>
      </c>
      <c r="Q12" s="1373">
        <v>9</v>
      </c>
      <c r="R12" s="1373">
        <v>9</v>
      </c>
      <c r="S12" s="1373">
        <v>8</v>
      </c>
      <c r="T12" s="1373">
        <v>7</v>
      </c>
      <c r="U12" s="1373">
        <v>7</v>
      </c>
      <c r="V12" s="1373">
        <v>6</v>
      </c>
      <c r="W12" s="1373">
        <v>6</v>
      </c>
      <c r="X12" s="1373">
        <v>5.8</v>
      </c>
      <c r="Y12" s="3494">
        <v>6.1</v>
      </c>
    </row>
    <row r="13" spans="1:31" x14ac:dyDescent="0.2">
      <c r="AB13" s="2229"/>
      <c r="AC13" s="2229"/>
      <c r="AE13" s="2229"/>
    </row>
    <row r="14" spans="1:31" s="401" customFormat="1" ht="12.75" customHeight="1" x14ac:dyDescent="0.2">
      <c r="A14" s="1222"/>
      <c r="B14" s="1222"/>
      <c r="C14" s="2228"/>
      <c r="D14" s="1374" t="s">
        <v>55</v>
      </c>
      <c r="E14" s="1375" t="s">
        <v>1568</v>
      </c>
      <c r="F14" s="895"/>
      <c r="G14" s="895"/>
      <c r="H14" s="895"/>
      <c r="I14" s="895"/>
      <c r="J14" s="895"/>
      <c r="K14" s="895"/>
      <c r="L14" s="895"/>
      <c r="M14" s="895"/>
      <c r="N14" s="895"/>
      <c r="O14" s="895"/>
      <c r="P14" s="895"/>
      <c r="Q14" s="895"/>
      <c r="R14" s="895"/>
      <c r="S14" s="895"/>
      <c r="T14" s="1376"/>
      <c r="U14" s="1376"/>
      <c r="V14" s="1376"/>
      <c r="W14" s="1376"/>
      <c r="X14" s="1376"/>
      <c r="Y14" s="1376"/>
      <c r="AB14" s="1089"/>
      <c r="AC14" s="1089"/>
    </row>
    <row r="15" spans="1:31" x14ac:dyDescent="0.2">
      <c r="B15" s="965"/>
      <c r="C15" s="965"/>
      <c r="D15" s="2227"/>
      <c r="E15" s="800"/>
      <c r="F15" s="800"/>
      <c r="G15" s="800"/>
      <c r="H15" s="800"/>
      <c r="I15" s="800"/>
      <c r="J15" s="800"/>
      <c r="K15" s="800">
        <v>2000</v>
      </c>
      <c r="L15" s="800">
        <v>2001</v>
      </c>
      <c r="M15" s="800">
        <v>2002</v>
      </c>
      <c r="N15" s="800">
        <v>2003</v>
      </c>
      <c r="O15" s="800">
        <v>2004</v>
      </c>
      <c r="P15" s="800">
        <v>2005</v>
      </c>
      <c r="Q15" s="800">
        <v>2006</v>
      </c>
      <c r="R15" s="800">
        <v>2007</v>
      </c>
      <c r="S15" s="800">
        <v>2008</v>
      </c>
      <c r="T15" s="800">
        <v>2009</v>
      </c>
      <c r="U15" s="800">
        <v>2010</v>
      </c>
      <c r="V15" s="800">
        <v>2011</v>
      </c>
      <c r="W15" s="800">
        <v>2012</v>
      </c>
      <c r="X15" s="3129">
        <v>2013</v>
      </c>
      <c r="Y15" s="1376"/>
      <c r="AB15" s="2229"/>
    </row>
    <row r="16" spans="1:31" s="401" customFormat="1" ht="13.5" customHeight="1" x14ac:dyDescent="0.2">
      <c r="A16" s="1222"/>
      <c r="B16" s="1222"/>
      <c r="C16" s="2228"/>
      <c r="D16" s="776" t="s">
        <v>1569</v>
      </c>
      <c r="E16" s="895"/>
      <c r="F16" s="895"/>
      <c r="G16" s="895"/>
      <c r="H16" s="895"/>
      <c r="I16" s="895"/>
      <c r="J16" s="895"/>
      <c r="K16" s="895">
        <v>77</v>
      </c>
      <c r="L16" s="895">
        <v>77</v>
      </c>
      <c r="M16" s="895">
        <v>98</v>
      </c>
      <c r="N16" s="895">
        <v>100</v>
      </c>
      <c r="O16" s="895">
        <v>93</v>
      </c>
      <c r="P16" s="895">
        <v>94</v>
      </c>
      <c r="Q16" s="895">
        <v>100</v>
      </c>
      <c r="R16" s="895">
        <v>100</v>
      </c>
      <c r="S16" s="895">
        <v>100</v>
      </c>
      <c r="T16" s="895">
        <v>100</v>
      </c>
      <c r="U16" s="895">
        <v>100</v>
      </c>
      <c r="V16" s="895">
        <v>100</v>
      </c>
      <c r="W16" s="895">
        <v>100</v>
      </c>
      <c r="X16" s="2793">
        <v>100</v>
      </c>
      <c r="Y16" s="1376"/>
      <c r="AB16" s="1089"/>
    </row>
    <row r="17" spans="1:31" s="401" customFormat="1" ht="11.25" x14ac:dyDescent="0.2">
      <c r="A17" s="1222"/>
      <c r="B17" s="1222"/>
      <c r="C17" s="2228"/>
      <c r="D17" s="782" t="s">
        <v>1570</v>
      </c>
      <c r="E17" s="895"/>
      <c r="F17" s="895"/>
      <c r="G17" s="895"/>
      <c r="H17" s="895"/>
      <c r="I17" s="895"/>
      <c r="J17" s="895"/>
      <c r="K17" s="895">
        <v>333</v>
      </c>
      <c r="L17" s="895">
        <v>322</v>
      </c>
      <c r="M17" s="895">
        <v>462</v>
      </c>
      <c r="N17" s="895">
        <v>483</v>
      </c>
      <c r="O17" s="895">
        <v>562</v>
      </c>
      <c r="P17" s="895">
        <v>564</v>
      </c>
      <c r="Q17" s="895">
        <v>628</v>
      </c>
      <c r="R17" s="895">
        <v>649</v>
      </c>
      <c r="S17" s="895">
        <v>798.5</v>
      </c>
      <c r="T17" s="895">
        <v>833.8</v>
      </c>
      <c r="U17" s="895">
        <v>802</v>
      </c>
      <c r="V17" s="895">
        <v>765</v>
      </c>
      <c r="W17" s="895">
        <v>670</v>
      </c>
      <c r="X17" s="2793">
        <v>620</v>
      </c>
      <c r="Y17" s="1376"/>
      <c r="AB17" s="1089"/>
      <c r="AC17" s="1089"/>
      <c r="AE17" s="1089"/>
    </row>
    <row r="18" spans="1:31" s="1766" customFormat="1" ht="11.25" x14ac:dyDescent="0.2">
      <c r="A18" s="1765"/>
      <c r="B18" s="1765"/>
      <c r="C18" s="2230"/>
      <c r="D18" s="1377" t="s">
        <v>1571</v>
      </c>
      <c r="E18" s="1118"/>
      <c r="F18" s="1118"/>
      <c r="G18" s="1118"/>
      <c r="H18" s="1118"/>
      <c r="I18" s="1118"/>
      <c r="J18" s="1118"/>
      <c r="K18" s="1118">
        <v>82</v>
      </c>
      <c r="L18" s="1118">
        <v>78</v>
      </c>
      <c r="M18" s="1118">
        <v>99</v>
      </c>
      <c r="N18" s="1118">
        <v>100</v>
      </c>
      <c r="O18" s="1118">
        <v>97</v>
      </c>
      <c r="P18" s="1118">
        <v>96</v>
      </c>
      <c r="Q18" s="1118">
        <v>100</v>
      </c>
      <c r="R18" s="1118">
        <v>100</v>
      </c>
      <c r="S18" s="1118">
        <v>100</v>
      </c>
      <c r="T18" s="1118">
        <v>100</v>
      </c>
      <c r="U18" s="1118">
        <v>100</v>
      </c>
      <c r="V18" s="1118">
        <v>100</v>
      </c>
      <c r="W18" s="1118">
        <v>100</v>
      </c>
      <c r="X18" s="2936">
        <v>100</v>
      </c>
      <c r="Y18" s="1376"/>
    </row>
    <row r="19" spans="1:31" s="401" customFormat="1" ht="11.25" x14ac:dyDescent="0.2">
      <c r="A19" s="1222"/>
      <c r="B19" s="1222"/>
      <c r="C19" s="2228"/>
      <c r="D19" s="782" t="s">
        <v>1572</v>
      </c>
      <c r="E19" s="895"/>
      <c r="F19" s="895"/>
      <c r="G19" s="895"/>
      <c r="H19" s="895"/>
      <c r="I19" s="895"/>
      <c r="J19" s="895"/>
      <c r="K19" s="895">
        <v>167</v>
      </c>
      <c r="L19" s="895">
        <v>182</v>
      </c>
      <c r="M19" s="895">
        <v>212</v>
      </c>
      <c r="N19" s="895">
        <v>247</v>
      </c>
      <c r="O19" s="895">
        <v>266</v>
      </c>
      <c r="P19" s="895">
        <v>262</v>
      </c>
      <c r="Q19" s="895">
        <v>272</v>
      </c>
      <c r="R19" s="895">
        <v>279</v>
      </c>
      <c r="S19" s="895">
        <v>285</v>
      </c>
      <c r="T19" s="895">
        <v>286.39999999999998</v>
      </c>
      <c r="U19" s="895">
        <v>264</v>
      </c>
      <c r="V19" s="895">
        <v>254</v>
      </c>
      <c r="W19" s="895">
        <v>235</v>
      </c>
      <c r="X19" s="2793">
        <v>217</v>
      </c>
      <c r="Y19" s="1376"/>
    </row>
    <row r="20" spans="1:31" s="1766" customFormat="1" ht="11.25" x14ac:dyDescent="0.2">
      <c r="A20" s="1765"/>
      <c r="B20" s="1765"/>
      <c r="C20" s="2230"/>
      <c r="D20" s="1377" t="s">
        <v>1573</v>
      </c>
      <c r="E20" s="1118"/>
      <c r="F20" s="1118"/>
      <c r="G20" s="1118"/>
      <c r="H20" s="1118"/>
      <c r="I20" s="1118"/>
      <c r="J20" s="1118"/>
      <c r="K20" s="1118">
        <v>82</v>
      </c>
      <c r="L20" s="1118">
        <v>85</v>
      </c>
      <c r="M20" s="1118">
        <v>99</v>
      </c>
      <c r="N20" s="1118">
        <v>100</v>
      </c>
      <c r="O20" s="1118">
        <v>96</v>
      </c>
      <c r="P20" s="1118">
        <v>96</v>
      </c>
      <c r="Q20" s="1118">
        <v>100</v>
      </c>
      <c r="R20" s="1118">
        <v>100</v>
      </c>
      <c r="S20" s="1118">
        <v>100</v>
      </c>
      <c r="T20" s="1118">
        <v>100</v>
      </c>
      <c r="U20" s="1118">
        <v>100</v>
      </c>
      <c r="V20" s="1118">
        <v>100</v>
      </c>
      <c r="W20" s="1118">
        <v>100</v>
      </c>
      <c r="X20" s="2936">
        <v>100</v>
      </c>
      <c r="Y20" s="1376"/>
    </row>
    <row r="21" spans="1:31" s="401" customFormat="1" ht="11.25" x14ac:dyDescent="0.2">
      <c r="A21" s="1222"/>
      <c r="B21" s="1222"/>
      <c r="C21" s="2228"/>
      <c r="D21" s="782" t="s">
        <v>1574</v>
      </c>
      <c r="E21" s="895"/>
      <c r="F21" s="895"/>
      <c r="G21" s="895"/>
      <c r="H21" s="895"/>
      <c r="I21" s="895"/>
      <c r="J21" s="895"/>
      <c r="K21" s="895">
        <v>43</v>
      </c>
      <c r="L21" s="895">
        <v>44</v>
      </c>
      <c r="M21" s="895">
        <v>53</v>
      </c>
      <c r="N21" s="895">
        <v>53</v>
      </c>
      <c r="O21" s="895">
        <v>56</v>
      </c>
      <c r="P21" s="895">
        <v>55</v>
      </c>
      <c r="Q21" s="895">
        <v>60</v>
      </c>
      <c r="R21" s="895">
        <v>62</v>
      </c>
      <c r="S21" s="895">
        <v>72</v>
      </c>
      <c r="T21" s="1378">
        <v>81</v>
      </c>
      <c r="U21" s="1378">
        <v>79</v>
      </c>
      <c r="V21" s="1378">
        <v>69</v>
      </c>
      <c r="W21" s="1378">
        <v>62</v>
      </c>
      <c r="X21" s="3495"/>
      <c r="Y21" s="1376"/>
    </row>
    <row r="22" spans="1:31" s="401" customFormat="1" ht="11.25" x14ac:dyDescent="0.2">
      <c r="A22" s="1222"/>
      <c r="B22" s="1222"/>
      <c r="C22" s="2228"/>
      <c r="D22" s="782" t="s">
        <v>1575</v>
      </c>
      <c r="E22" s="895"/>
      <c r="F22" s="895"/>
      <c r="G22" s="895"/>
      <c r="H22" s="895"/>
      <c r="I22" s="895"/>
      <c r="J22" s="895"/>
      <c r="K22" s="895">
        <v>76</v>
      </c>
      <c r="L22" s="895">
        <v>70</v>
      </c>
      <c r="M22" s="895">
        <v>72</v>
      </c>
      <c r="N22" s="895">
        <v>77</v>
      </c>
      <c r="O22" s="895">
        <v>78</v>
      </c>
      <c r="P22" s="895">
        <v>75</v>
      </c>
      <c r="Q22" s="895">
        <v>77</v>
      </c>
      <c r="R22" s="895">
        <v>78</v>
      </c>
      <c r="S22" s="895">
        <v>68</v>
      </c>
      <c r="T22" s="1376"/>
      <c r="U22" s="1376"/>
      <c r="V22" s="1376"/>
      <c r="W22" s="1376"/>
      <c r="X22" s="3496"/>
      <c r="Y22" s="1376"/>
    </row>
    <row r="23" spans="1:31" s="401" customFormat="1" ht="11.25" x14ac:dyDescent="0.2">
      <c r="A23" s="1222"/>
      <c r="B23" s="1222"/>
      <c r="C23" s="2228"/>
      <c r="D23" s="782" t="s">
        <v>1576</v>
      </c>
      <c r="E23" s="895"/>
      <c r="F23" s="895"/>
      <c r="G23" s="895"/>
      <c r="H23" s="895"/>
      <c r="I23" s="895"/>
      <c r="J23" s="895"/>
      <c r="K23" s="895">
        <v>63</v>
      </c>
      <c r="L23" s="895">
        <v>61</v>
      </c>
      <c r="M23" s="895">
        <v>68</v>
      </c>
      <c r="N23" s="895">
        <v>67</v>
      </c>
      <c r="O23" s="895">
        <v>69</v>
      </c>
      <c r="P23" s="895">
        <v>71</v>
      </c>
      <c r="Q23" s="895">
        <v>74</v>
      </c>
      <c r="R23" s="895">
        <v>74</v>
      </c>
      <c r="S23" s="895">
        <v>76.3</v>
      </c>
      <c r="T23" s="1378">
        <v>73</v>
      </c>
      <c r="U23" s="1378">
        <v>79</v>
      </c>
      <c r="V23" s="1378">
        <v>80</v>
      </c>
      <c r="W23" s="1378">
        <v>81</v>
      </c>
      <c r="X23" s="3496"/>
      <c r="Y23" s="1376"/>
    </row>
    <row r="24" spans="1:31" s="401" customFormat="1" ht="11.25" x14ac:dyDescent="0.2">
      <c r="A24" s="1222"/>
      <c r="B24" s="1222"/>
      <c r="C24" s="2228"/>
      <c r="D24" s="1274" t="s">
        <v>1577</v>
      </c>
      <c r="E24" s="1294"/>
      <c r="F24" s="1294"/>
      <c r="G24" s="1294"/>
      <c r="H24" s="1294"/>
      <c r="I24" s="1294"/>
      <c r="J24" s="1294"/>
      <c r="K24" s="1294">
        <v>50</v>
      </c>
      <c r="L24" s="1294">
        <v>50</v>
      </c>
      <c r="M24" s="1294">
        <v>53</v>
      </c>
      <c r="N24" s="1294">
        <v>52</v>
      </c>
      <c r="O24" s="1294">
        <v>56</v>
      </c>
      <c r="P24" s="1294">
        <v>58</v>
      </c>
      <c r="Q24" s="1294">
        <v>67</v>
      </c>
      <c r="R24" s="1294">
        <v>64</v>
      </c>
      <c r="S24" s="1294">
        <v>64.400000000000006</v>
      </c>
      <c r="T24" s="1379">
        <v>60</v>
      </c>
      <c r="U24" s="1379">
        <v>68</v>
      </c>
      <c r="V24" s="1379">
        <v>66</v>
      </c>
      <c r="W24" s="1379">
        <v>68</v>
      </c>
      <c r="X24" s="3497"/>
      <c r="Y24" s="1376"/>
    </row>
    <row r="25" spans="1:31" s="401" customFormat="1" ht="13.5" customHeight="1" x14ac:dyDescent="0.2">
      <c r="A25" s="1222"/>
      <c r="B25" s="1222"/>
      <c r="C25" s="2228"/>
      <c r="D25" s="776"/>
      <c r="E25" s="895"/>
      <c r="F25" s="895"/>
      <c r="G25" s="895"/>
      <c r="H25" s="895"/>
      <c r="I25" s="895"/>
      <c r="J25" s="895"/>
      <c r="K25" s="895"/>
      <c r="L25" s="895"/>
      <c r="M25" s="895"/>
      <c r="N25" s="895"/>
      <c r="O25" s="895"/>
      <c r="P25" s="895"/>
      <c r="Q25" s="895"/>
      <c r="R25" s="895"/>
      <c r="S25" s="895"/>
      <c r="T25" s="1376"/>
      <c r="U25" s="1376"/>
      <c r="V25" s="1376"/>
      <c r="W25" s="1376"/>
      <c r="X25" s="1376"/>
      <c r="Y25" s="1376"/>
    </row>
    <row r="27" spans="1:31" ht="14.25" x14ac:dyDescent="0.2">
      <c r="A27" s="835">
        <v>5</v>
      </c>
      <c r="B27" s="835" t="s">
        <v>77</v>
      </c>
      <c r="C27" s="835"/>
    </row>
    <row r="45" spans="1:25" ht="15" customHeight="1" x14ac:dyDescent="0.2">
      <c r="A45" s="835">
        <v>6</v>
      </c>
      <c r="B45" s="835" t="s">
        <v>78</v>
      </c>
      <c r="C45" s="835"/>
      <c r="D45" s="3615" t="s">
        <v>1555</v>
      </c>
      <c r="E45" s="3616"/>
      <c r="F45" s="3616"/>
      <c r="G45" s="3616"/>
      <c r="H45" s="3616"/>
      <c r="I45" s="3616"/>
      <c r="J45" s="3616"/>
      <c r="K45" s="3616"/>
      <c r="L45" s="3616"/>
      <c r="M45" s="3616"/>
      <c r="N45" s="3616"/>
      <c r="O45" s="3616"/>
      <c r="P45" s="3616"/>
      <c r="Q45" s="3616"/>
      <c r="R45" s="3616"/>
      <c r="S45" s="3616"/>
      <c r="T45" s="3616"/>
      <c r="U45" s="3616"/>
      <c r="V45" s="3616"/>
      <c r="W45" s="3616"/>
      <c r="X45" s="3616"/>
      <c r="Y45" s="3617"/>
    </row>
    <row r="46" spans="1:25" ht="104.25" customHeight="1" x14ac:dyDescent="0.2">
      <c r="A46" s="963">
        <v>7</v>
      </c>
      <c r="B46" s="963" t="s">
        <v>80</v>
      </c>
      <c r="C46" s="835"/>
      <c r="D46" s="3615" t="s">
        <v>1578</v>
      </c>
      <c r="E46" s="3616"/>
      <c r="F46" s="3616"/>
      <c r="G46" s="3616"/>
      <c r="H46" s="3616"/>
      <c r="I46" s="3616"/>
      <c r="J46" s="3616"/>
      <c r="K46" s="3616"/>
      <c r="L46" s="3616"/>
      <c r="M46" s="3616"/>
      <c r="N46" s="3616"/>
      <c r="O46" s="3616"/>
      <c r="P46" s="3616"/>
      <c r="Q46" s="3616"/>
      <c r="R46" s="3616"/>
      <c r="S46" s="3616"/>
      <c r="T46" s="3616"/>
      <c r="U46" s="3616"/>
      <c r="V46" s="3616"/>
      <c r="W46" s="3616"/>
      <c r="X46" s="3616"/>
      <c r="Y46" s="3617"/>
    </row>
    <row r="47" spans="1:25" ht="14.25" x14ac:dyDescent="0.2">
      <c r="A47" s="835">
        <v>8</v>
      </c>
      <c r="B47" s="835" t="s">
        <v>20</v>
      </c>
      <c r="C47" s="835"/>
      <c r="D47" s="3615" t="s">
        <v>1579</v>
      </c>
      <c r="E47" s="3616"/>
      <c r="F47" s="3616"/>
      <c r="G47" s="3616"/>
      <c r="H47" s="3616"/>
      <c r="I47" s="3616"/>
      <c r="J47" s="3616"/>
      <c r="K47" s="3616"/>
      <c r="L47" s="3616"/>
      <c r="M47" s="3616"/>
      <c r="N47" s="3616"/>
      <c r="O47" s="3616"/>
      <c r="P47" s="3616"/>
      <c r="Q47" s="3616"/>
      <c r="R47" s="3616"/>
      <c r="S47" s="3616"/>
      <c r="T47" s="3616"/>
      <c r="U47" s="3616"/>
      <c r="V47" s="3616"/>
      <c r="W47" s="3616"/>
      <c r="X47" s="3616"/>
      <c r="Y47" s="3617"/>
    </row>
    <row r="48" spans="1:25" x14ac:dyDescent="0.2">
      <c r="D48" s="3816"/>
      <c r="E48" s="3816"/>
      <c r="F48" s="3816"/>
      <c r="G48" s="3816"/>
      <c r="H48" s="3816"/>
      <c r="I48" s="3816"/>
      <c r="J48" s="3816"/>
      <c r="K48" s="3816"/>
      <c r="L48" s="3816"/>
      <c r="M48" s="3816"/>
      <c r="N48" s="3816"/>
      <c r="O48" s="3816"/>
      <c r="P48" s="3816"/>
      <c r="Q48" s="984"/>
    </row>
    <row r="49" spans="3:27" x14ac:dyDescent="0.2">
      <c r="D49" s="3816"/>
      <c r="E49" s="3816"/>
      <c r="F49" s="3816"/>
      <c r="G49" s="3816"/>
      <c r="H49" s="3816"/>
      <c r="I49" s="3816"/>
      <c r="J49" s="3816"/>
      <c r="K49" s="3816"/>
      <c r="L49" s="3816"/>
      <c r="M49" s="3816"/>
      <c r="N49" s="3816"/>
      <c r="O49" s="3816"/>
      <c r="P49" s="3816"/>
      <c r="Q49" s="984"/>
    </row>
    <row r="50" spans="3:27" x14ac:dyDescent="0.2">
      <c r="D50" s="984"/>
      <c r="E50" s="984"/>
      <c r="F50" s="984"/>
      <c r="G50" s="984"/>
      <c r="H50" s="984"/>
      <c r="I50" s="984"/>
      <c r="J50" s="984"/>
      <c r="K50" s="984"/>
      <c r="L50" s="984"/>
      <c r="M50" s="984"/>
      <c r="N50" s="984"/>
      <c r="O50" s="984"/>
      <c r="P50" s="984"/>
      <c r="Q50" s="984"/>
    </row>
    <row r="51" spans="3:27" x14ac:dyDescent="0.2">
      <c r="C51" s="1365"/>
      <c r="D51" s="1374" t="s">
        <v>262</v>
      </c>
      <c r="E51" s="1375" t="s">
        <v>1580</v>
      </c>
      <c r="F51" s="1380"/>
      <c r="G51" s="1380"/>
      <c r="H51" s="895"/>
      <c r="I51" s="895"/>
      <c r="J51" s="895"/>
      <c r="K51" s="895"/>
      <c r="L51" s="895"/>
      <c r="M51" s="895"/>
      <c r="N51" s="895"/>
      <c r="O51" s="895"/>
      <c r="P51" s="895"/>
      <c r="Q51" s="895"/>
      <c r="R51" s="895"/>
      <c r="S51" s="895"/>
      <c r="T51" s="1376"/>
      <c r="U51" s="1376"/>
      <c r="V51" s="1376"/>
      <c r="W51" s="1376"/>
      <c r="X51" s="1376"/>
    </row>
    <row r="52" spans="3:27" x14ac:dyDescent="0.2">
      <c r="C52" s="1365"/>
      <c r="D52" s="1381" t="s">
        <v>1581</v>
      </c>
      <c r="E52" s="1382"/>
      <c r="F52" s="1382"/>
      <c r="G52" s="1382"/>
      <c r="H52" s="1382"/>
      <c r="I52" s="1382"/>
      <c r="J52" s="1382"/>
      <c r="K52" s="1382"/>
      <c r="L52" s="1382"/>
      <c r="M52" s="1382"/>
      <c r="N52" s="1382"/>
      <c r="O52" s="1382"/>
      <c r="P52" s="1382">
        <v>10312</v>
      </c>
      <c r="Q52" s="1382">
        <v>10553</v>
      </c>
      <c r="R52" s="1382">
        <v>10708</v>
      </c>
      <c r="S52" s="1382">
        <v>10035</v>
      </c>
      <c r="T52" s="1382">
        <v>10537</v>
      </c>
      <c r="U52" s="1382">
        <v>10106</v>
      </c>
      <c r="V52" s="1382"/>
      <c r="W52" s="1382"/>
      <c r="X52" s="1382"/>
      <c r="Y52" s="2231"/>
      <c r="Z52" s="2231"/>
      <c r="AA52" s="2231"/>
    </row>
    <row r="53" spans="3:27" x14ac:dyDescent="0.2">
      <c r="C53" s="1365"/>
      <c r="D53" s="776" t="s">
        <v>1582</v>
      </c>
      <c r="E53" s="895"/>
      <c r="F53" s="895"/>
      <c r="G53" s="895"/>
      <c r="H53" s="895"/>
      <c r="I53" s="895"/>
      <c r="J53" s="895"/>
      <c r="K53" s="895"/>
      <c r="L53" s="895"/>
      <c r="M53" s="895"/>
      <c r="N53" s="895"/>
      <c r="O53" s="895"/>
      <c r="P53" s="895">
        <v>2000</v>
      </c>
      <c r="Q53" s="895">
        <v>6716</v>
      </c>
      <c r="R53" s="895">
        <v>7350</v>
      </c>
      <c r="S53" s="895">
        <v>8198</v>
      </c>
      <c r="T53" s="1372">
        <v>9070</v>
      </c>
      <c r="U53" s="1372">
        <v>7386</v>
      </c>
      <c r="V53" s="1372"/>
      <c r="W53" s="1372"/>
      <c r="X53" s="1372"/>
      <c r="Y53" s="984"/>
      <c r="Z53" s="984"/>
      <c r="AA53" s="984"/>
    </row>
    <row r="54" spans="3:27" x14ac:dyDescent="0.2">
      <c r="C54" s="1365"/>
      <c r="D54" s="1383" t="s">
        <v>54</v>
      </c>
      <c r="E54" s="1118"/>
      <c r="F54" s="1118"/>
      <c r="G54" s="1118"/>
      <c r="H54" s="1118"/>
      <c r="I54" s="1118"/>
      <c r="J54" s="1118"/>
      <c r="K54" s="1118"/>
      <c r="L54" s="1118"/>
      <c r="M54" s="1118"/>
      <c r="N54" s="1118"/>
      <c r="O54" s="1118"/>
      <c r="P54" s="1118">
        <v>19</v>
      </c>
      <c r="Q54" s="1118">
        <v>64</v>
      </c>
      <c r="R54" s="1118">
        <v>69</v>
      </c>
      <c r="S54" s="1118">
        <v>82</v>
      </c>
      <c r="T54" s="2232">
        <v>86</v>
      </c>
      <c r="U54" s="2232">
        <v>73</v>
      </c>
      <c r="V54" s="2232"/>
      <c r="W54" s="2232"/>
      <c r="X54" s="2232"/>
      <c r="Y54" s="984"/>
      <c r="Z54" s="984"/>
      <c r="AA54" s="984"/>
    </row>
    <row r="55" spans="3:27" x14ac:dyDescent="0.2">
      <c r="C55" s="1365"/>
      <c r="D55" s="776" t="s">
        <v>1583</v>
      </c>
      <c r="E55" s="895"/>
      <c r="F55" s="895"/>
      <c r="G55" s="895"/>
      <c r="H55" s="895"/>
      <c r="I55" s="895"/>
      <c r="J55" s="895"/>
      <c r="K55" s="895"/>
      <c r="L55" s="895"/>
      <c r="M55" s="895"/>
      <c r="N55" s="895"/>
      <c r="O55" s="895"/>
      <c r="P55" s="1384" t="s">
        <v>1584</v>
      </c>
      <c r="Q55" s="1384" t="s">
        <v>1585</v>
      </c>
      <c r="R55" s="1384" t="s">
        <v>1585</v>
      </c>
      <c r="S55" s="2233" t="s">
        <v>1586</v>
      </c>
      <c r="T55" s="2233" t="s">
        <v>1587</v>
      </c>
      <c r="U55" s="2233" t="s">
        <v>1588</v>
      </c>
      <c r="V55" s="2233"/>
      <c r="W55" s="2233"/>
      <c r="X55" s="2233"/>
      <c r="Y55" s="984"/>
      <c r="Z55" s="984"/>
      <c r="AA55" s="984"/>
    </row>
    <row r="56" spans="3:27" x14ac:dyDescent="0.2">
      <c r="C56" s="1365"/>
      <c r="D56" s="920" t="s">
        <v>1589</v>
      </c>
      <c r="E56" s="895"/>
      <c r="F56" s="895"/>
      <c r="G56" s="895"/>
      <c r="H56" s="895"/>
      <c r="I56" s="895"/>
      <c r="J56" s="895"/>
      <c r="K56" s="895"/>
      <c r="L56" s="895"/>
      <c r="M56" s="895"/>
      <c r="N56" s="1298"/>
      <c r="O56" s="895"/>
      <c r="P56" s="1385">
        <v>0</v>
      </c>
      <c r="Q56" s="1385">
        <v>0</v>
      </c>
      <c r="R56" s="1385">
        <v>0</v>
      </c>
      <c r="S56" s="1385">
        <v>0</v>
      </c>
      <c r="T56" s="1372">
        <v>0</v>
      </c>
      <c r="U56" s="1372">
        <v>0</v>
      </c>
      <c r="V56" s="1372"/>
      <c r="W56" s="1372"/>
      <c r="X56" s="1372"/>
      <c r="Y56" s="984"/>
      <c r="Z56" s="984"/>
      <c r="AA56" s="984"/>
    </row>
    <row r="57" spans="3:27" x14ac:dyDescent="0.2">
      <c r="C57" s="1365"/>
      <c r="D57" s="1386" t="s">
        <v>1590</v>
      </c>
      <c r="E57" s="1294"/>
      <c r="F57" s="1294"/>
      <c r="G57" s="1294"/>
      <c r="H57" s="1294"/>
      <c r="I57" s="1294"/>
      <c r="J57" s="1294"/>
      <c r="K57" s="1294"/>
      <c r="L57" s="1294"/>
      <c r="M57" s="1294"/>
      <c r="N57" s="1294"/>
      <c r="O57" s="1294"/>
      <c r="P57" s="1387">
        <v>0</v>
      </c>
      <c r="Q57" s="1387">
        <v>0</v>
      </c>
      <c r="R57" s="1387">
        <v>0</v>
      </c>
      <c r="S57" s="2234" t="s">
        <v>1586</v>
      </c>
      <c r="T57" s="2234" t="s">
        <v>1587</v>
      </c>
      <c r="U57" s="2234" t="s">
        <v>1588</v>
      </c>
      <c r="V57" s="2234"/>
      <c r="W57" s="2234"/>
      <c r="X57" s="2234"/>
      <c r="Y57" s="2235"/>
      <c r="Z57" s="2235"/>
      <c r="AA57" s="2235"/>
    </row>
    <row r="58" spans="3:27" x14ac:dyDescent="0.2">
      <c r="C58" s="1365"/>
      <c r="D58" s="984"/>
      <c r="E58" s="984"/>
      <c r="F58" s="984"/>
      <c r="G58" s="984"/>
      <c r="H58" s="984"/>
      <c r="I58" s="984"/>
      <c r="J58" s="984"/>
      <c r="K58" s="984"/>
      <c r="L58" s="984"/>
      <c r="M58" s="984"/>
      <c r="N58" s="984"/>
      <c r="O58" s="984"/>
      <c r="P58" s="984"/>
      <c r="Q58" s="984"/>
      <c r="R58" s="984"/>
      <c r="S58" s="984"/>
      <c r="T58" s="984"/>
      <c r="U58" s="984"/>
      <c r="V58" s="984"/>
      <c r="W58" s="984"/>
      <c r="X58" s="984"/>
    </row>
    <row r="61" spans="3:27" x14ac:dyDescent="0.2">
      <c r="R61" s="1286"/>
    </row>
  </sheetData>
  <mergeCells count="9">
    <mergeCell ref="D47:Y47"/>
    <mergeCell ref="D48:P48"/>
    <mergeCell ref="D49:P49"/>
    <mergeCell ref="D2:Y2"/>
    <mergeCell ref="D3:Y3"/>
    <mergeCell ref="D4:Y4"/>
    <mergeCell ref="D5:Y5"/>
    <mergeCell ref="D45:Y45"/>
    <mergeCell ref="D46:Y46"/>
  </mergeCells>
  <pageMargins left="0.74803149606299213" right="0.74803149606299213" top="0.98425196850393704" bottom="0.98425196850393704" header="0.51181102362204722" footer="0.51181102362204722"/>
  <pageSetup paperSize="9" scale="5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F93"/>
  <sheetViews>
    <sheetView showGridLines="0" view="pageBreakPreview" topLeftCell="C1" zoomScaleNormal="100" zoomScaleSheetLayoutView="100" workbookViewId="0">
      <selection activeCell="P6" sqref="P6"/>
    </sheetView>
  </sheetViews>
  <sheetFormatPr defaultColWidth="9.140625" defaultRowHeight="15" x14ac:dyDescent="0.2"/>
  <cols>
    <col min="1" max="1" width="3.7109375" style="965" customWidth="1"/>
    <col min="2" max="2" width="14.42578125" style="1277" customWidth="1"/>
    <col min="3" max="3" width="3.7109375" style="1277" customWidth="1"/>
    <col min="4" max="4" width="14.140625" style="964" customWidth="1"/>
    <col min="5" max="23" width="6.85546875" style="964" customWidth="1"/>
    <col min="24" max="259" width="9.140625" style="964"/>
    <col min="260" max="260" width="3.7109375" style="964" customWidth="1"/>
    <col min="261" max="261" width="14.42578125" style="964" customWidth="1"/>
    <col min="262" max="262" width="3.7109375" style="964" customWidth="1"/>
    <col min="263" max="263" width="14.140625" style="964" customWidth="1"/>
    <col min="264" max="278" width="6.85546875" style="964" customWidth="1"/>
    <col min="279" max="515" width="9.140625" style="964"/>
    <col min="516" max="516" width="3.7109375" style="964" customWidth="1"/>
    <col min="517" max="517" width="14.42578125" style="964" customWidth="1"/>
    <col min="518" max="518" width="3.7109375" style="964" customWidth="1"/>
    <col min="519" max="519" width="14.140625" style="964" customWidth="1"/>
    <col min="520" max="534" width="6.85546875" style="964" customWidth="1"/>
    <col min="535" max="771" width="9.140625" style="964"/>
    <col min="772" max="772" width="3.7109375" style="964" customWidth="1"/>
    <col min="773" max="773" width="14.42578125" style="964" customWidth="1"/>
    <col min="774" max="774" width="3.7109375" style="964" customWidth="1"/>
    <col min="775" max="775" width="14.140625" style="964" customWidth="1"/>
    <col min="776" max="790" width="6.85546875" style="964" customWidth="1"/>
    <col min="791" max="1027" width="9.140625" style="964"/>
    <col min="1028" max="1028" width="3.7109375" style="964" customWidth="1"/>
    <col min="1029" max="1029" width="14.42578125" style="964" customWidth="1"/>
    <col min="1030" max="1030" width="3.7109375" style="964" customWidth="1"/>
    <col min="1031" max="1031" width="14.140625" style="964" customWidth="1"/>
    <col min="1032" max="1046" width="6.85546875" style="964" customWidth="1"/>
    <col min="1047" max="1283" width="9.140625" style="964"/>
    <col min="1284" max="1284" width="3.7109375" style="964" customWidth="1"/>
    <col min="1285" max="1285" width="14.42578125" style="964" customWidth="1"/>
    <col min="1286" max="1286" width="3.7109375" style="964" customWidth="1"/>
    <col min="1287" max="1287" width="14.140625" style="964" customWidth="1"/>
    <col min="1288" max="1302" width="6.85546875" style="964" customWidth="1"/>
    <col min="1303" max="1539" width="9.140625" style="964"/>
    <col min="1540" max="1540" width="3.7109375" style="964" customWidth="1"/>
    <col min="1541" max="1541" width="14.42578125" style="964" customWidth="1"/>
    <col min="1542" max="1542" width="3.7109375" style="964" customWidth="1"/>
    <col min="1543" max="1543" width="14.140625" style="964" customWidth="1"/>
    <col min="1544" max="1558" width="6.85546875" style="964" customWidth="1"/>
    <col min="1559" max="1795" width="9.140625" style="964"/>
    <col min="1796" max="1796" width="3.7109375" style="964" customWidth="1"/>
    <col min="1797" max="1797" width="14.42578125" style="964" customWidth="1"/>
    <col min="1798" max="1798" width="3.7109375" style="964" customWidth="1"/>
    <col min="1799" max="1799" width="14.140625" style="964" customWidth="1"/>
    <col min="1800" max="1814" width="6.85546875" style="964" customWidth="1"/>
    <col min="1815" max="2051" width="9.140625" style="964"/>
    <col min="2052" max="2052" width="3.7109375" style="964" customWidth="1"/>
    <col min="2053" max="2053" width="14.42578125" style="964" customWidth="1"/>
    <col min="2054" max="2054" width="3.7109375" style="964" customWidth="1"/>
    <col min="2055" max="2055" width="14.140625" style="964" customWidth="1"/>
    <col min="2056" max="2070" width="6.85546875" style="964" customWidth="1"/>
    <col min="2071" max="2307" width="9.140625" style="964"/>
    <col min="2308" max="2308" width="3.7109375" style="964" customWidth="1"/>
    <col min="2309" max="2309" width="14.42578125" style="964" customWidth="1"/>
    <col min="2310" max="2310" width="3.7109375" style="964" customWidth="1"/>
    <col min="2311" max="2311" width="14.140625" style="964" customWidth="1"/>
    <col min="2312" max="2326" width="6.85546875" style="964" customWidth="1"/>
    <col min="2327" max="2563" width="9.140625" style="964"/>
    <col min="2564" max="2564" width="3.7109375" style="964" customWidth="1"/>
    <col min="2565" max="2565" width="14.42578125" style="964" customWidth="1"/>
    <col min="2566" max="2566" width="3.7109375" style="964" customWidth="1"/>
    <col min="2567" max="2567" width="14.140625" style="964" customWidth="1"/>
    <col min="2568" max="2582" width="6.85546875" style="964" customWidth="1"/>
    <col min="2583" max="2819" width="9.140625" style="964"/>
    <col min="2820" max="2820" width="3.7109375" style="964" customWidth="1"/>
    <col min="2821" max="2821" width="14.42578125" style="964" customWidth="1"/>
    <col min="2822" max="2822" width="3.7109375" style="964" customWidth="1"/>
    <col min="2823" max="2823" width="14.140625" style="964" customWidth="1"/>
    <col min="2824" max="2838" width="6.85546875" style="964" customWidth="1"/>
    <col min="2839" max="3075" width="9.140625" style="964"/>
    <col min="3076" max="3076" width="3.7109375" style="964" customWidth="1"/>
    <col min="3077" max="3077" width="14.42578125" style="964" customWidth="1"/>
    <col min="3078" max="3078" width="3.7109375" style="964" customWidth="1"/>
    <col min="3079" max="3079" width="14.140625" style="964" customWidth="1"/>
    <col min="3080" max="3094" width="6.85546875" style="964" customWidth="1"/>
    <col min="3095" max="3331" width="9.140625" style="964"/>
    <col min="3332" max="3332" width="3.7109375" style="964" customWidth="1"/>
    <col min="3333" max="3333" width="14.42578125" style="964" customWidth="1"/>
    <col min="3334" max="3334" width="3.7109375" style="964" customWidth="1"/>
    <col min="3335" max="3335" width="14.140625" style="964" customWidth="1"/>
    <col min="3336" max="3350" width="6.85546875" style="964" customWidth="1"/>
    <col min="3351" max="3587" width="9.140625" style="964"/>
    <col min="3588" max="3588" width="3.7109375" style="964" customWidth="1"/>
    <col min="3589" max="3589" width="14.42578125" style="964" customWidth="1"/>
    <col min="3590" max="3590" width="3.7109375" style="964" customWidth="1"/>
    <col min="3591" max="3591" width="14.140625" style="964" customWidth="1"/>
    <col min="3592" max="3606" width="6.85546875" style="964" customWidth="1"/>
    <col min="3607" max="3843" width="9.140625" style="964"/>
    <col min="3844" max="3844" width="3.7109375" style="964" customWidth="1"/>
    <col min="3845" max="3845" width="14.42578125" style="964" customWidth="1"/>
    <col min="3846" max="3846" width="3.7109375" style="964" customWidth="1"/>
    <col min="3847" max="3847" width="14.140625" style="964" customWidth="1"/>
    <col min="3848" max="3862" width="6.85546875" style="964" customWidth="1"/>
    <col min="3863" max="4099" width="9.140625" style="964"/>
    <col min="4100" max="4100" width="3.7109375" style="964" customWidth="1"/>
    <col min="4101" max="4101" width="14.42578125" style="964" customWidth="1"/>
    <col min="4102" max="4102" width="3.7109375" style="964" customWidth="1"/>
    <col min="4103" max="4103" width="14.140625" style="964" customWidth="1"/>
    <col min="4104" max="4118" width="6.85546875" style="964" customWidth="1"/>
    <col min="4119" max="4355" width="9.140625" style="964"/>
    <col min="4356" max="4356" width="3.7109375" style="964" customWidth="1"/>
    <col min="4357" max="4357" width="14.42578125" style="964" customWidth="1"/>
    <col min="4358" max="4358" width="3.7109375" style="964" customWidth="1"/>
    <col min="4359" max="4359" width="14.140625" style="964" customWidth="1"/>
    <col min="4360" max="4374" width="6.85546875" style="964" customWidth="1"/>
    <col min="4375" max="4611" width="9.140625" style="964"/>
    <col min="4612" max="4612" width="3.7109375" style="964" customWidth="1"/>
    <col min="4613" max="4613" width="14.42578125" style="964" customWidth="1"/>
    <col min="4614" max="4614" width="3.7109375" style="964" customWidth="1"/>
    <col min="4615" max="4615" width="14.140625" style="964" customWidth="1"/>
    <col min="4616" max="4630" width="6.85546875" style="964" customWidth="1"/>
    <col min="4631" max="4867" width="9.140625" style="964"/>
    <col min="4868" max="4868" width="3.7109375" style="964" customWidth="1"/>
    <col min="4869" max="4869" width="14.42578125" style="964" customWidth="1"/>
    <col min="4870" max="4870" width="3.7109375" style="964" customWidth="1"/>
    <col min="4871" max="4871" width="14.140625" style="964" customWidth="1"/>
    <col min="4872" max="4886" width="6.85546875" style="964" customWidth="1"/>
    <col min="4887" max="5123" width="9.140625" style="964"/>
    <col min="5124" max="5124" width="3.7109375" style="964" customWidth="1"/>
    <col min="5125" max="5125" width="14.42578125" style="964" customWidth="1"/>
    <col min="5126" max="5126" width="3.7109375" style="964" customWidth="1"/>
    <col min="5127" max="5127" width="14.140625" style="964" customWidth="1"/>
    <col min="5128" max="5142" width="6.85546875" style="964" customWidth="1"/>
    <col min="5143" max="5379" width="9.140625" style="964"/>
    <col min="5380" max="5380" width="3.7109375" style="964" customWidth="1"/>
    <col min="5381" max="5381" width="14.42578125" style="964" customWidth="1"/>
    <col min="5382" max="5382" width="3.7109375" style="964" customWidth="1"/>
    <col min="5383" max="5383" width="14.140625" style="964" customWidth="1"/>
    <col min="5384" max="5398" width="6.85546875" style="964" customWidth="1"/>
    <col min="5399" max="5635" width="9.140625" style="964"/>
    <col min="5636" max="5636" width="3.7109375" style="964" customWidth="1"/>
    <col min="5637" max="5637" width="14.42578125" style="964" customWidth="1"/>
    <col min="5638" max="5638" width="3.7109375" style="964" customWidth="1"/>
    <col min="5639" max="5639" width="14.140625" style="964" customWidth="1"/>
    <col min="5640" max="5654" width="6.85546875" style="964" customWidth="1"/>
    <col min="5655" max="5891" width="9.140625" style="964"/>
    <col min="5892" max="5892" width="3.7109375" style="964" customWidth="1"/>
    <col min="5893" max="5893" width="14.42578125" style="964" customWidth="1"/>
    <col min="5894" max="5894" width="3.7109375" style="964" customWidth="1"/>
    <col min="5895" max="5895" width="14.140625" style="964" customWidth="1"/>
    <col min="5896" max="5910" width="6.85546875" style="964" customWidth="1"/>
    <col min="5911" max="6147" width="9.140625" style="964"/>
    <col min="6148" max="6148" width="3.7109375" style="964" customWidth="1"/>
    <col min="6149" max="6149" width="14.42578125" style="964" customWidth="1"/>
    <col min="6150" max="6150" width="3.7109375" style="964" customWidth="1"/>
    <col min="6151" max="6151" width="14.140625" style="964" customWidth="1"/>
    <col min="6152" max="6166" width="6.85546875" style="964" customWidth="1"/>
    <col min="6167" max="6403" width="9.140625" style="964"/>
    <col min="6404" max="6404" width="3.7109375" style="964" customWidth="1"/>
    <col min="6405" max="6405" width="14.42578125" style="964" customWidth="1"/>
    <col min="6406" max="6406" width="3.7109375" style="964" customWidth="1"/>
    <col min="6407" max="6407" width="14.140625" style="964" customWidth="1"/>
    <col min="6408" max="6422" width="6.85546875" style="964" customWidth="1"/>
    <col min="6423" max="6659" width="9.140625" style="964"/>
    <col min="6660" max="6660" width="3.7109375" style="964" customWidth="1"/>
    <col min="6661" max="6661" width="14.42578125" style="964" customWidth="1"/>
    <col min="6662" max="6662" width="3.7109375" style="964" customWidth="1"/>
    <col min="6663" max="6663" width="14.140625" style="964" customWidth="1"/>
    <col min="6664" max="6678" width="6.85546875" style="964" customWidth="1"/>
    <col min="6679" max="6915" width="9.140625" style="964"/>
    <col min="6916" max="6916" width="3.7109375" style="964" customWidth="1"/>
    <col min="6917" max="6917" width="14.42578125" style="964" customWidth="1"/>
    <col min="6918" max="6918" width="3.7109375" style="964" customWidth="1"/>
    <col min="6919" max="6919" width="14.140625" style="964" customWidth="1"/>
    <col min="6920" max="6934" width="6.85546875" style="964" customWidth="1"/>
    <col min="6935" max="7171" width="9.140625" style="964"/>
    <col min="7172" max="7172" width="3.7109375" style="964" customWidth="1"/>
    <col min="7173" max="7173" width="14.42578125" style="964" customWidth="1"/>
    <col min="7174" max="7174" width="3.7109375" style="964" customWidth="1"/>
    <col min="7175" max="7175" width="14.140625" style="964" customWidth="1"/>
    <col min="7176" max="7190" width="6.85546875" style="964" customWidth="1"/>
    <col min="7191" max="7427" width="9.140625" style="964"/>
    <col min="7428" max="7428" width="3.7109375" style="964" customWidth="1"/>
    <col min="7429" max="7429" width="14.42578125" style="964" customWidth="1"/>
    <col min="7430" max="7430" width="3.7109375" style="964" customWidth="1"/>
    <col min="7431" max="7431" width="14.140625" style="964" customWidth="1"/>
    <col min="7432" max="7446" width="6.85546875" style="964" customWidth="1"/>
    <col min="7447" max="7683" width="9.140625" style="964"/>
    <col min="7684" max="7684" width="3.7109375" style="964" customWidth="1"/>
    <col min="7685" max="7685" width="14.42578125" style="964" customWidth="1"/>
    <col min="7686" max="7686" width="3.7109375" style="964" customWidth="1"/>
    <col min="7687" max="7687" width="14.140625" style="964" customWidth="1"/>
    <col min="7688" max="7702" width="6.85546875" style="964" customWidth="1"/>
    <col min="7703" max="7939" width="9.140625" style="964"/>
    <col min="7940" max="7940" width="3.7109375" style="964" customWidth="1"/>
    <col min="7941" max="7941" width="14.42578125" style="964" customWidth="1"/>
    <col min="7942" max="7942" width="3.7109375" style="964" customWidth="1"/>
    <col min="7943" max="7943" width="14.140625" style="964" customWidth="1"/>
    <col min="7944" max="7958" width="6.85546875" style="964" customWidth="1"/>
    <col min="7959" max="8195" width="9.140625" style="964"/>
    <col min="8196" max="8196" width="3.7109375" style="964" customWidth="1"/>
    <col min="8197" max="8197" width="14.42578125" style="964" customWidth="1"/>
    <col min="8198" max="8198" width="3.7109375" style="964" customWidth="1"/>
    <col min="8199" max="8199" width="14.140625" style="964" customWidth="1"/>
    <col min="8200" max="8214" width="6.85546875" style="964" customWidth="1"/>
    <col min="8215" max="8451" width="9.140625" style="964"/>
    <col min="8452" max="8452" width="3.7109375" style="964" customWidth="1"/>
    <col min="8453" max="8453" width="14.42578125" style="964" customWidth="1"/>
    <col min="8454" max="8454" width="3.7109375" style="964" customWidth="1"/>
    <col min="8455" max="8455" width="14.140625" style="964" customWidth="1"/>
    <col min="8456" max="8470" width="6.85546875" style="964" customWidth="1"/>
    <col min="8471" max="8707" width="9.140625" style="964"/>
    <col min="8708" max="8708" width="3.7109375" style="964" customWidth="1"/>
    <col min="8709" max="8709" width="14.42578125" style="964" customWidth="1"/>
    <col min="8710" max="8710" width="3.7109375" style="964" customWidth="1"/>
    <col min="8711" max="8711" width="14.140625" style="964" customWidth="1"/>
    <col min="8712" max="8726" width="6.85546875" style="964" customWidth="1"/>
    <col min="8727" max="8963" width="9.140625" style="964"/>
    <col min="8964" max="8964" width="3.7109375" style="964" customWidth="1"/>
    <col min="8965" max="8965" width="14.42578125" style="964" customWidth="1"/>
    <col min="8966" max="8966" width="3.7109375" style="964" customWidth="1"/>
    <col min="8967" max="8967" width="14.140625" style="964" customWidth="1"/>
    <col min="8968" max="8982" width="6.85546875" style="964" customWidth="1"/>
    <col min="8983" max="9219" width="9.140625" style="964"/>
    <col min="9220" max="9220" width="3.7109375" style="964" customWidth="1"/>
    <col min="9221" max="9221" width="14.42578125" style="964" customWidth="1"/>
    <col min="9222" max="9222" width="3.7109375" style="964" customWidth="1"/>
    <col min="9223" max="9223" width="14.140625" style="964" customWidth="1"/>
    <col min="9224" max="9238" width="6.85546875" style="964" customWidth="1"/>
    <col min="9239" max="9475" width="9.140625" style="964"/>
    <col min="9476" max="9476" width="3.7109375" style="964" customWidth="1"/>
    <col min="9477" max="9477" width="14.42578125" style="964" customWidth="1"/>
    <col min="9478" max="9478" width="3.7109375" style="964" customWidth="1"/>
    <col min="9479" max="9479" width="14.140625" style="964" customWidth="1"/>
    <col min="9480" max="9494" width="6.85546875" style="964" customWidth="1"/>
    <col min="9495" max="9731" width="9.140625" style="964"/>
    <col min="9732" max="9732" width="3.7109375" style="964" customWidth="1"/>
    <col min="9733" max="9733" width="14.42578125" style="964" customWidth="1"/>
    <col min="9734" max="9734" width="3.7109375" style="964" customWidth="1"/>
    <col min="9735" max="9735" width="14.140625" style="964" customWidth="1"/>
    <col min="9736" max="9750" width="6.85546875" style="964" customWidth="1"/>
    <col min="9751" max="9987" width="9.140625" style="964"/>
    <col min="9988" max="9988" width="3.7109375" style="964" customWidth="1"/>
    <col min="9989" max="9989" width="14.42578125" style="964" customWidth="1"/>
    <col min="9990" max="9990" width="3.7109375" style="964" customWidth="1"/>
    <col min="9991" max="9991" width="14.140625" style="964" customWidth="1"/>
    <col min="9992" max="10006" width="6.85546875" style="964" customWidth="1"/>
    <col min="10007" max="10243" width="9.140625" style="964"/>
    <col min="10244" max="10244" width="3.7109375" style="964" customWidth="1"/>
    <col min="10245" max="10245" width="14.42578125" style="964" customWidth="1"/>
    <col min="10246" max="10246" width="3.7109375" style="964" customWidth="1"/>
    <col min="10247" max="10247" width="14.140625" style="964" customWidth="1"/>
    <col min="10248" max="10262" width="6.85546875" style="964" customWidth="1"/>
    <col min="10263" max="10499" width="9.140625" style="964"/>
    <col min="10500" max="10500" width="3.7109375" style="964" customWidth="1"/>
    <col min="10501" max="10501" width="14.42578125" style="964" customWidth="1"/>
    <col min="10502" max="10502" width="3.7109375" style="964" customWidth="1"/>
    <col min="10503" max="10503" width="14.140625" style="964" customWidth="1"/>
    <col min="10504" max="10518" width="6.85546875" style="964" customWidth="1"/>
    <col min="10519" max="10755" width="9.140625" style="964"/>
    <col min="10756" max="10756" width="3.7109375" style="964" customWidth="1"/>
    <col min="10757" max="10757" width="14.42578125" style="964" customWidth="1"/>
    <col min="10758" max="10758" width="3.7109375" style="964" customWidth="1"/>
    <col min="10759" max="10759" width="14.140625" style="964" customWidth="1"/>
    <col min="10760" max="10774" width="6.85546875" style="964" customWidth="1"/>
    <col min="10775" max="11011" width="9.140625" style="964"/>
    <col min="11012" max="11012" width="3.7109375" style="964" customWidth="1"/>
    <col min="11013" max="11013" width="14.42578125" style="964" customWidth="1"/>
    <col min="11014" max="11014" width="3.7109375" style="964" customWidth="1"/>
    <col min="11015" max="11015" width="14.140625" style="964" customWidth="1"/>
    <col min="11016" max="11030" width="6.85546875" style="964" customWidth="1"/>
    <col min="11031" max="11267" width="9.140625" style="964"/>
    <col min="11268" max="11268" width="3.7109375" style="964" customWidth="1"/>
    <col min="11269" max="11269" width="14.42578125" style="964" customWidth="1"/>
    <col min="11270" max="11270" width="3.7109375" style="964" customWidth="1"/>
    <col min="11271" max="11271" width="14.140625" style="964" customWidth="1"/>
    <col min="11272" max="11286" width="6.85546875" style="964" customWidth="1"/>
    <col min="11287" max="11523" width="9.140625" style="964"/>
    <col min="11524" max="11524" width="3.7109375" style="964" customWidth="1"/>
    <col min="11525" max="11525" width="14.42578125" style="964" customWidth="1"/>
    <col min="11526" max="11526" width="3.7109375" style="964" customWidth="1"/>
    <col min="11527" max="11527" width="14.140625" style="964" customWidth="1"/>
    <col min="11528" max="11542" width="6.85546875" style="964" customWidth="1"/>
    <col min="11543" max="11779" width="9.140625" style="964"/>
    <col min="11780" max="11780" width="3.7109375" style="964" customWidth="1"/>
    <col min="11781" max="11781" width="14.42578125" style="964" customWidth="1"/>
    <col min="11782" max="11782" width="3.7109375" style="964" customWidth="1"/>
    <col min="11783" max="11783" width="14.140625" style="964" customWidth="1"/>
    <col min="11784" max="11798" width="6.85546875" style="964" customWidth="1"/>
    <col min="11799" max="12035" width="9.140625" style="964"/>
    <col min="12036" max="12036" width="3.7109375" style="964" customWidth="1"/>
    <col min="12037" max="12037" width="14.42578125" style="964" customWidth="1"/>
    <col min="12038" max="12038" width="3.7109375" style="964" customWidth="1"/>
    <col min="12039" max="12039" width="14.140625" style="964" customWidth="1"/>
    <col min="12040" max="12054" width="6.85546875" style="964" customWidth="1"/>
    <col min="12055" max="12291" width="9.140625" style="964"/>
    <col min="12292" max="12292" width="3.7109375" style="964" customWidth="1"/>
    <col min="12293" max="12293" width="14.42578125" style="964" customWidth="1"/>
    <col min="12294" max="12294" width="3.7109375" style="964" customWidth="1"/>
    <col min="12295" max="12295" width="14.140625" style="964" customWidth="1"/>
    <col min="12296" max="12310" width="6.85546875" style="964" customWidth="1"/>
    <col min="12311" max="12547" width="9.140625" style="964"/>
    <col min="12548" max="12548" width="3.7109375" style="964" customWidth="1"/>
    <col min="12549" max="12549" width="14.42578125" style="964" customWidth="1"/>
    <col min="12550" max="12550" width="3.7109375" style="964" customWidth="1"/>
    <col min="12551" max="12551" width="14.140625" style="964" customWidth="1"/>
    <col min="12552" max="12566" width="6.85546875" style="964" customWidth="1"/>
    <col min="12567" max="12803" width="9.140625" style="964"/>
    <col min="12804" max="12804" width="3.7109375" style="964" customWidth="1"/>
    <col min="12805" max="12805" width="14.42578125" style="964" customWidth="1"/>
    <col min="12806" max="12806" width="3.7109375" style="964" customWidth="1"/>
    <col min="12807" max="12807" width="14.140625" style="964" customWidth="1"/>
    <col min="12808" max="12822" width="6.85546875" style="964" customWidth="1"/>
    <col min="12823" max="13059" width="9.140625" style="964"/>
    <col min="13060" max="13060" width="3.7109375" style="964" customWidth="1"/>
    <col min="13061" max="13061" width="14.42578125" style="964" customWidth="1"/>
    <col min="13062" max="13062" width="3.7109375" style="964" customWidth="1"/>
    <col min="13063" max="13063" width="14.140625" style="964" customWidth="1"/>
    <col min="13064" max="13078" width="6.85546875" style="964" customWidth="1"/>
    <col min="13079" max="13315" width="9.140625" style="964"/>
    <col min="13316" max="13316" width="3.7109375" style="964" customWidth="1"/>
    <col min="13317" max="13317" width="14.42578125" style="964" customWidth="1"/>
    <col min="13318" max="13318" width="3.7109375" style="964" customWidth="1"/>
    <col min="13319" max="13319" width="14.140625" style="964" customWidth="1"/>
    <col min="13320" max="13334" width="6.85546875" style="964" customWidth="1"/>
    <col min="13335" max="13571" width="9.140625" style="964"/>
    <col min="13572" max="13572" width="3.7109375" style="964" customWidth="1"/>
    <col min="13573" max="13573" width="14.42578125" style="964" customWidth="1"/>
    <col min="13574" max="13574" width="3.7109375" style="964" customWidth="1"/>
    <col min="13575" max="13575" width="14.140625" style="964" customWidth="1"/>
    <col min="13576" max="13590" width="6.85546875" style="964" customWidth="1"/>
    <col min="13591" max="13827" width="9.140625" style="964"/>
    <col min="13828" max="13828" width="3.7109375" style="964" customWidth="1"/>
    <col min="13829" max="13829" width="14.42578125" style="964" customWidth="1"/>
    <col min="13830" max="13830" width="3.7109375" style="964" customWidth="1"/>
    <col min="13831" max="13831" width="14.140625" style="964" customWidth="1"/>
    <col min="13832" max="13846" width="6.85546875" style="964" customWidth="1"/>
    <col min="13847" max="14083" width="9.140625" style="964"/>
    <col min="14084" max="14084" width="3.7109375" style="964" customWidth="1"/>
    <col min="14085" max="14085" width="14.42578125" style="964" customWidth="1"/>
    <col min="14086" max="14086" width="3.7109375" style="964" customWidth="1"/>
    <col min="14087" max="14087" width="14.140625" style="964" customWidth="1"/>
    <col min="14088" max="14102" width="6.85546875" style="964" customWidth="1"/>
    <col min="14103" max="14339" width="9.140625" style="964"/>
    <col min="14340" max="14340" width="3.7109375" style="964" customWidth="1"/>
    <col min="14341" max="14341" width="14.42578125" style="964" customWidth="1"/>
    <col min="14342" max="14342" width="3.7109375" style="964" customWidth="1"/>
    <col min="14343" max="14343" width="14.140625" style="964" customWidth="1"/>
    <col min="14344" max="14358" width="6.85546875" style="964" customWidth="1"/>
    <col min="14359" max="14595" width="9.140625" style="964"/>
    <col min="14596" max="14596" width="3.7109375" style="964" customWidth="1"/>
    <col min="14597" max="14597" width="14.42578125" style="964" customWidth="1"/>
    <col min="14598" max="14598" width="3.7109375" style="964" customWidth="1"/>
    <col min="14599" max="14599" width="14.140625" style="964" customWidth="1"/>
    <col min="14600" max="14614" width="6.85546875" style="964" customWidth="1"/>
    <col min="14615" max="14851" width="9.140625" style="964"/>
    <col min="14852" max="14852" width="3.7109375" style="964" customWidth="1"/>
    <col min="14853" max="14853" width="14.42578125" style="964" customWidth="1"/>
    <col min="14854" max="14854" width="3.7109375" style="964" customWidth="1"/>
    <col min="14855" max="14855" width="14.140625" style="964" customWidth="1"/>
    <col min="14856" max="14870" width="6.85546875" style="964" customWidth="1"/>
    <col min="14871" max="15107" width="9.140625" style="964"/>
    <col min="15108" max="15108" width="3.7109375" style="964" customWidth="1"/>
    <col min="15109" max="15109" width="14.42578125" style="964" customWidth="1"/>
    <col min="15110" max="15110" width="3.7109375" style="964" customWidth="1"/>
    <col min="15111" max="15111" width="14.140625" style="964" customWidth="1"/>
    <col min="15112" max="15126" width="6.85546875" style="964" customWidth="1"/>
    <col min="15127" max="15363" width="9.140625" style="964"/>
    <col min="15364" max="15364" width="3.7109375" style="964" customWidth="1"/>
    <col min="15365" max="15365" width="14.42578125" style="964" customWidth="1"/>
    <col min="15366" max="15366" width="3.7109375" style="964" customWidth="1"/>
    <col min="15367" max="15367" width="14.140625" style="964" customWidth="1"/>
    <col min="15368" max="15382" width="6.85546875" style="964" customWidth="1"/>
    <col min="15383" max="15619" width="9.140625" style="964"/>
    <col min="15620" max="15620" width="3.7109375" style="964" customWidth="1"/>
    <col min="15621" max="15621" width="14.42578125" style="964" customWidth="1"/>
    <col min="15622" max="15622" width="3.7109375" style="964" customWidth="1"/>
    <col min="15623" max="15623" width="14.140625" style="964" customWidth="1"/>
    <col min="15624" max="15638" width="6.85546875" style="964" customWidth="1"/>
    <col min="15639" max="15875" width="9.140625" style="964"/>
    <col min="15876" max="15876" width="3.7109375" style="964" customWidth="1"/>
    <col min="15877" max="15877" width="14.42578125" style="964" customWidth="1"/>
    <col min="15878" max="15878" width="3.7109375" style="964" customWidth="1"/>
    <col min="15879" max="15879" width="14.140625" style="964" customWidth="1"/>
    <col min="15880" max="15894" width="6.85546875" style="964" customWidth="1"/>
    <col min="15895" max="16131" width="9.140625" style="964"/>
    <col min="16132" max="16132" width="3.7109375" style="964" customWidth="1"/>
    <col min="16133" max="16133" width="14.42578125" style="964" customWidth="1"/>
    <col min="16134" max="16134" width="3.7109375" style="964" customWidth="1"/>
    <col min="16135" max="16135" width="14.140625" style="964" customWidth="1"/>
    <col min="16136" max="16150" width="6.85546875" style="964" customWidth="1"/>
    <col min="16151" max="16384" width="9.140625" style="964"/>
  </cols>
  <sheetData>
    <row r="2" spans="1:24" ht="15" customHeight="1" x14ac:dyDescent="0.2">
      <c r="A2" s="835">
        <v>1</v>
      </c>
      <c r="B2" s="835" t="s">
        <v>24</v>
      </c>
      <c r="C2" s="835">
        <f>TB!C2+1</f>
        <v>42</v>
      </c>
      <c r="D2" s="3626" t="s">
        <v>1591</v>
      </c>
      <c r="E2" s="3627"/>
      <c r="F2" s="3627"/>
      <c r="G2" s="3627"/>
      <c r="H2" s="3627"/>
      <c r="I2" s="3627"/>
      <c r="J2" s="3627"/>
      <c r="K2" s="3627"/>
      <c r="L2" s="3627"/>
      <c r="M2" s="3627"/>
      <c r="N2" s="3627"/>
      <c r="O2" s="3627"/>
      <c r="P2" s="3627"/>
      <c r="Q2" s="3627"/>
      <c r="R2" s="3627"/>
      <c r="S2" s="3627"/>
      <c r="T2" s="3627"/>
      <c r="U2" s="3627"/>
      <c r="V2" s="3627"/>
      <c r="W2" s="3627"/>
      <c r="X2" s="3628"/>
    </row>
    <row r="3" spans="1:24" ht="13.9" customHeight="1" x14ac:dyDescent="0.2">
      <c r="A3" s="835">
        <v>2</v>
      </c>
      <c r="B3" s="835" t="s">
        <v>26</v>
      </c>
      <c r="C3" s="835"/>
      <c r="D3" s="3632" t="s">
        <v>1455</v>
      </c>
      <c r="E3" s="3633"/>
      <c r="F3" s="3633"/>
      <c r="G3" s="3633"/>
      <c r="H3" s="3633"/>
      <c r="I3" s="3633"/>
      <c r="J3" s="3633"/>
      <c r="K3" s="3633"/>
      <c r="L3" s="3633"/>
      <c r="M3" s="3633"/>
      <c r="N3" s="3633"/>
      <c r="O3" s="3633"/>
      <c r="P3" s="3633"/>
      <c r="Q3" s="3633"/>
      <c r="R3" s="3633"/>
      <c r="S3" s="3633"/>
      <c r="T3" s="3633"/>
      <c r="U3" s="3633"/>
      <c r="V3" s="3633"/>
      <c r="W3" s="3633"/>
      <c r="X3" s="3634"/>
    </row>
    <row r="4" spans="1:24" ht="15" customHeight="1" x14ac:dyDescent="0.2">
      <c r="A4" s="835">
        <v>3</v>
      </c>
      <c r="B4" s="835" t="s">
        <v>28</v>
      </c>
      <c r="C4" s="835"/>
      <c r="D4" s="3632" t="s">
        <v>1592</v>
      </c>
      <c r="E4" s="3633"/>
      <c r="F4" s="3633"/>
      <c r="G4" s="3633"/>
      <c r="H4" s="3633"/>
      <c r="I4" s="3633"/>
      <c r="J4" s="3633"/>
      <c r="K4" s="3633"/>
      <c r="L4" s="3633"/>
      <c r="M4" s="3633"/>
      <c r="N4" s="3633"/>
      <c r="O4" s="3633"/>
      <c r="P4" s="3633"/>
      <c r="Q4" s="3633"/>
      <c r="R4" s="3633"/>
      <c r="S4" s="3633"/>
      <c r="T4" s="3633"/>
      <c r="U4" s="3633"/>
      <c r="V4" s="3633"/>
      <c r="W4" s="3633"/>
      <c r="X4" s="3634"/>
    </row>
    <row r="5" spans="1:24" ht="15" customHeight="1" x14ac:dyDescent="0.2">
      <c r="A5" s="835"/>
      <c r="B5" s="835"/>
      <c r="C5" s="835"/>
      <c r="D5" s="985"/>
      <c r="E5" s="985"/>
      <c r="F5" s="985"/>
      <c r="G5" s="985"/>
      <c r="H5" s="985"/>
      <c r="I5" s="985"/>
      <c r="J5" s="985"/>
      <c r="K5" s="985"/>
      <c r="L5" s="985"/>
      <c r="M5" s="985"/>
      <c r="N5" s="985"/>
      <c r="O5" s="985"/>
      <c r="P5" s="985"/>
      <c r="Q5" s="985"/>
      <c r="R5" s="985"/>
      <c r="S5" s="985"/>
      <c r="T5" s="985"/>
      <c r="U5" s="985"/>
      <c r="V5" s="985"/>
      <c r="W5" s="985"/>
      <c r="X5" s="985"/>
    </row>
    <row r="6" spans="1:24" ht="14.25" x14ac:dyDescent="0.2">
      <c r="A6" s="835">
        <v>4</v>
      </c>
      <c r="B6" s="418" t="s">
        <v>1</v>
      </c>
      <c r="C6" s="418"/>
    </row>
    <row r="7" spans="1:24" s="401" customFormat="1" ht="11.25" x14ac:dyDescent="0.2">
      <c r="A7" s="1224"/>
      <c r="B7" s="1222"/>
      <c r="C7" s="1222"/>
      <c r="D7" s="1098" t="s">
        <v>103</v>
      </c>
      <c r="E7" s="1098" t="s">
        <v>1593</v>
      </c>
      <c r="F7" s="1098"/>
      <c r="G7" s="1098"/>
      <c r="H7" s="1098"/>
      <c r="I7" s="1098"/>
      <c r="J7" s="1098"/>
      <c r="K7" s="1098"/>
      <c r="L7" s="1098"/>
      <c r="M7" s="436"/>
      <c r="N7" s="436"/>
      <c r="O7" s="436"/>
      <c r="P7" s="436"/>
      <c r="Q7" s="436"/>
      <c r="R7" s="436"/>
      <c r="S7" s="436"/>
      <c r="T7" s="436"/>
      <c r="U7" s="436"/>
      <c r="V7" s="436"/>
    </row>
    <row r="8" spans="1:24" s="401" customFormat="1" ht="14.25" customHeight="1" x14ac:dyDescent="0.25">
      <c r="A8" s="1224"/>
      <c r="B8" s="1222"/>
      <c r="C8" s="1222"/>
      <c r="D8" s="432"/>
      <c r="E8" s="800">
        <v>1996</v>
      </c>
      <c r="F8" s="800">
        <v>1997</v>
      </c>
      <c r="G8" s="800">
        <v>1998</v>
      </c>
      <c r="H8" s="800">
        <v>1999</v>
      </c>
      <c r="I8" s="1347">
        <v>2000</v>
      </c>
      <c r="J8" s="1347">
        <v>2001</v>
      </c>
      <c r="K8" s="1347">
        <v>2002</v>
      </c>
      <c r="L8" s="1347">
        <v>2003</v>
      </c>
      <c r="M8" s="1347">
        <v>2004</v>
      </c>
      <c r="N8" s="1347">
        <v>2005</v>
      </c>
      <c r="O8" s="1347">
        <v>2006</v>
      </c>
      <c r="P8" s="1347">
        <v>2007</v>
      </c>
      <c r="Q8" s="1347">
        <v>2008</v>
      </c>
      <c r="R8" s="1347">
        <v>2009</v>
      </c>
      <c r="S8" s="1347">
        <v>2010</v>
      </c>
      <c r="T8" s="1347">
        <v>2011</v>
      </c>
      <c r="U8" s="1347">
        <v>2012</v>
      </c>
      <c r="V8" s="1347">
        <v>2013</v>
      </c>
      <c r="W8" s="1347">
        <v>2014</v>
      </c>
      <c r="X8" s="3485">
        <v>2015</v>
      </c>
    </row>
    <row r="9" spans="1:24" s="1319" customFormat="1" ht="23.25" customHeight="1" x14ac:dyDescent="0.25">
      <c r="A9" s="1349"/>
      <c r="B9" s="1350"/>
      <c r="C9" s="1350"/>
      <c r="D9" s="1319" t="s">
        <v>1594</v>
      </c>
      <c r="E9" s="895">
        <v>27035</v>
      </c>
      <c r="F9" s="895">
        <v>23121</v>
      </c>
      <c r="G9" s="895">
        <v>26445</v>
      </c>
      <c r="H9" s="895">
        <v>51444</v>
      </c>
      <c r="I9" s="1351">
        <v>64622</v>
      </c>
      <c r="J9" s="1351">
        <v>26506</v>
      </c>
      <c r="K9" s="1351">
        <v>15649</v>
      </c>
      <c r="L9" s="1351">
        <v>13459</v>
      </c>
      <c r="M9" s="1351">
        <v>13399</v>
      </c>
      <c r="N9" s="1351">
        <v>7755</v>
      </c>
      <c r="O9" s="1388">
        <v>12163</v>
      </c>
      <c r="P9" s="1351">
        <v>5210</v>
      </c>
      <c r="Q9" s="1351">
        <v>7727</v>
      </c>
      <c r="R9" s="1351">
        <v>5586</v>
      </c>
      <c r="S9" s="1351">
        <v>8066</v>
      </c>
      <c r="T9" s="1351">
        <v>9866</v>
      </c>
      <c r="U9" s="1351">
        <v>6646</v>
      </c>
      <c r="V9" s="1351">
        <v>8851</v>
      </c>
      <c r="W9" s="1351">
        <v>13988</v>
      </c>
      <c r="X9" s="3498">
        <v>11276</v>
      </c>
    </row>
    <row r="10" spans="1:24" s="401" customFormat="1" ht="16.5" customHeight="1" x14ac:dyDescent="0.25">
      <c r="A10" s="1224"/>
      <c r="B10" s="1222"/>
      <c r="C10" s="1222"/>
      <c r="D10" s="432" t="s">
        <v>1595</v>
      </c>
      <c r="E10" s="420">
        <v>163</v>
      </c>
      <c r="F10" s="420">
        <v>104</v>
      </c>
      <c r="G10" s="420">
        <v>198</v>
      </c>
      <c r="H10" s="420">
        <v>406</v>
      </c>
      <c r="I10" s="1352">
        <v>458</v>
      </c>
      <c r="J10" s="1352">
        <v>119</v>
      </c>
      <c r="K10" s="1352">
        <v>96</v>
      </c>
      <c r="L10" s="1352">
        <v>142</v>
      </c>
      <c r="M10" s="1352">
        <v>89</v>
      </c>
      <c r="N10" s="1352">
        <v>64</v>
      </c>
      <c r="O10" s="1352">
        <v>89</v>
      </c>
      <c r="P10" s="1352">
        <v>48</v>
      </c>
      <c r="Q10" s="1352">
        <v>44</v>
      </c>
      <c r="R10" s="1352">
        <v>43</v>
      </c>
      <c r="S10" s="1352">
        <v>87</v>
      </c>
      <c r="T10" s="1352">
        <v>89</v>
      </c>
      <c r="U10" s="1352">
        <v>72</v>
      </c>
      <c r="V10" s="1352">
        <v>104</v>
      </c>
      <c r="W10" s="1352">
        <v>174</v>
      </c>
      <c r="X10" s="3499">
        <v>141</v>
      </c>
    </row>
    <row r="11" spans="1:24" x14ac:dyDescent="0.25">
      <c r="D11" s="1356" t="s">
        <v>1596</v>
      </c>
      <c r="E11" s="1389">
        <v>6.029221379692991E-3</v>
      </c>
      <c r="F11" s="1389">
        <v>4.4980753427619913E-3</v>
      </c>
      <c r="G11" s="1389">
        <v>7.4872376630743054E-3</v>
      </c>
      <c r="H11" s="1389">
        <v>7.8920768213980256E-3</v>
      </c>
      <c r="I11" s="1390">
        <v>7.0873696264430073E-3</v>
      </c>
      <c r="J11" s="1390">
        <v>4.4895495359541238E-3</v>
      </c>
      <c r="K11" s="1390">
        <v>6.13457728928366E-3</v>
      </c>
      <c r="L11" s="1390">
        <v>1.0550560962924437E-2</v>
      </c>
      <c r="M11" s="1390">
        <v>6.642286737816255E-3</v>
      </c>
      <c r="N11" s="1390">
        <v>8.2527401676337851E-3</v>
      </c>
      <c r="O11" s="1390">
        <v>7.3172736989229629E-3</v>
      </c>
      <c r="P11" s="1390">
        <v>9.2130518234165067E-3</v>
      </c>
      <c r="Q11" s="1390">
        <v>5.6943186230102236E-3</v>
      </c>
      <c r="R11" s="1390">
        <v>7.6978150000000002E-3</v>
      </c>
      <c r="S11" s="1390">
        <v>1.0786014999999999E-2</v>
      </c>
      <c r="T11" s="1390">
        <v>9.0208797891749449E-3</v>
      </c>
      <c r="U11" s="1390">
        <v>1.0500000000000001E-2</v>
      </c>
      <c r="V11" s="1390">
        <v>1.18E-2</v>
      </c>
      <c r="W11" s="1390">
        <v>1.24E-2</v>
      </c>
      <c r="X11" s="3500">
        <v>1.2500000000000001E-2</v>
      </c>
    </row>
    <row r="12" spans="1:24" x14ac:dyDescent="0.2">
      <c r="D12" s="776"/>
      <c r="E12" s="1391"/>
      <c r="F12" s="1391"/>
      <c r="G12" s="1391"/>
      <c r="H12" s="1391"/>
      <c r="I12" s="1391"/>
      <c r="J12" s="1391"/>
      <c r="K12" s="1391"/>
      <c r="L12" s="1391"/>
      <c r="M12" s="1391"/>
      <c r="N12" s="1391"/>
      <c r="O12" s="1391"/>
      <c r="P12" s="1391"/>
      <c r="Q12" s="1391"/>
      <c r="R12" s="1391"/>
      <c r="S12" s="1391"/>
      <c r="T12" s="1391"/>
      <c r="U12" s="1391"/>
      <c r="V12" s="1391"/>
    </row>
    <row r="13" spans="1:24" ht="14.25" x14ac:dyDescent="0.2">
      <c r="A13" s="835">
        <v>5</v>
      </c>
      <c r="B13" s="835" t="s">
        <v>77</v>
      </c>
      <c r="C13" s="835"/>
      <c r="E13" s="1360"/>
    </row>
    <row r="17" spans="1:25" x14ac:dyDescent="0.2">
      <c r="B17" s="1361"/>
      <c r="C17" s="1361"/>
    </row>
    <row r="20" spans="1:25" x14ac:dyDescent="0.2">
      <c r="Y20" s="1362"/>
    </row>
    <row r="23" spans="1:25" x14ac:dyDescent="0.2">
      <c r="Y23" s="1363"/>
    </row>
    <row r="25" spans="1:25" x14ac:dyDescent="0.2">
      <c r="X25" s="1364"/>
    </row>
    <row r="30" spans="1:25" ht="15" customHeight="1" x14ac:dyDescent="0.2">
      <c r="A30" s="835">
        <v>6</v>
      </c>
      <c r="B30" s="835" t="s">
        <v>78</v>
      </c>
      <c r="C30" s="835"/>
      <c r="D30" s="3615" t="s">
        <v>1597</v>
      </c>
      <c r="E30" s="3616"/>
      <c r="F30" s="3616"/>
      <c r="G30" s="3616"/>
      <c r="H30" s="3616"/>
      <c r="I30" s="3616"/>
      <c r="J30" s="3616"/>
      <c r="K30" s="3616"/>
      <c r="L30" s="3616"/>
      <c r="M30" s="3616"/>
      <c r="N30" s="3616"/>
      <c r="O30" s="3616"/>
      <c r="P30" s="3616"/>
      <c r="Q30" s="3616"/>
      <c r="R30" s="3616"/>
      <c r="S30" s="3616"/>
      <c r="T30" s="3616"/>
      <c r="U30" s="3616"/>
      <c r="V30" s="3616"/>
      <c r="W30" s="3616"/>
      <c r="X30" s="3617"/>
    </row>
    <row r="31" spans="1:25" ht="14.25" customHeight="1" x14ac:dyDescent="0.2">
      <c r="A31" s="963">
        <v>7</v>
      </c>
      <c r="B31" s="963" t="s">
        <v>80</v>
      </c>
      <c r="C31" s="963"/>
      <c r="D31" s="3807" t="s">
        <v>1598</v>
      </c>
      <c r="E31" s="3808"/>
      <c r="F31" s="3808"/>
      <c r="G31" s="3808"/>
      <c r="H31" s="3808"/>
      <c r="I31" s="3808"/>
      <c r="J31" s="3808"/>
      <c r="K31" s="3808"/>
      <c r="L31" s="3808"/>
      <c r="M31" s="3808"/>
      <c r="N31" s="3808"/>
      <c r="O31" s="3808"/>
      <c r="P31" s="3808"/>
      <c r="Q31" s="3808"/>
      <c r="R31" s="3808"/>
      <c r="S31" s="3808"/>
      <c r="T31" s="3808"/>
      <c r="U31" s="3808"/>
      <c r="V31" s="3808"/>
      <c r="W31" s="3808"/>
      <c r="X31" s="3809"/>
    </row>
    <row r="32" spans="1:25" ht="16.5" customHeight="1" x14ac:dyDescent="0.2">
      <c r="A32" s="835">
        <v>8</v>
      </c>
      <c r="B32" s="835" t="s">
        <v>20</v>
      </c>
      <c r="C32" s="835"/>
      <c r="D32" s="3615" t="s">
        <v>1599</v>
      </c>
      <c r="E32" s="3616"/>
      <c r="F32" s="3616"/>
      <c r="G32" s="3616"/>
      <c r="H32" s="3616"/>
      <c r="I32" s="3616"/>
      <c r="J32" s="3616"/>
      <c r="K32" s="3616"/>
      <c r="L32" s="3616"/>
      <c r="M32" s="3616"/>
      <c r="N32" s="3616"/>
      <c r="O32" s="3616"/>
      <c r="P32" s="3616"/>
      <c r="Q32" s="3616"/>
      <c r="R32" s="3616"/>
      <c r="S32" s="3616"/>
      <c r="T32" s="3616"/>
      <c r="U32" s="3616"/>
      <c r="V32" s="3616"/>
      <c r="W32" s="3616"/>
      <c r="X32" s="3617"/>
    </row>
    <row r="33" spans="1:32" ht="14.25" x14ac:dyDescent="0.2">
      <c r="A33" s="964"/>
    </row>
    <row r="34" spans="1:32" ht="14.25" x14ac:dyDescent="0.2">
      <c r="A34" s="964"/>
    </row>
    <row r="37" spans="1:32" ht="14.25" x14ac:dyDescent="0.2">
      <c r="A37" s="964"/>
      <c r="B37" s="2206" t="s">
        <v>1600</v>
      </c>
      <c r="C37" s="1664"/>
      <c r="D37" s="1664"/>
      <c r="E37" s="1664"/>
      <c r="F37" s="1664"/>
      <c r="G37" s="1664"/>
      <c r="H37" s="1664"/>
      <c r="I37" s="1664"/>
      <c r="J37" s="1664"/>
      <c r="K37" s="1664"/>
      <c r="L37" s="1664"/>
      <c r="M37" s="1664"/>
      <c r="N37" s="1664"/>
      <c r="O37" s="1664"/>
      <c r="P37" s="1664"/>
      <c r="Q37" s="1664"/>
      <c r="R37" s="1664"/>
      <c r="S37" s="1664"/>
      <c r="T37" s="1664"/>
      <c r="U37" s="1664"/>
      <c r="V37" s="1664"/>
      <c r="W37" s="1664"/>
      <c r="X37" s="1664"/>
      <c r="Y37" s="1664"/>
      <c r="Z37" s="1664"/>
      <c r="AA37" s="1664"/>
      <c r="AB37" s="1664"/>
      <c r="AC37" s="1664"/>
      <c r="AD37" s="1664"/>
      <c r="AE37" s="1664"/>
      <c r="AF37" s="1664"/>
    </row>
    <row r="38" spans="1:32" ht="14.25" x14ac:dyDescent="0.2">
      <c r="A38" s="964"/>
      <c r="B38" s="1664"/>
      <c r="C38" s="1664"/>
      <c r="D38" s="1664"/>
      <c r="E38" s="1664"/>
      <c r="F38" s="1664"/>
      <c r="G38" s="1664"/>
      <c r="H38" s="1664"/>
      <c r="I38" s="1664"/>
      <c r="J38" s="1664"/>
      <c r="K38" s="1664"/>
      <c r="L38" s="1664"/>
      <c r="M38" s="1664"/>
      <c r="N38" s="1664"/>
      <c r="O38" s="1664"/>
      <c r="P38" s="1664"/>
      <c r="Q38" s="1664"/>
      <c r="R38" s="1664"/>
      <c r="S38" s="1664"/>
      <c r="T38" s="1664"/>
      <c r="U38" s="1664"/>
      <c r="V38" s="1664"/>
      <c r="W38" s="1664"/>
      <c r="X38" s="1664"/>
      <c r="Y38" s="1664"/>
      <c r="Z38" s="1664"/>
      <c r="AA38" s="1664"/>
      <c r="AB38" s="1664"/>
      <c r="AC38" s="1664"/>
      <c r="AD38" s="1664"/>
      <c r="AE38" s="1664"/>
      <c r="AF38" s="1664"/>
    </row>
    <row r="39" spans="1:32" ht="14.25" x14ac:dyDescent="0.2">
      <c r="A39" s="964"/>
      <c r="B39" s="2207" t="s">
        <v>1601</v>
      </c>
      <c r="C39" s="3819" t="s">
        <v>1602</v>
      </c>
      <c r="D39" s="3819"/>
      <c r="E39" s="3819" t="s">
        <v>1603</v>
      </c>
      <c r="F39" s="3819"/>
      <c r="G39" s="3819" t="s">
        <v>1604</v>
      </c>
      <c r="H39" s="3819"/>
      <c r="I39" s="3819" t="s">
        <v>1605</v>
      </c>
      <c r="J39" s="3819"/>
      <c r="K39" s="3819" t="s">
        <v>1141</v>
      </c>
      <c r="L39" s="3819"/>
      <c r="M39" s="3819" t="s">
        <v>1606</v>
      </c>
      <c r="N39" s="3819"/>
      <c r="O39" s="3819" t="s">
        <v>1607</v>
      </c>
      <c r="P39" s="3819"/>
      <c r="Q39" s="3819" t="s">
        <v>1608</v>
      </c>
      <c r="R39" s="3819"/>
      <c r="S39" s="3820" t="s">
        <v>462</v>
      </c>
      <c r="T39" s="3821"/>
      <c r="U39" s="3819" t="s">
        <v>1609</v>
      </c>
      <c r="V39" s="3819"/>
      <c r="W39" s="3819" t="s">
        <v>1140</v>
      </c>
      <c r="X39" s="3819"/>
      <c r="Y39" s="3819" t="s">
        <v>1610</v>
      </c>
      <c r="Z39" s="3819"/>
      <c r="AA39" s="2208" t="s">
        <v>261</v>
      </c>
      <c r="AB39" s="2208" t="s">
        <v>261</v>
      </c>
      <c r="AC39" s="2208" t="s">
        <v>1611</v>
      </c>
    </row>
    <row r="40" spans="1:32" ht="14.25" x14ac:dyDescent="0.2">
      <c r="A40" s="964"/>
      <c r="B40" s="2208" t="s">
        <v>1612</v>
      </c>
      <c r="C40" s="2209" t="s">
        <v>1613</v>
      </c>
      <c r="D40" s="2209" t="s">
        <v>88</v>
      </c>
      <c r="E40" s="2209" t="s">
        <v>1613</v>
      </c>
      <c r="F40" s="2209" t="s">
        <v>88</v>
      </c>
      <c r="G40" s="2209" t="s">
        <v>1613</v>
      </c>
      <c r="H40" s="2209" t="s">
        <v>88</v>
      </c>
      <c r="I40" s="2209" t="s">
        <v>1613</v>
      </c>
      <c r="J40" s="2209" t="s">
        <v>88</v>
      </c>
      <c r="K40" s="2209" t="s">
        <v>1613</v>
      </c>
      <c r="L40" s="2209" t="s">
        <v>88</v>
      </c>
      <c r="M40" s="2209" t="s">
        <v>1613</v>
      </c>
      <c r="N40" s="2209" t="s">
        <v>88</v>
      </c>
      <c r="O40" s="2209" t="s">
        <v>1613</v>
      </c>
      <c r="P40" s="2209" t="s">
        <v>88</v>
      </c>
      <c r="Q40" s="2209" t="s">
        <v>1613</v>
      </c>
      <c r="R40" s="2209" t="s">
        <v>88</v>
      </c>
      <c r="S40" s="2210" t="s">
        <v>88</v>
      </c>
      <c r="T40" s="2209" t="s">
        <v>88</v>
      </c>
      <c r="U40" s="2209" t="s">
        <v>1613</v>
      </c>
      <c r="V40" s="2209" t="s">
        <v>88</v>
      </c>
      <c r="W40" s="2209" t="s">
        <v>1613</v>
      </c>
      <c r="X40" s="2209" t="s">
        <v>88</v>
      </c>
      <c r="Y40" s="2209" t="s">
        <v>1613</v>
      </c>
      <c r="Z40" s="2209" t="s">
        <v>88</v>
      </c>
      <c r="AA40" s="2208" t="s">
        <v>1614</v>
      </c>
      <c r="AB40" s="2208" t="s">
        <v>1615</v>
      </c>
      <c r="AC40" s="2211"/>
    </row>
    <row r="41" spans="1:32" ht="14.25" x14ac:dyDescent="0.2">
      <c r="A41" s="964"/>
      <c r="B41" s="2208" t="s">
        <v>422</v>
      </c>
      <c r="C41" s="1397">
        <v>452</v>
      </c>
      <c r="D41" s="1397">
        <v>4</v>
      </c>
      <c r="E41" s="1397">
        <v>455</v>
      </c>
      <c r="F41" s="1397">
        <v>3</v>
      </c>
      <c r="G41" s="1397">
        <v>1529</v>
      </c>
      <c r="H41" s="1397">
        <v>11</v>
      </c>
      <c r="I41" s="1397">
        <v>650</v>
      </c>
      <c r="J41" s="1397">
        <v>3</v>
      </c>
      <c r="K41" s="1397">
        <v>364</v>
      </c>
      <c r="L41" s="1397">
        <v>1</v>
      </c>
      <c r="M41" s="1397">
        <v>92</v>
      </c>
      <c r="N41" s="1397">
        <v>2</v>
      </c>
      <c r="O41" s="2212">
        <v>47</v>
      </c>
      <c r="P41" s="2212">
        <v>0</v>
      </c>
      <c r="Q41" s="1397">
        <v>26</v>
      </c>
      <c r="R41" s="1397">
        <v>0</v>
      </c>
      <c r="S41" s="1397">
        <v>0</v>
      </c>
      <c r="T41" s="1397">
        <v>5</v>
      </c>
      <c r="U41" s="1397">
        <v>195</v>
      </c>
      <c r="V41" s="1397">
        <v>1</v>
      </c>
      <c r="W41" s="1397">
        <v>183</v>
      </c>
      <c r="X41" s="1397">
        <v>0</v>
      </c>
      <c r="Y41" s="1397">
        <v>128</v>
      </c>
      <c r="Z41" s="1397">
        <v>1</v>
      </c>
      <c r="AA41" s="1397">
        <f t="shared" ref="AA41:AB44" si="0">SUM(C41,E41,G41,I41,K41,M41,O41,Q41,S41,U41,W41,Y41)</f>
        <v>4121</v>
      </c>
      <c r="AB41" s="1397">
        <f t="shared" si="0"/>
        <v>31</v>
      </c>
      <c r="AC41" s="1397">
        <f>AB41/AA41*100</f>
        <v>0.75224460082504252</v>
      </c>
    </row>
    <row r="42" spans="1:32" ht="14.25" x14ac:dyDescent="0.2">
      <c r="A42" s="964"/>
      <c r="B42" s="2208" t="s">
        <v>421</v>
      </c>
      <c r="C42" s="1397">
        <v>707</v>
      </c>
      <c r="D42" s="1397">
        <v>2</v>
      </c>
      <c r="E42" s="1397">
        <v>165</v>
      </c>
      <c r="F42" s="1397">
        <v>2</v>
      </c>
      <c r="G42" s="1397">
        <v>93</v>
      </c>
      <c r="H42" s="1397">
        <v>0</v>
      </c>
      <c r="I42" s="1397">
        <v>114</v>
      </c>
      <c r="J42" s="1397">
        <v>1</v>
      </c>
      <c r="K42" s="1397">
        <v>91</v>
      </c>
      <c r="L42" s="1397">
        <v>0</v>
      </c>
      <c r="M42" s="1397">
        <v>45</v>
      </c>
      <c r="N42" s="1397">
        <v>0</v>
      </c>
      <c r="O42" s="2212">
        <v>88</v>
      </c>
      <c r="P42" s="2212">
        <v>0</v>
      </c>
      <c r="Q42" s="1397">
        <v>65</v>
      </c>
      <c r="R42" s="1397">
        <v>0</v>
      </c>
      <c r="S42" s="1397">
        <v>0</v>
      </c>
      <c r="T42" s="1397">
        <v>0</v>
      </c>
      <c r="U42" s="1397">
        <v>82</v>
      </c>
      <c r="V42" s="1397">
        <v>1</v>
      </c>
      <c r="W42" s="1397">
        <v>84</v>
      </c>
      <c r="X42" s="1397">
        <v>1</v>
      </c>
      <c r="Y42" s="1392">
        <v>68</v>
      </c>
      <c r="Z42" s="1397">
        <v>1</v>
      </c>
      <c r="AA42" s="1397">
        <f t="shared" si="0"/>
        <v>1602</v>
      </c>
      <c r="AB42" s="1397">
        <f t="shared" si="0"/>
        <v>8</v>
      </c>
      <c r="AC42" s="1397">
        <f>AB42/AA42*100</f>
        <v>0.49937578027465668</v>
      </c>
    </row>
    <row r="43" spans="1:32" ht="14.25" x14ac:dyDescent="0.2">
      <c r="A43" s="964"/>
      <c r="B43" s="2208" t="s">
        <v>418</v>
      </c>
      <c r="C43" s="1397">
        <v>167</v>
      </c>
      <c r="D43" s="1397">
        <v>2</v>
      </c>
      <c r="E43" s="1397">
        <v>91</v>
      </c>
      <c r="F43" s="1397">
        <v>0</v>
      </c>
      <c r="G43" s="1397">
        <v>91</v>
      </c>
      <c r="H43" s="1397">
        <v>0</v>
      </c>
      <c r="I43" s="1397">
        <v>50</v>
      </c>
      <c r="J43" s="1397">
        <v>0</v>
      </c>
      <c r="K43" s="1397">
        <v>23</v>
      </c>
      <c r="L43" s="1397">
        <v>0</v>
      </c>
      <c r="M43" s="1397">
        <v>19</v>
      </c>
      <c r="N43" s="1397">
        <v>0</v>
      </c>
      <c r="O43" s="2212">
        <v>31</v>
      </c>
      <c r="P43" s="2212">
        <v>0</v>
      </c>
      <c r="Q43" s="1397">
        <v>21</v>
      </c>
      <c r="R43" s="1397">
        <v>0</v>
      </c>
      <c r="S43" s="1397">
        <v>0</v>
      </c>
      <c r="T43" s="1397">
        <v>0</v>
      </c>
      <c r="U43" s="1397">
        <v>25</v>
      </c>
      <c r="V43" s="1397">
        <v>1</v>
      </c>
      <c r="W43" s="1397">
        <v>21</v>
      </c>
      <c r="X43" s="1397">
        <v>0</v>
      </c>
      <c r="Y43" s="1392">
        <v>23</v>
      </c>
      <c r="Z43" s="1397">
        <v>0</v>
      </c>
      <c r="AA43" s="1397">
        <f t="shared" si="0"/>
        <v>562</v>
      </c>
      <c r="AB43" s="1397">
        <f t="shared" si="0"/>
        <v>3</v>
      </c>
      <c r="AC43" s="1397">
        <f>AB43/AA43*100</f>
        <v>0.53380782918149472</v>
      </c>
    </row>
    <row r="44" spans="1:32" ht="14.25" x14ac:dyDescent="0.2">
      <c r="A44" s="964"/>
      <c r="B44" s="2208" t="s">
        <v>419</v>
      </c>
      <c r="C44" s="1397">
        <v>48</v>
      </c>
      <c r="D44" s="1397">
        <v>0</v>
      </c>
      <c r="E44" s="1397">
        <v>24</v>
      </c>
      <c r="F44" s="1397">
        <v>0</v>
      </c>
      <c r="G44" s="1397">
        <v>17</v>
      </c>
      <c r="H44" s="1397">
        <v>0</v>
      </c>
      <c r="I44" s="1397">
        <v>19</v>
      </c>
      <c r="J44" s="1397">
        <v>0</v>
      </c>
      <c r="K44" s="1397">
        <v>8</v>
      </c>
      <c r="L44" s="1397">
        <v>0</v>
      </c>
      <c r="M44" s="1397">
        <v>8</v>
      </c>
      <c r="N44" s="1397">
        <v>0</v>
      </c>
      <c r="O44" s="2212">
        <v>2</v>
      </c>
      <c r="P44" s="2212">
        <v>0</v>
      </c>
      <c r="Q44" s="1397">
        <v>3</v>
      </c>
      <c r="R44" s="1397">
        <v>0</v>
      </c>
      <c r="S44" s="1397">
        <v>0</v>
      </c>
      <c r="T44" s="2212">
        <v>0</v>
      </c>
      <c r="U44" s="1397">
        <v>1</v>
      </c>
      <c r="V44" s="1397">
        <v>0</v>
      </c>
      <c r="W44" s="1397">
        <v>1</v>
      </c>
      <c r="X44" s="1397">
        <v>0</v>
      </c>
      <c r="Y44" s="1392">
        <v>1</v>
      </c>
      <c r="Z44" s="1397">
        <v>1</v>
      </c>
      <c r="AA44" s="1397">
        <f t="shared" si="0"/>
        <v>132</v>
      </c>
      <c r="AB44" s="1397">
        <f t="shared" si="0"/>
        <v>1</v>
      </c>
      <c r="AC44" s="1397">
        <f>AB44/AA44*100</f>
        <v>0.75757575757575757</v>
      </c>
    </row>
    <row r="45" spans="1:32" ht="14.25" x14ac:dyDescent="0.2">
      <c r="A45" s="964"/>
      <c r="B45" s="2208" t="s">
        <v>420</v>
      </c>
      <c r="C45" s="1397" t="s">
        <v>1616</v>
      </c>
      <c r="D45" s="1397" t="s">
        <v>1616</v>
      </c>
      <c r="E45" s="1397" t="s">
        <v>1616</v>
      </c>
      <c r="F45" s="1397" t="s">
        <v>1616</v>
      </c>
      <c r="G45" s="1397" t="s">
        <v>1616</v>
      </c>
      <c r="H45" s="1397" t="s">
        <v>1616</v>
      </c>
      <c r="I45" s="1397" t="s">
        <v>1616</v>
      </c>
      <c r="J45" s="1397" t="s">
        <v>1616</v>
      </c>
      <c r="K45" s="1397" t="s">
        <v>1616</v>
      </c>
      <c r="L45" s="1397" t="s">
        <v>1616</v>
      </c>
      <c r="M45" s="1397" t="s">
        <v>1616</v>
      </c>
      <c r="N45" s="1397" t="s">
        <v>1616</v>
      </c>
      <c r="O45" s="1652">
        <v>34</v>
      </c>
      <c r="P45" s="2213">
        <v>0</v>
      </c>
      <c r="Q45" s="1652">
        <v>28</v>
      </c>
      <c r="R45" s="2213">
        <v>0</v>
      </c>
      <c r="S45" s="2213">
        <v>0</v>
      </c>
      <c r="T45" s="2213">
        <v>0</v>
      </c>
      <c r="U45" s="1652">
        <v>24</v>
      </c>
      <c r="V45" s="2214">
        <v>0</v>
      </c>
      <c r="W45" s="1652">
        <v>14</v>
      </c>
      <c r="X45" s="1368">
        <v>0</v>
      </c>
      <c r="Y45" s="1652">
        <v>19</v>
      </c>
      <c r="Z45" s="1368">
        <v>0</v>
      </c>
      <c r="AA45" s="1664">
        <v>957</v>
      </c>
      <c r="AB45" s="1664">
        <v>0</v>
      </c>
      <c r="AC45" s="1664">
        <v>64</v>
      </c>
    </row>
    <row r="46" spans="1:32" ht="14.25" x14ac:dyDescent="0.2">
      <c r="A46" s="964"/>
      <c r="B46" s="2208" t="s">
        <v>416</v>
      </c>
      <c r="C46" s="1397" t="s">
        <v>1616</v>
      </c>
      <c r="D46" s="1397" t="s">
        <v>1616</v>
      </c>
      <c r="E46" s="1397" t="s">
        <v>1616</v>
      </c>
      <c r="F46" s="1397" t="s">
        <v>1616</v>
      </c>
      <c r="G46" s="1397" t="s">
        <v>1616</v>
      </c>
      <c r="H46" s="1397" t="s">
        <v>1616</v>
      </c>
      <c r="I46" s="1397" t="s">
        <v>1616</v>
      </c>
      <c r="J46" s="1397" t="s">
        <v>1616</v>
      </c>
      <c r="K46" s="1397" t="s">
        <v>1616</v>
      </c>
      <c r="L46" s="1397" t="s">
        <v>1616</v>
      </c>
      <c r="M46" s="1397" t="s">
        <v>1616</v>
      </c>
      <c r="N46" s="1397" t="s">
        <v>1616</v>
      </c>
      <c r="O46" s="1397" t="s">
        <v>1616</v>
      </c>
      <c r="P46" s="1397" t="s">
        <v>1616</v>
      </c>
      <c r="Q46" s="1397" t="s">
        <v>1616</v>
      </c>
      <c r="R46" s="1397" t="s">
        <v>1616</v>
      </c>
      <c r="S46" s="1397" t="s">
        <v>1616</v>
      </c>
      <c r="T46" s="1397" t="s">
        <v>1616</v>
      </c>
      <c r="U46" s="1397" t="s">
        <v>1616</v>
      </c>
      <c r="V46" s="1397" t="s">
        <v>1616</v>
      </c>
      <c r="W46" s="1397" t="s">
        <v>1616</v>
      </c>
      <c r="X46" s="1397" t="s">
        <v>1616</v>
      </c>
      <c r="Y46" s="1397" t="s">
        <v>1616</v>
      </c>
      <c r="Z46" s="1397" t="s">
        <v>1616</v>
      </c>
      <c r="AA46" s="1397">
        <v>4</v>
      </c>
      <c r="AB46" s="1397">
        <v>0</v>
      </c>
      <c r="AC46" s="1397">
        <f>AB46/AA46*100</f>
        <v>0</v>
      </c>
    </row>
    <row r="47" spans="1:32" x14ac:dyDescent="0.2">
      <c r="A47" s="964"/>
      <c r="B47" s="2208" t="s">
        <v>415</v>
      </c>
      <c r="C47" s="1397" t="s">
        <v>1616</v>
      </c>
      <c r="D47" s="1397" t="s">
        <v>1616</v>
      </c>
      <c r="E47" s="1397" t="s">
        <v>1616</v>
      </c>
      <c r="F47" s="1397" t="s">
        <v>1616</v>
      </c>
      <c r="G47" s="1397" t="s">
        <v>1616</v>
      </c>
      <c r="H47" s="1397" t="s">
        <v>1616</v>
      </c>
      <c r="I47" s="1397" t="s">
        <v>1616</v>
      </c>
      <c r="J47" s="1397" t="s">
        <v>1616</v>
      </c>
      <c r="K47" s="1397" t="s">
        <v>1616</v>
      </c>
      <c r="L47" s="1397" t="s">
        <v>1616</v>
      </c>
      <c r="M47" s="1397" t="s">
        <v>1616</v>
      </c>
      <c r="N47" s="1397" t="s">
        <v>1616</v>
      </c>
      <c r="O47" s="1397" t="s">
        <v>1616</v>
      </c>
      <c r="P47" s="1397" t="s">
        <v>1616</v>
      </c>
      <c r="Q47" s="1397" t="s">
        <v>1616</v>
      </c>
      <c r="R47" s="1397" t="s">
        <v>1616</v>
      </c>
      <c r="S47" s="1397" t="s">
        <v>1616</v>
      </c>
      <c r="T47" s="1397" t="s">
        <v>1616</v>
      </c>
      <c r="U47" s="1397" t="s">
        <v>1616</v>
      </c>
      <c r="V47" s="1397" t="s">
        <v>1616</v>
      </c>
      <c r="W47" s="1397" t="s">
        <v>1616</v>
      </c>
      <c r="X47" s="1397" t="s">
        <v>1616</v>
      </c>
      <c r="Y47" s="1397" t="s">
        <v>1616</v>
      </c>
      <c r="Z47" s="1397" t="s">
        <v>1616</v>
      </c>
      <c r="AA47" s="2215">
        <v>15</v>
      </c>
      <c r="AB47" s="1397">
        <v>0</v>
      </c>
      <c r="AC47" s="1397">
        <f>AB47/AA47*100</f>
        <v>0</v>
      </c>
    </row>
    <row r="48" spans="1:32" ht="14.25" x14ac:dyDescent="0.2">
      <c r="A48" s="964"/>
      <c r="B48" s="2208" t="s">
        <v>261</v>
      </c>
      <c r="C48" s="1397">
        <f>SUM(C41:C46)</f>
        <v>1374</v>
      </c>
      <c r="D48" s="1397">
        <f t="shared" ref="D48:AB48" si="1">SUM(D41:D46)</f>
        <v>8</v>
      </c>
      <c r="E48" s="1397">
        <f t="shared" si="1"/>
        <v>735</v>
      </c>
      <c r="F48" s="1397">
        <f t="shared" si="1"/>
        <v>5</v>
      </c>
      <c r="G48" s="1397">
        <f t="shared" si="1"/>
        <v>1730</v>
      </c>
      <c r="H48" s="1397">
        <f t="shared" si="1"/>
        <v>11</v>
      </c>
      <c r="I48" s="1397">
        <f t="shared" si="1"/>
        <v>833</v>
      </c>
      <c r="J48" s="1397">
        <f t="shared" si="1"/>
        <v>4</v>
      </c>
      <c r="K48" s="1397">
        <f t="shared" si="1"/>
        <v>486</v>
      </c>
      <c r="L48" s="1397">
        <f t="shared" si="1"/>
        <v>1</v>
      </c>
      <c r="M48" s="1397">
        <f t="shared" si="1"/>
        <v>164</v>
      </c>
      <c r="N48" s="1397">
        <f t="shared" si="1"/>
        <v>2</v>
      </c>
      <c r="O48" s="1397">
        <f t="shared" si="1"/>
        <v>202</v>
      </c>
      <c r="P48" s="1397">
        <f t="shared" si="1"/>
        <v>0</v>
      </c>
      <c r="Q48" s="1397">
        <f t="shared" si="1"/>
        <v>143</v>
      </c>
      <c r="R48" s="1397">
        <f t="shared" si="1"/>
        <v>0</v>
      </c>
      <c r="S48" s="1397">
        <f>SUM(S41:S46)</f>
        <v>0</v>
      </c>
      <c r="T48" s="1397">
        <f t="shared" ref="T48:Z48" si="2">SUM(T41:T46)</f>
        <v>5</v>
      </c>
      <c r="U48" s="1397">
        <f t="shared" si="2"/>
        <v>327</v>
      </c>
      <c r="V48" s="1397">
        <f t="shared" si="2"/>
        <v>3</v>
      </c>
      <c r="W48" s="1397">
        <f t="shared" si="2"/>
        <v>303</v>
      </c>
      <c r="X48" s="1397">
        <f t="shared" si="2"/>
        <v>1</v>
      </c>
      <c r="Y48" s="1397">
        <f t="shared" si="2"/>
        <v>239</v>
      </c>
      <c r="Z48" s="1397">
        <f t="shared" si="2"/>
        <v>3</v>
      </c>
      <c r="AA48" s="1397">
        <f>SUM(AA41:AA47)</f>
        <v>7393</v>
      </c>
      <c r="AB48" s="1397">
        <f t="shared" si="1"/>
        <v>43</v>
      </c>
      <c r="AC48" s="1397">
        <f>AB48/AA48*100</f>
        <v>0.58163127282564586</v>
      </c>
    </row>
    <row r="49" spans="1:32" ht="14.25" x14ac:dyDescent="0.2">
      <c r="A49" s="964"/>
      <c r="B49" s="2208"/>
      <c r="C49" s="1397"/>
      <c r="D49" s="1397"/>
      <c r="E49" s="1397"/>
      <c r="F49" s="1397"/>
      <c r="G49" s="1397"/>
      <c r="H49" s="1397"/>
      <c r="I49" s="1397"/>
      <c r="J49" s="1397"/>
      <c r="K49" s="1397"/>
      <c r="L49" s="1397"/>
      <c r="M49" s="1397"/>
      <c r="N49" s="1397"/>
      <c r="O49" s="1397"/>
      <c r="P49" s="1397"/>
      <c r="Q49" s="2212"/>
      <c r="R49" s="2212"/>
      <c r="S49" s="2212"/>
      <c r="T49" s="2212"/>
      <c r="U49" s="1397"/>
      <c r="V49" s="1397"/>
      <c r="W49" s="1397"/>
      <c r="X49" s="1397"/>
      <c r="Y49" s="1397"/>
      <c r="Z49" s="1397"/>
      <c r="AA49" s="1397"/>
      <c r="AB49" s="1397"/>
      <c r="AC49" s="1397"/>
    </row>
    <row r="50" spans="1:32" ht="14.25" x14ac:dyDescent="0.2">
      <c r="A50" s="964"/>
      <c r="B50" s="1664"/>
      <c r="C50" s="1664"/>
      <c r="D50" s="1664"/>
      <c r="E50" s="1664"/>
      <c r="F50" s="1664"/>
      <c r="G50" s="1664"/>
      <c r="H50" s="1664"/>
      <c r="I50" s="1664"/>
      <c r="J50" s="1664"/>
      <c r="K50" s="1664"/>
      <c r="L50" s="1664"/>
      <c r="M50" s="1664"/>
      <c r="N50" s="1664"/>
      <c r="O50" s="1664"/>
      <c r="P50" s="1664"/>
      <c r="Q50" s="1664"/>
      <c r="R50" s="1664"/>
      <c r="S50" s="1664"/>
      <c r="T50" s="1664"/>
      <c r="U50" s="1664"/>
      <c r="V50" s="1664"/>
      <c r="W50" s="1664"/>
      <c r="X50" s="1664"/>
      <c r="Y50" s="1664"/>
      <c r="Z50" s="1664"/>
      <c r="AA50" s="1664"/>
      <c r="AB50" s="1664"/>
      <c r="AC50" s="1664"/>
      <c r="AD50" s="1664"/>
      <c r="AE50" s="1664"/>
      <c r="AF50" s="1664"/>
    </row>
    <row r="51" spans="1:32" ht="14.25" x14ac:dyDescent="0.2">
      <c r="A51" s="964"/>
      <c r="B51" s="1664"/>
      <c r="C51" s="1664"/>
      <c r="D51" s="1664"/>
      <c r="E51" s="1664"/>
      <c r="F51" s="1664"/>
      <c r="G51" s="1664"/>
      <c r="H51" s="1664"/>
      <c r="I51" s="1664"/>
      <c r="J51" s="1664"/>
      <c r="K51" s="1664"/>
      <c r="L51" s="1664"/>
      <c r="M51" s="1664"/>
      <c r="N51" s="1664"/>
      <c r="O51" s="1664"/>
      <c r="P51" s="1664"/>
      <c r="Q51" s="1664"/>
      <c r="R51" s="1664"/>
      <c r="S51" s="1664"/>
      <c r="T51" s="1664"/>
      <c r="U51" s="1664"/>
      <c r="V51" s="1664"/>
      <c r="W51" s="1664"/>
      <c r="X51" s="1664"/>
      <c r="Y51" s="1664"/>
      <c r="Z51" s="1664"/>
      <c r="AA51" s="1664"/>
      <c r="AB51" s="1664"/>
      <c r="AC51" s="1664"/>
      <c r="AD51" s="1664"/>
      <c r="AE51" s="1664"/>
      <c r="AF51" s="1664"/>
    </row>
    <row r="52" spans="1:32" ht="14.25" x14ac:dyDescent="0.2">
      <c r="A52" s="964"/>
      <c r="B52" s="2206" t="s">
        <v>1617</v>
      </c>
      <c r="C52" s="1664"/>
      <c r="D52" s="1664"/>
      <c r="E52" s="1664"/>
      <c r="F52" s="1664"/>
      <c r="G52" s="2206">
        <v>2009</v>
      </c>
      <c r="H52" s="1664"/>
      <c r="I52" s="1664"/>
      <c r="J52" s="1664"/>
      <c r="K52" s="1664"/>
      <c r="L52" s="1664"/>
      <c r="M52" s="1664"/>
      <c r="N52" s="1664"/>
      <c r="O52" s="1664"/>
      <c r="P52" s="1664"/>
      <c r="Q52" s="1664"/>
      <c r="R52" s="1664"/>
      <c r="S52" s="1664"/>
      <c r="T52" s="1664"/>
      <c r="U52" s="1664"/>
      <c r="V52" s="1664"/>
      <c r="W52" s="1664"/>
      <c r="X52" s="1664"/>
      <c r="Y52" s="1664"/>
      <c r="Z52" s="1664"/>
      <c r="AA52" s="1664"/>
      <c r="AB52" s="1664"/>
      <c r="AC52" s="1664"/>
      <c r="AD52" s="1664"/>
      <c r="AE52" s="1664"/>
      <c r="AF52" s="1664"/>
    </row>
    <row r="53" spans="1:32" ht="14.25" x14ac:dyDescent="0.2">
      <c r="A53" s="964"/>
      <c r="B53" s="1664"/>
      <c r="C53" s="1664"/>
      <c r="D53" s="1664"/>
      <c r="E53" s="1664"/>
      <c r="F53" s="1664"/>
      <c r="G53" s="1664"/>
      <c r="H53" s="1664"/>
      <c r="I53" s="1664"/>
      <c r="J53" s="1664"/>
      <c r="K53" s="1664"/>
      <c r="L53" s="1664"/>
      <c r="M53" s="1664"/>
      <c r="N53" s="1664"/>
      <c r="O53" s="1664"/>
      <c r="P53" s="1664"/>
      <c r="Q53" s="1664"/>
      <c r="R53" s="1664"/>
      <c r="S53" s="1664"/>
      <c r="T53" s="1664"/>
      <c r="U53" s="1664"/>
      <c r="V53" s="1664"/>
      <c r="W53" s="1664"/>
      <c r="X53" s="1664"/>
      <c r="Y53" s="1664"/>
      <c r="Z53" s="1664"/>
      <c r="AA53" s="1664"/>
      <c r="AB53" s="1664"/>
      <c r="AC53" s="1664"/>
      <c r="AD53" s="1664"/>
      <c r="AE53" s="1664"/>
      <c r="AF53" s="1664"/>
    </row>
    <row r="54" spans="1:32" ht="14.25" x14ac:dyDescent="0.2">
      <c r="A54" s="964"/>
      <c r="B54" s="2207" t="s">
        <v>1601</v>
      </c>
      <c r="C54" s="3819" t="s">
        <v>1602</v>
      </c>
      <c r="D54" s="3819"/>
      <c r="E54" s="3819" t="s">
        <v>1603</v>
      </c>
      <c r="F54" s="3819"/>
      <c r="G54" s="3819" t="s">
        <v>1604</v>
      </c>
      <c r="H54" s="3819"/>
      <c r="I54" s="3819" t="s">
        <v>1605</v>
      </c>
      <c r="J54" s="3819"/>
      <c r="K54" s="3819" t="s">
        <v>1141</v>
      </c>
      <c r="L54" s="3819"/>
      <c r="M54" s="3819" t="s">
        <v>1606</v>
      </c>
      <c r="N54" s="3819"/>
      <c r="O54" s="3819" t="s">
        <v>1607</v>
      </c>
      <c r="P54" s="3819"/>
      <c r="Q54" s="3819" t="s">
        <v>1608</v>
      </c>
      <c r="R54" s="3819"/>
      <c r="S54" s="3820" t="s">
        <v>462</v>
      </c>
      <c r="T54" s="3821"/>
      <c r="U54" s="3819" t="s">
        <v>1609</v>
      </c>
      <c r="V54" s="3819"/>
      <c r="W54" s="3819" t="s">
        <v>1140</v>
      </c>
      <c r="X54" s="3819"/>
      <c r="Y54" s="3819" t="s">
        <v>1610</v>
      </c>
      <c r="Z54" s="3819"/>
      <c r="AA54" s="2208" t="s">
        <v>261</v>
      </c>
      <c r="AB54" s="2208" t="s">
        <v>261</v>
      </c>
      <c r="AC54" s="2208" t="s">
        <v>1611</v>
      </c>
    </row>
    <row r="55" spans="1:32" ht="14.25" x14ac:dyDescent="0.2">
      <c r="A55" s="964"/>
      <c r="B55" s="2208" t="s">
        <v>1612</v>
      </c>
      <c r="C55" s="2209" t="s">
        <v>1613</v>
      </c>
      <c r="D55" s="2209" t="s">
        <v>88</v>
      </c>
      <c r="E55" s="2209" t="s">
        <v>1613</v>
      </c>
      <c r="F55" s="2209" t="s">
        <v>88</v>
      </c>
      <c r="G55" s="2209" t="s">
        <v>1613</v>
      </c>
      <c r="H55" s="2209" t="s">
        <v>88</v>
      </c>
      <c r="I55" s="2209" t="s">
        <v>1613</v>
      </c>
      <c r="J55" s="2209" t="s">
        <v>88</v>
      </c>
      <c r="K55" s="2209" t="s">
        <v>1613</v>
      </c>
      <c r="L55" s="2209" t="s">
        <v>88</v>
      </c>
      <c r="M55" s="2209" t="s">
        <v>1613</v>
      </c>
      <c r="N55" s="2209" t="s">
        <v>88</v>
      </c>
      <c r="O55" s="2209" t="s">
        <v>1613</v>
      </c>
      <c r="P55" s="2209" t="s">
        <v>88</v>
      </c>
      <c r="Q55" s="2209" t="s">
        <v>1613</v>
      </c>
      <c r="R55" s="2209" t="s">
        <v>88</v>
      </c>
      <c r="S55" s="2210" t="s">
        <v>88</v>
      </c>
      <c r="T55" s="2209" t="s">
        <v>88</v>
      </c>
      <c r="U55" s="2209" t="s">
        <v>1613</v>
      </c>
      <c r="V55" s="2209" t="s">
        <v>88</v>
      </c>
      <c r="W55" s="2209" t="s">
        <v>1613</v>
      </c>
      <c r="X55" s="2209" t="s">
        <v>88</v>
      </c>
      <c r="Y55" s="2209" t="s">
        <v>1613</v>
      </c>
      <c r="Z55" s="2209" t="s">
        <v>88</v>
      </c>
      <c r="AA55" s="2208" t="s">
        <v>1614</v>
      </c>
      <c r="AB55" s="2208" t="s">
        <v>1615</v>
      </c>
      <c r="AC55" s="2216"/>
    </row>
    <row r="56" spans="1:32" ht="14.25" x14ac:dyDescent="0.2">
      <c r="A56" s="964"/>
      <c r="B56" s="2208" t="s">
        <v>422</v>
      </c>
      <c r="C56" s="2212">
        <v>329</v>
      </c>
      <c r="D56" s="2212">
        <v>5</v>
      </c>
      <c r="E56" s="2212">
        <v>370</v>
      </c>
      <c r="F56" s="2212">
        <v>2</v>
      </c>
      <c r="G56" s="2212">
        <v>865</v>
      </c>
      <c r="H56" s="2212">
        <v>6</v>
      </c>
      <c r="I56" s="2212">
        <v>199</v>
      </c>
      <c r="J56" s="2212">
        <v>1</v>
      </c>
      <c r="K56" s="1664">
        <v>180</v>
      </c>
      <c r="L56" s="1664">
        <v>2</v>
      </c>
      <c r="M56" s="2212">
        <v>86</v>
      </c>
      <c r="N56" s="2212">
        <v>1</v>
      </c>
      <c r="O56" s="2212">
        <v>37</v>
      </c>
      <c r="P56" s="2212">
        <v>0</v>
      </c>
      <c r="Q56" s="2212">
        <v>14</v>
      </c>
      <c r="R56" s="2212">
        <v>0</v>
      </c>
      <c r="S56" s="2212">
        <v>0</v>
      </c>
      <c r="T56" s="2212">
        <v>0</v>
      </c>
      <c r="U56" s="1397">
        <v>274</v>
      </c>
      <c r="V56" s="1397">
        <v>2</v>
      </c>
      <c r="W56" s="1397">
        <v>154</v>
      </c>
      <c r="X56" s="1397">
        <v>2</v>
      </c>
      <c r="Y56" s="1397">
        <v>383</v>
      </c>
      <c r="Z56" s="1397">
        <v>7</v>
      </c>
      <c r="AA56" s="2212">
        <f t="shared" ref="AA56:AB59" si="3">SUM(C56,E56,G56,I56,K56,M56,O56,Q56,S56,U56,W56,Y56)</f>
        <v>2891</v>
      </c>
      <c r="AB56" s="2212">
        <f t="shared" si="3"/>
        <v>28</v>
      </c>
      <c r="AC56" s="2212">
        <f>AB56/AA56*100</f>
        <v>0.96852300242130751</v>
      </c>
    </row>
    <row r="57" spans="1:32" ht="14.25" x14ac:dyDescent="0.2">
      <c r="A57" s="964"/>
      <c r="B57" s="2208" t="s">
        <v>421</v>
      </c>
      <c r="C57" s="2212">
        <v>357</v>
      </c>
      <c r="D57" s="2212">
        <v>0</v>
      </c>
      <c r="E57" s="2212">
        <v>214</v>
      </c>
      <c r="F57" s="2212">
        <v>0</v>
      </c>
      <c r="G57" s="2212">
        <v>249</v>
      </c>
      <c r="H57" s="2212">
        <v>2</v>
      </c>
      <c r="I57" s="2212">
        <v>177</v>
      </c>
      <c r="J57" s="2212">
        <v>0</v>
      </c>
      <c r="K57" s="1664">
        <v>129</v>
      </c>
      <c r="L57" s="1664">
        <v>1</v>
      </c>
      <c r="M57" s="2212">
        <v>73</v>
      </c>
      <c r="N57" s="2212">
        <v>1</v>
      </c>
      <c r="O57" s="2212">
        <v>69</v>
      </c>
      <c r="P57" s="2212">
        <v>0</v>
      </c>
      <c r="Q57" s="2212">
        <v>51</v>
      </c>
      <c r="R57" s="2212">
        <v>0</v>
      </c>
      <c r="S57" s="2212">
        <v>0</v>
      </c>
      <c r="T57" s="2212">
        <v>2</v>
      </c>
      <c r="U57" s="1397">
        <v>148</v>
      </c>
      <c r="V57" s="1397">
        <v>1</v>
      </c>
      <c r="W57" s="1397">
        <v>106</v>
      </c>
      <c r="X57" s="1397">
        <v>1</v>
      </c>
      <c r="Y57" s="1392">
        <v>146</v>
      </c>
      <c r="Z57" s="1397">
        <v>0</v>
      </c>
      <c r="AA57" s="2212">
        <f t="shared" si="3"/>
        <v>1719</v>
      </c>
      <c r="AB57" s="2212">
        <f t="shared" si="3"/>
        <v>8</v>
      </c>
      <c r="AC57" s="2212">
        <f>AB57/AA57*100</f>
        <v>0.46538685282140779</v>
      </c>
    </row>
    <row r="58" spans="1:32" ht="14.25" x14ac:dyDescent="0.2">
      <c r="A58" s="964"/>
      <c r="B58" s="2208" t="s">
        <v>418</v>
      </c>
      <c r="C58" s="2212">
        <v>80</v>
      </c>
      <c r="D58" s="2212">
        <v>1</v>
      </c>
      <c r="E58" s="2212">
        <v>53</v>
      </c>
      <c r="F58" s="2212">
        <v>0</v>
      </c>
      <c r="G58" s="2212">
        <v>55</v>
      </c>
      <c r="H58" s="2212">
        <v>2</v>
      </c>
      <c r="I58" s="2212">
        <v>29</v>
      </c>
      <c r="J58" s="2212">
        <v>0</v>
      </c>
      <c r="K58" s="1664">
        <v>48</v>
      </c>
      <c r="L58" s="1664">
        <v>0</v>
      </c>
      <c r="M58" s="2212">
        <v>22</v>
      </c>
      <c r="N58" s="2212">
        <v>0</v>
      </c>
      <c r="O58" s="2212">
        <v>22</v>
      </c>
      <c r="P58" s="2212">
        <v>0</v>
      </c>
      <c r="Q58" s="2212">
        <v>20</v>
      </c>
      <c r="R58" s="2212">
        <v>0</v>
      </c>
      <c r="S58" s="2212">
        <v>0</v>
      </c>
      <c r="T58" s="2212">
        <v>0</v>
      </c>
      <c r="U58" s="1397">
        <v>25</v>
      </c>
      <c r="V58" s="1397">
        <v>0</v>
      </c>
      <c r="W58" s="1397">
        <v>35</v>
      </c>
      <c r="X58" s="1397">
        <v>1</v>
      </c>
      <c r="Y58" s="1392">
        <v>26</v>
      </c>
      <c r="Z58" s="1397">
        <v>0</v>
      </c>
      <c r="AA58" s="2212">
        <f t="shared" si="3"/>
        <v>415</v>
      </c>
      <c r="AB58" s="2212">
        <f t="shared" si="3"/>
        <v>4</v>
      </c>
      <c r="AC58" s="2212">
        <f>AB58/AA58*100</f>
        <v>0.96385542168674709</v>
      </c>
    </row>
    <row r="59" spans="1:32" ht="14.25" x14ac:dyDescent="0.2">
      <c r="A59" s="964"/>
      <c r="B59" s="2208" t="s">
        <v>419</v>
      </c>
      <c r="C59" s="1397">
        <v>22</v>
      </c>
      <c r="D59" s="1397">
        <v>1</v>
      </c>
      <c r="E59" s="1397">
        <v>14</v>
      </c>
      <c r="F59" s="1397">
        <v>1</v>
      </c>
      <c r="G59" s="1397">
        <v>9</v>
      </c>
      <c r="H59" s="1397">
        <v>0</v>
      </c>
      <c r="I59" s="1397">
        <v>8</v>
      </c>
      <c r="J59" s="1397">
        <v>1</v>
      </c>
      <c r="K59" s="1397">
        <v>4</v>
      </c>
      <c r="L59" s="1397">
        <v>0</v>
      </c>
      <c r="M59" s="1397">
        <v>1</v>
      </c>
      <c r="N59" s="1397">
        <v>0</v>
      </c>
      <c r="O59" s="2212">
        <v>2</v>
      </c>
      <c r="P59" s="2212">
        <v>0</v>
      </c>
      <c r="Q59" s="1397">
        <v>3</v>
      </c>
      <c r="R59" s="1397">
        <v>0</v>
      </c>
      <c r="S59" s="1397">
        <v>0</v>
      </c>
      <c r="T59" s="2212">
        <v>0</v>
      </c>
      <c r="U59" s="1397">
        <v>4</v>
      </c>
      <c r="V59" s="1397">
        <v>0</v>
      </c>
      <c r="W59" s="1397">
        <v>5</v>
      </c>
      <c r="X59" s="1397">
        <v>0</v>
      </c>
      <c r="Y59" s="1392">
        <v>2</v>
      </c>
      <c r="Z59" s="1397">
        <v>0</v>
      </c>
      <c r="AA59" s="2212">
        <f t="shared" si="3"/>
        <v>74</v>
      </c>
      <c r="AB59" s="2212">
        <f t="shared" si="3"/>
        <v>3</v>
      </c>
      <c r="AC59" s="2212">
        <f>AB59/AA59*100</f>
        <v>4.0540540540540544</v>
      </c>
    </row>
    <row r="60" spans="1:32" ht="14.25" x14ac:dyDescent="0.2">
      <c r="A60" s="964"/>
      <c r="B60" s="2208" t="s">
        <v>420</v>
      </c>
      <c r="C60" s="2212">
        <v>217</v>
      </c>
      <c r="D60" s="2212" t="s">
        <v>1616</v>
      </c>
      <c r="E60" s="2212">
        <v>64</v>
      </c>
      <c r="F60" s="2212" t="s">
        <v>1616</v>
      </c>
      <c r="G60" s="2212">
        <v>37</v>
      </c>
      <c r="H60" s="2212" t="s">
        <v>1616</v>
      </c>
      <c r="I60" s="2212">
        <v>3</v>
      </c>
      <c r="J60" s="2212" t="s">
        <v>1616</v>
      </c>
      <c r="K60" s="1397">
        <v>32</v>
      </c>
      <c r="L60" s="1397">
        <v>0</v>
      </c>
      <c r="M60" s="2212">
        <v>19</v>
      </c>
      <c r="N60" s="2212">
        <v>0</v>
      </c>
      <c r="O60" s="2212">
        <v>5</v>
      </c>
      <c r="P60" s="2212">
        <v>0</v>
      </c>
      <c r="Q60" s="2212">
        <v>2</v>
      </c>
      <c r="R60" s="2212">
        <v>0</v>
      </c>
      <c r="S60" s="2212">
        <v>0</v>
      </c>
      <c r="T60" s="2212">
        <v>0</v>
      </c>
      <c r="U60" s="1397">
        <v>0</v>
      </c>
      <c r="V60" s="1397">
        <v>0</v>
      </c>
      <c r="W60" s="1397">
        <v>0</v>
      </c>
      <c r="X60" s="1397">
        <v>0</v>
      </c>
      <c r="Y60" s="1392">
        <v>4</v>
      </c>
      <c r="Z60" s="1397">
        <v>0</v>
      </c>
      <c r="AA60" s="1392">
        <v>298</v>
      </c>
      <c r="AB60" s="2212">
        <v>0</v>
      </c>
      <c r="AC60" s="2212">
        <v>0</v>
      </c>
    </row>
    <row r="61" spans="1:32" ht="14.25" x14ac:dyDescent="0.2">
      <c r="A61" s="964"/>
      <c r="B61" s="2208" t="s">
        <v>416</v>
      </c>
      <c r="C61" s="2212"/>
      <c r="D61" s="2212"/>
      <c r="E61" s="2212"/>
      <c r="F61" s="2212"/>
      <c r="G61" s="2212"/>
      <c r="H61" s="2212"/>
      <c r="I61" s="2212"/>
      <c r="J61" s="2212"/>
      <c r="K61" s="1397"/>
      <c r="L61" s="1397"/>
      <c r="M61" s="2212"/>
      <c r="N61" s="2212"/>
      <c r="O61" s="2212"/>
      <c r="P61" s="2212"/>
      <c r="Q61" s="2212"/>
      <c r="R61" s="2212"/>
      <c r="S61" s="2212"/>
      <c r="T61" s="2212"/>
      <c r="U61" s="1397"/>
      <c r="V61" s="1397"/>
      <c r="W61" s="1397"/>
      <c r="X61" s="1397"/>
      <c r="Y61" s="1397"/>
      <c r="Z61" s="1397"/>
      <c r="AA61" s="1392"/>
      <c r="AB61" s="2212"/>
      <c r="AC61" s="2212"/>
    </row>
    <row r="62" spans="1:32" ht="14.25" x14ac:dyDescent="0.2">
      <c r="A62" s="964"/>
      <c r="B62" s="2208" t="s">
        <v>415</v>
      </c>
      <c r="C62" s="2212"/>
      <c r="D62" s="2212"/>
      <c r="E62" s="2212"/>
      <c r="F62" s="2212"/>
      <c r="G62" s="2212"/>
      <c r="H62" s="2212"/>
      <c r="I62" s="2212"/>
      <c r="J62" s="2212"/>
      <c r="K62" s="1397"/>
      <c r="L62" s="1397"/>
      <c r="M62" s="2212"/>
      <c r="N62" s="2212"/>
      <c r="O62" s="2212"/>
      <c r="P62" s="2212"/>
      <c r="Q62" s="2212"/>
      <c r="R62" s="2212"/>
      <c r="S62" s="2212"/>
      <c r="T62" s="2212"/>
      <c r="U62" s="2212"/>
      <c r="V62" s="2212"/>
      <c r="W62" s="2212"/>
      <c r="X62" s="2212"/>
      <c r="Y62" s="1392"/>
      <c r="Z62" s="2212"/>
      <c r="AA62" s="1392"/>
      <c r="AB62" s="2212"/>
      <c r="AC62" s="2212"/>
    </row>
    <row r="63" spans="1:32" ht="14.25" x14ac:dyDescent="0.2">
      <c r="A63" s="964"/>
      <c r="B63" s="2208" t="s">
        <v>261</v>
      </c>
      <c r="C63" s="2212">
        <f t="shared" ref="C63:AB63" si="4">SUM(C56:C60)</f>
        <v>1005</v>
      </c>
      <c r="D63" s="2212">
        <f t="shared" si="4"/>
        <v>7</v>
      </c>
      <c r="E63" s="2212">
        <f t="shared" si="4"/>
        <v>715</v>
      </c>
      <c r="F63" s="2212">
        <f t="shared" si="4"/>
        <v>3</v>
      </c>
      <c r="G63" s="2212">
        <f t="shared" si="4"/>
        <v>1215</v>
      </c>
      <c r="H63" s="2212">
        <f t="shared" si="4"/>
        <v>10</v>
      </c>
      <c r="I63" s="2212">
        <f t="shared" si="4"/>
        <v>416</v>
      </c>
      <c r="J63" s="2212">
        <f t="shared" si="4"/>
        <v>2</v>
      </c>
      <c r="K63" s="1397">
        <f t="shared" si="4"/>
        <v>393</v>
      </c>
      <c r="L63" s="1397">
        <f t="shared" si="4"/>
        <v>3</v>
      </c>
      <c r="M63" s="2212">
        <f t="shared" si="4"/>
        <v>201</v>
      </c>
      <c r="N63" s="2212">
        <f t="shared" si="4"/>
        <v>2</v>
      </c>
      <c r="O63" s="2212">
        <f t="shared" si="4"/>
        <v>135</v>
      </c>
      <c r="P63" s="2212">
        <f t="shared" si="4"/>
        <v>0</v>
      </c>
      <c r="Q63" s="2212">
        <f t="shared" si="4"/>
        <v>90</v>
      </c>
      <c r="R63" s="2212">
        <f t="shared" si="4"/>
        <v>0</v>
      </c>
      <c r="S63" s="2212">
        <f>SUM(S56:S60)</f>
        <v>0</v>
      </c>
      <c r="T63" s="2212">
        <f t="shared" si="4"/>
        <v>2</v>
      </c>
      <c r="U63" s="2212">
        <f t="shared" si="4"/>
        <v>451</v>
      </c>
      <c r="V63" s="2212">
        <f t="shared" si="4"/>
        <v>3</v>
      </c>
      <c r="W63" s="2212">
        <f t="shared" si="4"/>
        <v>300</v>
      </c>
      <c r="X63" s="2212">
        <f t="shared" si="4"/>
        <v>4</v>
      </c>
      <c r="Y63" s="2212">
        <f t="shared" si="4"/>
        <v>561</v>
      </c>
      <c r="Z63" s="2212">
        <f t="shared" si="4"/>
        <v>7</v>
      </c>
      <c r="AA63" s="2212">
        <f t="shared" si="4"/>
        <v>5397</v>
      </c>
      <c r="AB63" s="2212">
        <f t="shared" si="4"/>
        <v>43</v>
      </c>
      <c r="AC63" s="2212">
        <f>AB63/AA63*100</f>
        <v>0.79673892903464882</v>
      </c>
    </row>
    <row r="64" spans="1:32" ht="14.25" x14ac:dyDescent="0.2">
      <c r="A64" s="964"/>
      <c r="B64" s="2208"/>
      <c r="C64" s="2212"/>
      <c r="D64" s="2212"/>
      <c r="E64" s="2212"/>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row>
    <row r="66" spans="1:32" x14ac:dyDescent="0.25">
      <c r="A66" s="964"/>
      <c r="B66" s="2217" t="s">
        <v>1618</v>
      </c>
      <c r="C66" s="2217"/>
      <c r="D66" s="2217"/>
      <c r="E66" s="2217"/>
      <c r="F66" s="2218"/>
      <c r="G66" s="2218"/>
      <c r="H66" s="2218"/>
      <c r="I66" s="2218"/>
      <c r="J66" s="2218"/>
      <c r="K66" s="2218"/>
      <c r="L66" s="2218"/>
      <c r="M66" s="2218"/>
      <c r="N66" s="2218"/>
      <c r="O66" s="2218"/>
      <c r="P66" s="2218"/>
      <c r="Q66" s="2218"/>
      <c r="R66" s="2218"/>
      <c r="S66" s="2218"/>
      <c r="T66" s="2218"/>
      <c r="U66" s="2218"/>
      <c r="V66" s="2218"/>
      <c r="W66" s="2218"/>
      <c r="X66" s="2218"/>
      <c r="Y66" s="2218"/>
      <c r="Z66" s="2218"/>
      <c r="AA66" s="2218"/>
      <c r="AB66" s="2218"/>
      <c r="AC66" s="2218"/>
      <c r="AD66" s="2218"/>
      <c r="AE66" s="2218"/>
      <c r="AF66" s="2218"/>
    </row>
    <row r="67" spans="1:32" ht="14.25" x14ac:dyDescent="0.2">
      <c r="A67" s="964"/>
      <c r="B67" s="1392" t="s">
        <v>1601</v>
      </c>
      <c r="C67" s="1474" t="s">
        <v>1602</v>
      </c>
      <c r="D67" s="1475"/>
      <c r="E67" s="1474" t="s">
        <v>1603</v>
      </c>
      <c r="F67" s="1475"/>
      <c r="G67" s="1474" t="s">
        <v>1604</v>
      </c>
      <c r="H67" s="1475"/>
      <c r="I67" s="1474" t="s">
        <v>1605</v>
      </c>
      <c r="J67" s="1475"/>
      <c r="K67" s="1474" t="s">
        <v>1141</v>
      </c>
      <c r="L67" s="1475"/>
      <c r="M67" s="1474" t="s">
        <v>1606</v>
      </c>
      <c r="N67" s="1475"/>
      <c r="O67" s="1474" t="s">
        <v>1607</v>
      </c>
      <c r="P67" s="1475"/>
      <c r="Q67" s="3817" t="s">
        <v>1608</v>
      </c>
      <c r="R67" s="3818"/>
      <c r="S67" s="3817" t="s">
        <v>462</v>
      </c>
      <c r="T67" s="3818"/>
      <c r="U67" s="3817" t="s">
        <v>1609</v>
      </c>
      <c r="V67" s="3818"/>
      <c r="W67" s="3817" t="s">
        <v>1140</v>
      </c>
      <c r="X67" s="3818"/>
      <c r="Y67" s="3817" t="s">
        <v>1610</v>
      </c>
      <c r="Z67" s="3818"/>
      <c r="AA67" s="1393" t="s">
        <v>261</v>
      </c>
      <c r="AB67" s="1392" t="s">
        <v>261</v>
      </c>
      <c r="AC67" s="1392" t="s">
        <v>1611</v>
      </c>
    </row>
    <row r="68" spans="1:32" ht="14.25" x14ac:dyDescent="0.2">
      <c r="A68" s="964"/>
      <c r="B68" s="1392" t="s">
        <v>1612</v>
      </c>
      <c r="C68" s="1392" t="s">
        <v>261</v>
      </c>
      <c r="D68" s="1394" t="s">
        <v>1595</v>
      </c>
      <c r="E68" s="1395" t="s">
        <v>261</v>
      </c>
      <c r="F68" s="1396" t="s">
        <v>1595</v>
      </c>
      <c r="G68" s="1392" t="s">
        <v>261</v>
      </c>
      <c r="H68" s="1394" t="s">
        <v>1595</v>
      </c>
      <c r="I68" s="1392" t="s">
        <v>261</v>
      </c>
      <c r="J68" s="1394" t="s">
        <v>1595</v>
      </c>
      <c r="K68" s="1392" t="s">
        <v>261</v>
      </c>
      <c r="L68" s="1394" t="s">
        <v>1595</v>
      </c>
      <c r="M68" s="1392" t="s">
        <v>261</v>
      </c>
      <c r="N68" s="1394" t="s">
        <v>1595</v>
      </c>
      <c r="O68" s="1392" t="s">
        <v>261</v>
      </c>
      <c r="P68" s="1394" t="s">
        <v>1595</v>
      </c>
      <c r="Q68" s="1392" t="s">
        <v>261</v>
      </c>
      <c r="R68" s="1394" t="s">
        <v>1595</v>
      </c>
      <c r="S68" s="1392" t="s">
        <v>261</v>
      </c>
      <c r="T68" s="1394" t="s">
        <v>1595</v>
      </c>
      <c r="U68" s="1392" t="s">
        <v>261</v>
      </c>
      <c r="V68" s="1394" t="s">
        <v>1595</v>
      </c>
      <c r="W68" s="1392" t="s">
        <v>261</v>
      </c>
      <c r="X68" s="1394" t="s">
        <v>1595</v>
      </c>
      <c r="Y68" s="1392" t="s">
        <v>261</v>
      </c>
      <c r="Z68" s="1394" t="s">
        <v>1595</v>
      </c>
      <c r="AA68" s="1393" t="s">
        <v>1614</v>
      </c>
      <c r="AB68" s="1392" t="s">
        <v>1615</v>
      </c>
      <c r="AC68" s="1392"/>
    </row>
    <row r="69" spans="1:32" ht="14.25" x14ac:dyDescent="0.2">
      <c r="A69" s="964"/>
      <c r="B69" s="1392" t="s">
        <v>422</v>
      </c>
      <c r="C69" s="1397">
        <v>677</v>
      </c>
      <c r="D69" s="1397">
        <v>4</v>
      </c>
      <c r="E69" s="1397">
        <v>381</v>
      </c>
      <c r="F69" s="1397">
        <v>2</v>
      </c>
      <c r="G69" s="1397">
        <v>312</v>
      </c>
      <c r="H69" s="1397">
        <v>3</v>
      </c>
      <c r="I69" s="1397">
        <v>650</v>
      </c>
      <c r="J69" s="1397">
        <v>3</v>
      </c>
      <c r="K69" s="1397">
        <v>182</v>
      </c>
      <c r="L69" s="1397">
        <v>3</v>
      </c>
      <c r="M69" s="1397">
        <v>65</v>
      </c>
      <c r="N69" s="1397">
        <v>0</v>
      </c>
      <c r="O69" s="1397">
        <v>33</v>
      </c>
      <c r="P69" s="1397">
        <v>1</v>
      </c>
      <c r="Q69" s="1397">
        <v>11</v>
      </c>
      <c r="R69" s="1397">
        <v>0</v>
      </c>
      <c r="S69" s="1397">
        <v>162</v>
      </c>
      <c r="T69" s="1397">
        <v>2</v>
      </c>
      <c r="U69" s="1397">
        <v>722</v>
      </c>
      <c r="V69" s="1397">
        <v>9</v>
      </c>
      <c r="W69" s="1397">
        <v>217</v>
      </c>
      <c r="X69" s="1397">
        <v>2</v>
      </c>
      <c r="Y69" s="1397">
        <v>803</v>
      </c>
      <c r="Z69" s="1397">
        <v>11</v>
      </c>
      <c r="AA69" s="1397">
        <v>4215</v>
      </c>
      <c r="AB69" s="1397">
        <v>40</v>
      </c>
      <c r="AC69" s="1397">
        <v>0.94899169632265723</v>
      </c>
    </row>
    <row r="70" spans="1:32" ht="14.25" x14ac:dyDescent="0.2">
      <c r="A70" s="964"/>
      <c r="B70" s="1392" t="s">
        <v>421</v>
      </c>
      <c r="C70" s="1397">
        <v>460</v>
      </c>
      <c r="D70" s="1397">
        <v>13</v>
      </c>
      <c r="E70" s="1397">
        <v>156</v>
      </c>
      <c r="F70" s="1397">
        <v>0</v>
      </c>
      <c r="G70" s="1397">
        <v>176</v>
      </c>
      <c r="H70" s="1397">
        <v>1</v>
      </c>
      <c r="I70" s="1397">
        <v>275</v>
      </c>
      <c r="J70" s="1397">
        <v>1</v>
      </c>
      <c r="K70" s="1397">
        <v>150</v>
      </c>
      <c r="L70" s="1397">
        <v>2</v>
      </c>
      <c r="M70" s="1397">
        <v>124</v>
      </c>
      <c r="N70" s="1397">
        <v>1</v>
      </c>
      <c r="O70" s="1397">
        <v>99</v>
      </c>
      <c r="P70" s="1397">
        <v>1</v>
      </c>
      <c r="Q70" s="1397">
        <v>51</v>
      </c>
      <c r="R70" s="1397">
        <v>1</v>
      </c>
      <c r="S70" s="1397">
        <v>83</v>
      </c>
      <c r="T70" s="1397">
        <v>0</v>
      </c>
      <c r="U70" s="1397">
        <v>325</v>
      </c>
      <c r="V70" s="1397">
        <v>3</v>
      </c>
      <c r="W70" s="1397">
        <v>137</v>
      </c>
      <c r="X70" s="1397">
        <v>1</v>
      </c>
      <c r="Y70" s="1397">
        <v>159</v>
      </c>
      <c r="Z70" s="1397">
        <v>2</v>
      </c>
      <c r="AA70" s="1397">
        <v>2195</v>
      </c>
      <c r="AB70" s="1397">
        <v>26</v>
      </c>
      <c r="AC70" s="1397">
        <v>1.184510250569476</v>
      </c>
    </row>
    <row r="71" spans="1:32" ht="14.25" x14ac:dyDescent="0.2">
      <c r="A71" s="964"/>
      <c r="B71" s="1392" t="s">
        <v>418</v>
      </c>
      <c r="C71" s="1397">
        <v>56</v>
      </c>
      <c r="D71" s="1397">
        <v>0</v>
      </c>
      <c r="E71" s="1397">
        <v>36</v>
      </c>
      <c r="F71" s="1397">
        <v>0</v>
      </c>
      <c r="G71" s="1397">
        <v>16</v>
      </c>
      <c r="H71" s="1397">
        <v>0</v>
      </c>
      <c r="I71" s="1397">
        <v>60</v>
      </c>
      <c r="J71" s="1397">
        <v>0</v>
      </c>
      <c r="K71" s="1397">
        <v>46</v>
      </c>
      <c r="L71" s="1397">
        <v>0</v>
      </c>
      <c r="M71" s="1397">
        <v>30</v>
      </c>
      <c r="N71" s="1397">
        <v>1</v>
      </c>
      <c r="O71" s="1397">
        <v>21</v>
      </c>
      <c r="P71" s="1397">
        <v>0</v>
      </c>
      <c r="Q71" s="1397">
        <v>10</v>
      </c>
      <c r="R71" s="1397">
        <v>0</v>
      </c>
      <c r="S71" s="1397">
        <v>13</v>
      </c>
      <c r="T71" s="1397">
        <v>0</v>
      </c>
      <c r="U71" s="1397">
        <v>31</v>
      </c>
      <c r="V71" s="1397">
        <v>1</v>
      </c>
      <c r="W71" s="1397">
        <v>32</v>
      </c>
      <c r="X71" s="1397">
        <v>3</v>
      </c>
      <c r="Y71" s="1397">
        <v>29</v>
      </c>
      <c r="Z71" s="1397">
        <v>0</v>
      </c>
      <c r="AA71" s="1397">
        <v>380</v>
      </c>
      <c r="AB71" s="1397">
        <v>5</v>
      </c>
      <c r="AC71" s="1397">
        <v>1.3157894736842104</v>
      </c>
    </row>
    <row r="72" spans="1:32" ht="14.25" x14ac:dyDescent="0.2">
      <c r="A72" s="964"/>
      <c r="B72" s="1392" t="s">
        <v>419</v>
      </c>
      <c r="C72" s="1397">
        <v>36</v>
      </c>
      <c r="D72" s="1397">
        <v>3</v>
      </c>
      <c r="E72" s="1397">
        <v>14</v>
      </c>
      <c r="F72" s="1397">
        <v>0</v>
      </c>
      <c r="G72" s="1397">
        <v>10</v>
      </c>
      <c r="H72" s="1397">
        <v>0</v>
      </c>
      <c r="I72" s="1397">
        <v>27</v>
      </c>
      <c r="J72" s="1397">
        <v>1</v>
      </c>
      <c r="K72" s="1397">
        <v>25</v>
      </c>
      <c r="L72" s="1397">
        <v>0</v>
      </c>
      <c r="M72" s="1397">
        <v>28</v>
      </c>
      <c r="N72" s="1397">
        <v>0</v>
      </c>
      <c r="O72" s="1397">
        <v>14</v>
      </c>
      <c r="P72" s="1397">
        <v>0</v>
      </c>
      <c r="Q72" s="1397">
        <v>6</v>
      </c>
      <c r="R72" s="1397">
        <v>0</v>
      </c>
      <c r="S72" s="1397">
        <v>9</v>
      </c>
      <c r="T72" s="1397">
        <v>0</v>
      </c>
      <c r="U72" s="1397">
        <v>6</v>
      </c>
      <c r="V72" s="1397">
        <v>0</v>
      </c>
      <c r="W72" s="1397">
        <v>8</v>
      </c>
      <c r="X72" s="1397">
        <v>0</v>
      </c>
      <c r="Y72" s="1397">
        <v>3</v>
      </c>
      <c r="Z72" s="1397">
        <v>0</v>
      </c>
      <c r="AA72" s="1397">
        <v>186</v>
      </c>
      <c r="AB72" s="1397">
        <v>4</v>
      </c>
      <c r="AC72" s="1397">
        <v>2.1505376344086025</v>
      </c>
    </row>
    <row r="73" spans="1:32" ht="14.25" x14ac:dyDescent="0.2">
      <c r="A73" s="964"/>
      <c r="B73" s="1392" t="s">
        <v>420</v>
      </c>
      <c r="C73" s="1397">
        <v>174</v>
      </c>
      <c r="D73" s="1397">
        <v>2</v>
      </c>
      <c r="E73" s="1397">
        <v>80</v>
      </c>
      <c r="F73" s="1397">
        <v>2</v>
      </c>
      <c r="G73" s="1397">
        <v>53</v>
      </c>
      <c r="H73" s="1397">
        <v>0</v>
      </c>
      <c r="I73" s="1397">
        <v>121</v>
      </c>
      <c r="J73" s="1397">
        <v>2</v>
      </c>
      <c r="K73" s="1397">
        <v>181</v>
      </c>
      <c r="L73" s="1397">
        <v>1</v>
      </c>
      <c r="M73" s="1397">
        <v>109</v>
      </c>
      <c r="N73" s="1397">
        <v>0</v>
      </c>
      <c r="O73" s="1398">
        <v>62</v>
      </c>
      <c r="P73" s="1397">
        <v>0</v>
      </c>
      <c r="Q73" s="1397">
        <v>36</v>
      </c>
      <c r="R73" s="1397">
        <v>1</v>
      </c>
      <c r="S73" s="1397">
        <v>33</v>
      </c>
      <c r="T73" s="1397">
        <v>1</v>
      </c>
      <c r="U73" s="1397">
        <v>42</v>
      </c>
      <c r="V73" s="1397">
        <v>0</v>
      </c>
      <c r="W73" s="1397">
        <v>38</v>
      </c>
      <c r="X73" s="1397">
        <v>0</v>
      </c>
      <c r="Y73" s="1397">
        <v>31</v>
      </c>
      <c r="Z73" s="1397">
        <v>2</v>
      </c>
      <c r="AA73" s="1397">
        <v>960</v>
      </c>
      <c r="AB73" s="1397">
        <v>11</v>
      </c>
      <c r="AC73" s="1397">
        <v>1.1458333333333333</v>
      </c>
    </row>
    <row r="74" spans="1:32" ht="14.25" x14ac:dyDescent="0.2">
      <c r="A74" s="964"/>
      <c r="B74" s="1392" t="s">
        <v>416</v>
      </c>
      <c r="C74" s="1397"/>
      <c r="D74" s="1397"/>
      <c r="E74" s="1397"/>
      <c r="F74" s="1397"/>
      <c r="G74" s="1397">
        <v>1</v>
      </c>
      <c r="H74" s="1397">
        <v>0</v>
      </c>
      <c r="I74" s="1397">
        <v>2</v>
      </c>
      <c r="J74" s="1397">
        <v>0</v>
      </c>
      <c r="K74" s="1397">
        <v>2</v>
      </c>
      <c r="L74" s="1397">
        <v>0</v>
      </c>
      <c r="M74" s="1397">
        <v>0</v>
      </c>
      <c r="N74" s="1397">
        <v>0</v>
      </c>
      <c r="O74" s="1397">
        <v>1</v>
      </c>
      <c r="P74" s="1397">
        <v>0</v>
      </c>
      <c r="Q74" s="1397">
        <v>2</v>
      </c>
      <c r="R74" s="1397">
        <v>0</v>
      </c>
      <c r="S74" s="1397">
        <v>2</v>
      </c>
      <c r="T74" s="1397">
        <v>1</v>
      </c>
      <c r="U74" s="1397">
        <v>0</v>
      </c>
      <c r="V74" s="1397">
        <v>0</v>
      </c>
      <c r="W74" s="1397">
        <v>1</v>
      </c>
      <c r="X74" s="1397">
        <v>0</v>
      </c>
      <c r="Y74" s="1397">
        <v>1</v>
      </c>
      <c r="Z74" s="1397">
        <v>0</v>
      </c>
      <c r="AA74" s="1397">
        <v>12</v>
      </c>
      <c r="AB74" s="1397">
        <v>1</v>
      </c>
      <c r="AC74" s="1397">
        <v>8.3333333333333321</v>
      </c>
    </row>
    <row r="75" spans="1:32" ht="14.25" x14ac:dyDescent="0.2">
      <c r="A75" s="964"/>
      <c r="B75" s="1392" t="s">
        <v>415</v>
      </c>
      <c r="C75" s="1397">
        <v>1</v>
      </c>
      <c r="D75" s="1397">
        <v>0</v>
      </c>
      <c r="E75" s="1397"/>
      <c r="F75" s="1397"/>
      <c r="G75" s="1397"/>
      <c r="H75" s="1397"/>
      <c r="I75" s="1397"/>
      <c r="J75" s="1397"/>
      <c r="K75" s="1397">
        <v>1</v>
      </c>
      <c r="L75" s="1397">
        <v>0</v>
      </c>
      <c r="M75" s="1397">
        <v>3</v>
      </c>
      <c r="N75" s="1397">
        <v>0</v>
      </c>
      <c r="O75" s="1397">
        <v>4</v>
      </c>
      <c r="P75" s="1397">
        <v>0</v>
      </c>
      <c r="Q75" s="1397"/>
      <c r="R75" s="1397"/>
      <c r="S75" s="1397"/>
      <c r="T75" s="1397"/>
      <c r="U75" s="1397"/>
      <c r="V75" s="1397"/>
      <c r="W75" s="1397"/>
      <c r="X75" s="1397"/>
      <c r="Y75" s="1397"/>
      <c r="Z75" s="1397"/>
      <c r="AA75" s="1397">
        <v>9</v>
      </c>
      <c r="AB75" s="1397">
        <v>0</v>
      </c>
      <c r="AC75" s="1397">
        <v>0</v>
      </c>
    </row>
    <row r="76" spans="1:32" ht="14.25" x14ac:dyDescent="0.2">
      <c r="A76" s="964"/>
      <c r="B76" s="1392" t="s">
        <v>414</v>
      </c>
      <c r="C76" s="1397">
        <v>16</v>
      </c>
      <c r="D76" s="1397">
        <v>0</v>
      </c>
      <c r="E76" s="1397">
        <v>6</v>
      </c>
      <c r="F76" s="1397">
        <v>0</v>
      </c>
      <c r="G76" s="1397">
        <v>14</v>
      </c>
      <c r="H76" s="1397">
        <v>0</v>
      </c>
      <c r="I76" s="1397">
        <v>5</v>
      </c>
      <c r="J76" s="1397">
        <v>0</v>
      </c>
      <c r="K76" s="1397">
        <v>11</v>
      </c>
      <c r="L76" s="1397">
        <v>0</v>
      </c>
      <c r="M76" s="1397">
        <v>2</v>
      </c>
      <c r="N76" s="1397">
        <v>0</v>
      </c>
      <c r="O76" s="1397">
        <v>4</v>
      </c>
      <c r="P76" s="1397">
        <v>0</v>
      </c>
      <c r="Q76" s="1397">
        <v>2</v>
      </c>
      <c r="R76" s="1397">
        <v>0</v>
      </c>
      <c r="S76" s="1397">
        <v>6</v>
      </c>
      <c r="T76" s="1397">
        <v>0</v>
      </c>
      <c r="U76" s="1397">
        <v>3</v>
      </c>
      <c r="V76" s="1397">
        <v>0</v>
      </c>
      <c r="W76" s="1397">
        <v>1</v>
      </c>
      <c r="X76" s="1397">
        <v>0</v>
      </c>
      <c r="Y76" s="1397">
        <v>5</v>
      </c>
      <c r="Z76" s="1397">
        <v>0</v>
      </c>
      <c r="AA76" s="1397">
        <v>75</v>
      </c>
      <c r="AB76" s="1397">
        <v>0</v>
      </c>
      <c r="AC76" s="1397">
        <v>0</v>
      </c>
    </row>
    <row r="77" spans="1:32" ht="14.25" x14ac:dyDescent="0.2">
      <c r="A77" s="964"/>
      <c r="B77" s="1392" t="s">
        <v>417</v>
      </c>
      <c r="C77" s="1397">
        <v>3</v>
      </c>
      <c r="D77" s="1397">
        <v>0</v>
      </c>
      <c r="E77" s="1397">
        <v>1</v>
      </c>
      <c r="F77" s="1397">
        <v>0</v>
      </c>
      <c r="G77" s="1397">
        <v>3</v>
      </c>
      <c r="H77" s="1397">
        <v>0</v>
      </c>
      <c r="I77" s="1397">
        <v>6</v>
      </c>
      <c r="J77" s="1397">
        <v>0</v>
      </c>
      <c r="K77" s="1397">
        <v>3</v>
      </c>
      <c r="L77" s="1397">
        <v>0</v>
      </c>
      <c r="M77" s="1397">
        <v>2</v>
      </c>
      <c r="N77" s="1397">
        <v>0</v>
      </c>
      <c r="O77" s="1397">
        <v>2</v>
      </c>
      <c r="P77" s="1397">
        <v>0</v>
      </c>
      <c r="Q77" s="1397">
        <v>1</v>
      </c>
      <c r="R77" s="1397">
        <v>0</v>
      </c>
      <c r="S77" s="1397">
        <v>3</v>
      </c>
      <c r="T77" s="1397">
        <v>0</v>
      </c>
      <c r="U77" s="1397">
        <v>2</v>
      </c>
      <c r="V77" s="1397">
        <v>0</v>
      </c>
      <c r="W77" s="1397">
        <v>6</v>
      </c>
      <c r="X77" s="1397">
        <v>0</v>
      </c>
      <c r="Y77" s="1397">
        <v>2</v>
      </c>
      <c r="Z77" s="1397">
        <v>0</v>
      </c>
      <c r="AA77" s="1397">
        <v>34</v>
      </c>
      <c r="AB77" s="1397">
        <v>0</v>
      </c>
      <c r="AC77" s="1397">
        <v>0</v>
      </c>
    </row>
    <row r="78" spans="1:32" ht="14.25" x14ac:dyDescent="0.2">
      <c r="A78" s="964"/>
      <c r="B78" s="1392" t="s">
        <v>261</v>
      </c>
      <c r="C78" s="1397">
        <v>1423</v>
      </c>
      <c r="D78" s="1397">
        <v>22</v>
      </c>
      <c r="E78" s="1397">
        <v>674</v>
      </c>
      <c r="F78" s="1397">
        <v>4</v>
      </c>
      <c r="G78" s="1397">
        <v>585</v>
      </c>
      <c r="H78" s="1397">
        <v>4</v>
      </c>
      <c r="I78" s="1397">
        <v>1146</v>
      </c>
      <c r="J78" s="1397">
        <v>7</v>
      </c>
      <c r="K78" s="1397">
        <v>601</v>
      </c>
      <c r="L78" s="1397">
        <v>6</v>
      </c>
      <c r="M78" s="1397">
        <v>363</v>
      </c>
      <c r="N78" s="1397">
        <v>2</v>
      </c>
      <c r="O78" s="1397">
        <v>240</v>
      </c>
      <c r="P78" s="1397">
        <v>2</v>
      </c>
      <c r="Q78" s="1397">
        <v>119</v>
      </c>
      <c r="R78" s="1397">
        <v>2</v>
      </c>
      <c r="S78" s="1397">
        <v>311</v>
      </c>
      <c r="T78" s="1397">
        <v>4</v>
      </c>
      <c r="U78" s="1397">
        <v>1131</v>
      </c>
      <c r="V78" s="1397">
        <v>13</v>
      </c>
      <c r="W78" s="1397">
        <v>440</v>
      </c>
      <c r="X78" s="1397">
        <v>6</v>
      </c>
      <c r="Y78" s="1397">
        <v>1033</v>
      </c>
      <c r="Z78" s="1397">
        <v>15</v>
      </c>
      <c r="AA78" s="1397">
        <v>8066</v>
      </c>
      <c r="AB78" s="1397">
        <v>87</v>
      </c>
      <c r="AC78" s="1397">
        <v>1.0786015373171338</v>
      </c>
    </row>
    <row r="79" spans="1:32" ht="14.25" x14ac:dyDescent="0.2">
      <c r="A79" s="964"/>
      <c r="B79" s="1392" t="s">
        <v>261</v>
      </c>
      <c r="C79" s="1397">
        <v>1423</v>
      </c>
      <c r="D79" s="1397">
        <v>22</v>
      </c>
      <c r="E79" s="1397">
        <v>674</v>
      </c>
      <c r="F79" s="1397">
        <v>4</v>
      </c>
      <c r="G79" s="1397">
        <v>585</v>
      </c>
      <c r="H79" s="1397">
        <v>4</v>
      </c>
      <c r="I79" s="1397">
        <v>1146</v>
      </c>
      <c r="J79" s="1397">
        <v>7</v>
      </c>
      <c r="K79" s="1397">
        <v>601</v>
      </c>
      <c r="L79" s="1397">
        <v>6</v>
      </c>
      <c r="M79" s="1397">
        <v>363</v>
      </c>
      <c r="N79" s="1397">
        <v>2</v>
      </c>
      <c r="O79" s="1397">
        <v>240</v>
      </c>
      <c r="P79" s="1397">
        <v>2</v>
      </c>
      <c r="Q79" s="1397">
        <v>119</v>
      </c>
      <c r="R79" s="1397"/>
      <c r="S79" s="1397">
        <v>2</v>
      </c>
      <c r="T79" s="1397">
        <v>4</v>
      </c>
      <c r="U79" s="1397">
        <v>1131</v>
      </c>
      <c r="V79" s="1397">
        <v>13</v>
      </c>
      <c r="W79" s="1397">
        <v>440</v>
      </c>
      <c r="X79" s="1397">
        <v>6</v>
      </c>
      <c r="Y79" s="1397">
        <v>1033</v>
      </c>
      <c r="Z79" s="1397">
        <v>15</v>
      </c>
      <c r="AA79" s="1397">
        <v>8066</v>
      </c>
      <c r="AB79" s="1397">
        <v>87</v>
      </c>
      <c r="AC79" s="1397">
        <v>1.0786015373171338</v>
      </c>
      <c r="AD79" s="964">
        <f>+AB79/AA79*100</f>
        <v>1.0786015373171338</v>
      </c>
    </row>
    <row r="81" spans="1:32" x14ac:dyDescent="0.25">
      <c r="A81" s="964"/>
      <c r="B81" s="2217" t="s">
        <v>1619</v>
      </c>
      <c r="C81" s="2217"/>
      <c r="D81" s="2217"/>
      <c r="E81" s="2217"/>
      <c r="F81" s="2218"/>
      <c r="G81" s="2218"/>
      <c r="H81" s="2218"/>
      <c r="I81" s="2218"/>
      <c r="J81" s="2218"/>
      <c r="K81" s="2218"/>
      <c r="L81" s="2218"/>
      <c r="M81" s="2218"/>
      <c r="N81" s="2218"/>
      <c r="O81" s="2218"/>
      <c r="P81" s="2218"/>
      <c r="Q81" s="2218"/>
      <c r="R81" s="2218"/>
      <c r="S81" s="2218"/>
      <c r="T81" s="2218"/>
      <c r="U81" s="2218"/>
      <c r="V81" s="2218"/>
      <c r="W81" s="2218"/>
      <c r="X81" s="2218"/>
      <c r="Y81" s="2218"/>
      <c r="Z81" s="2218"/>
      <c r="AA81" s="2218"/>
      <c r="AB81" s="2218"/>
      <c r="AC81" s="2218"/>
      <c r="AD81" s="2218"/>
      <c r="AE81" s="2218"/>
      <c r="AF81" s="2218"/>
    </row>
    <row r="82" spans="1:32" ht="14.25" x14ac:dyDescent="0.2">
      <c r="A82" s="964"/>
      <c r="B82" s="1392" t="s">
        <v>1601</v>
      </c>
      <c r="C82" s="1474" t="s">
        <v>1602</v>
      </c>
      <c r="D82" s="1475"/>
      <c r="E82" s="1474" t="s">
        <v>1603</v>
      </c>
      <c r="F82" s="1475"/>
      <c r="G82" s="1474" t="s">
        <v>1604</v>
      </c>
      <c r="H82" s="1475"/>
      <c r="I82" s="1474" t="s">
        <v>1605</v>
      </c>
      <c r="J82" s="1475"/>
      <c r="K82" s="1474" t="s">
        <v>1141</v>
      </c>
      <c r="L82" s="1475"/>
      <c r="M82" s="1474" t="s">
        <v>1606</v>
      </c>
      <c r="N82" s="1475"/>
      <c r="O82" s="1474" t="s">
        <v>1607</v>
      </c>
      <c r="P82" s="1475"/>
      <c r="Q82" s="1474" t="s">
        <v>1608</v>
      </c>
      <c r="R82" s="1475"/>
      <c r="S82" s="1474" t="s">
        <v>462</v>
      </c>
      <c r="T82" s="1475"/>
      <c r="U82" s="1474" t="s">
        <v>1609</v>
      </c>
      <c r="V82" s="1475"/>
      <c r="W82" s="1474" t="s">
        <v>1140</v>
      </c>
      <c r="X82" s="1475"/>
      <c r="Y82" s="1474" t="s">
        <v>1610</v>
      </c>
      <c r="Z82" s="1475"/>
      <c r="AA82" s="1393" t="s">
        <v>261</v>
      </c>
      <c r="AB82" s="1392" t="s">
        <v>261</v>
      </c>
      <c r="AC82" s="1392" t="s">
        <v>1611</v>
      </c>
    </row>
    <row r="83" spans="1:32" ht="14.25" x14ac:dyDescent="0.2">
      <c r="A83" s="964"/>
      <c r="B83" s="1392" t="s">
        <v>1612</v>
      </c>
      <c r="C83" s="1392" t="s">
        <v>261</v>
      </c>
      <c r="D83" s="1394" t="s">
        <v>1595</v>
      </c>
      <c r="E83" s="1395" t="s">
        <v>261</v>
      </c>
      <c r="F83" s="1396" t="s">
        <v>1595</v>
      </c>
      <c r="G83" s="1392" t="s">
        <v>261</v>
      </c>
      <c r="H83" s="1394" t="s">
        <v>1595</v>
      </c>
      <c r="I83" s="1392" t="s">
        <v>261</v>
      </c>
      <c r="J83" s="1394" t="s">
        <v>1595</v>
      </c>
      <c r="K83" s="1392" t="s">
        <v>261</v>
      </c>
      <c r="L83" s="1394" t="s">
        <v>1595</v>
      </c>
      <c r="M83" s="1392" t="s">
        <v>261</v>
      </c>
      <c r="N83" s="1394" t="s">
        <v>1595</v>
      </c>
      <c r="O83" s="1392" t="s">
        <v>261</v>
      </c>
      <c r="P83" s="1394" t="s">
        <v>1595</v>
      </c>
      <c r="Q83" s="1392" t="s">
        <v>261</v>
      </c>
      <c r="R83" s="1394" t="s">
        <v>1595</v>
      </c>
      <c r="S83" s="1392" t="s">
        <v>261</v>
      </c>
      <c r="T83" s="1394" t="s">
        <v>1595</v>
      </c>
      <c r="U83" s="1392" t="s">
        <v>261</v>
      </c>
      <c r="V83" s="1394" t="s">
        <v>1595</v>
      </c>
      <c r="W83" s="1392" t="s">
        <v>261</v>
      </c>
      <c r="X83" s="1394" t="s">
        <v>1595</v>
      </c>
      <c r="Y83" s="1392" t="s">
        <v>261</v>
      </c>
      <c r="Z83" s="1394" t="s">
        <v>1595</v>
      </c>
      <c r="AA83" s="1393" t="s">
        <v>1614</v>
      </c>
      <c r="AB83" s="1392" t="s">
        <v>1615</v>
      </c>
      <c r="AC83" s="1392"/>
    </row>
    <row r="84" spans="1:32" ht="14.25" x14ac:dyDescent="0.2">
      <c r="A84" s="964"/>
      <c r="B84" s="1392" t="s">
        <v>422</v>
      </c>
      <c r="C84" s="2219">
        <v>872</v>
      </c>
      <c r="D84" s="2220">
        <v>12</v>
      </c>
      <c r="E84" s="2221">
        <v>338</v>
      </c>
      <c r="F84" s="2220">
        <v>6</v>
      </c>
      <c r="G84" s="2221">
        <v>482</v>
      </c>
      <c r="H84" s="2220">
        <v>0</v>
      </c>
      <c r="I84" s="2221">
        <v>847</v>
      </c>
      <c r="J84" s="2220">
        <v>8</v>
      </c>
      <c r="K84" s="2221">
        <v>182</v>
      </c>
      <c r="L84" s="2220">
        <v>0</v>
      </c>
      <c r="M84" s="2221">
        <v>82</v>
      </c>
      <c r="N84" s="2220">
        <v>1</v>
      </c>
      <c r="O84" s="2221">
        <v>31</v>
      </c>
      <c r="P84" s="2220">
        <v>0</v>
      </c>
      <c r="Q84" s="2221">
        <v>23</v>
      </c>
      <c r="R84" s="2220">
        <v>0</v>
      </c>
      <c r="S84" s="2221">
        <v>90</v>
      </c>
      <c r="T84" s="2220">
        <v>0</v>
      </c>
      <c r="U84" s="2221">
        <v>168</v>
      </c>
      <c r="V84" s="2220">
        <v>0</v>
      </c>
      <c r="W84" s="2221">
        <v>161</v>
      </c>
      <c r="X84" s="2220">
        <v>1</v>
      </c>
      <c r="Y84" s="2221">
        <v>175</v>
      </c>
      <c r="Z84" s="2220">
        <v>3</v>
      </c>
      <c r="AA84" s="2221">
        <v>3451</v>
      </c>
      <c r="AB84" s="2219">
        <v>31</v>
      </c>
      <c r="AC84" s="2219">
        <v>0.89829035062300788</v>
      </c>
    </row>
    <row r="85" spans="1:32" ht="14.25" x14ac:dyDescent="0.2">
      <c r="A85" s="964"/>
      <c r="B85" s="1392" t="s">
        <v>421</v>
      </c>
      <c r="C85" s="2219">
        <v>837</v>
      </c>
      <c r="D85" s="2220">
        <v>8</v>
      </c>
      <c r="E85" s="2221">
        <v>410</v>
      </c>
      <c r="F85" s="2220">
        <v>1</v>
      </c>
      <c r="G85" s="2221">
        <v>456</v>
      </c>
      <c r="H85" s="2220">
        <v>1</v>
      </c>
      <c r="I85" s="2221">
        <v>322</v>
      </c>
      <c r="J85" s="2220">
        <v>2</v>
      </c>
      <c r="K85" s="2221">
        <v>291</v>
      </c>
      <c r="L85" s="2220">
        <v>2</v>
      </c>
      <c r="M85" s="2221">
        <v>179</v>
      </c>
      <c r="N85" s="2220">
        <v>0</v>
      </c>
      <c r="O85" s="2221">
        <v>96</v>
      </c>
      <c r="P85" s="2220">
        <v>0</v>
      </c>
      <c r="Q85" s="2221">
        <v>77</v>
      </c>
      <c r="R85" s="2220">
        <v>0</v>
      </c>
      <c r="S85" s="2221">
        <v>88</v>
      </c>
      <c r="T85" s="2220">
        <v>0</v>
      </c>
      <c r="U85" s="2221">
        <v>192</v>
      </c>
      <c r="V85" s="2220">
        <v>1</v>
      </c>
      <c r="W85" s="2221">
        <v>156</v>
      </c>
      <c r="X85" s="2220">
        <v>1</v>
      </c>
      <c r="Y85" s="2221">
        <v>155</v>
      </c>
      <c r="Z85" s="2220">
        <v>0</v>
      </c>
      <c r="AA85" s="2221">
        <v>3259</v>
      </c>
      <c r="AB85" s="2219">
        <v>16</v>
      </c>
      <c r="AC85" s="2219">
        <v>0.49094814360233202</v>
      </c>
    </row>
    <row r="86" spans="1:32" ht="14.25" x14ac:dyDescent="0.2">
      <c r="A86" s="964"/>
      <c r="B86" s="1392" t="s">
        <v>418</v>
      </c>
      <c r="C86" s="2219">
        <v>84</v>
      </c>
      <c r="D86" s="2220">
        <v>1</v>
      </c>
      <c r="E86" s="2221">
        <v>78</v>
      </c>
      <c r="F86" s="2220">
        <v>1</v>
      </c>
      <c r="G86" s="2221">
        <v>106</v>
      </c>
      <c r="H86" s="2220">
        <v>1</v>
      </c>
      <c r="I86" s="2222">
        <v>49</v>
      </c>
      <c r="J86" s="2223">
        <v>3</v>
      </c>
      <c r="K86" s="2222">
        <v>58</v>
      </c>
      <c r="L86" s="2223">
        <v>0</v>
      </c>
      <c r="M86" s="2222">
        <v>35</v>
      </c>
      <c r="N86" s="2223">
        <v>0</v>
      </c>
      <c r="O86" s="2221">
        <v>33</v>
      </c>
      <c r="P86" s="2220">
        <v>0</v>
      </c>
      <c r="Q86" s="2221">
        <v>26</v>
      </c>
      <c r="R86" s="2220">
        <v>0</v>
      </c>
      <c r="S86" s="2221">
        <v>20</v>
      </c>
      <c r="T86" s="2220">
        <v>0</v>
      </c>
      <c r="U86" s="2221">
        <v>38</v>
      </c>
      <c r="V86" s="2220">
        <v>0</v>
      </c>
      <c r="W86" s="2221">
        <v>39</v>
      </c>
      <c r="X86" s="2220">
        <v>0</v>
      </c>
      <c r="Y86" s="2221">
        <v>32</v>
      </c>
      <c r="Z86" s="2220">
        <v>0</v>
      </c>
      <c r="AA86" s="2221">
        <v>598</v>
      </c>
      <c r="AB86" s="2219">
        <v>6</v>
      </c>
      <c r="AC86" s="2219">
        <v>1.0033444816053512</v>
      </c>
    </row>
    <row r="87" spans="1:32" ht="14.25" x14ac:dyDescent="0.2">
      <c r="A87" s="964"/>
      <c r="B87" s="1392" t="s">
        <v>419</v>
      </c>
      <c r="C87" s="2219">
        <v>18</v>
      </c>
      <c r="D87" s="2220">
        <v>0</v>
      </c>
      <c r="E87" s="2221">
        <v>20</v>
      </c>
      <c r="F87" s="2220">
        <v>0</v>
      </c>
      <c r="G87" s="2221">
        <v>20</v>
      </c>
      <c r="H87" s="2220">
        <v>0</v>
      </c>
      <c r="I87" s="2221">
        <v>2</v>
      </c>
      <c r="J87" s="2220">
        <v>0</v>
      </c>
      <c r="K87" s="2221">
        <v>5</v>
      </c>
      <c r="L87" s="2220">
        <v>0</v>
      </c>
      <c r="M87" s="2221">
        <v>7</v>
      </c>
      <c r="N87" s="2220">
        <v>0</v>
      </c>
      <c r="O87" s="2221">
        <v>4</v>
      </c>
      <c r="P87" s="2220">
        <v>1</v>
      </c>
      <c r="Q87" s="2221">
        <v>1</v>
      </c>
      <c r="R87" s="2220">
        <v>0</v>
      </c>
      <c r="S87" s="2221">
        <v>2</v>
      </c>
      <c r="T87" s="2220">
        <v>0</v>
      </c>
      <c r="U87" s="2221">
        <v>2</v>
      </c>
      <c r="V87" s="2220">
        <v>0</v>
      </c>
      <c r="W87" s="2221">
        <v>4</v>
      </c>
      <c r="X87" s="2220">
        <v>0</v>
      </c>
      <c r="Y87" s="2221">
        <v>0</v>
      </c>
      <c r="Z87" s="2220">
        <v>0</v>
      </c>
      <c r="AA87" s="2221">
        <v>85</v>
      </c>
      <c r="AB87" s="2219">
        <v>1</v>
      </c>
      <c r="AC87" s="2219">
        <v>1.1764705882352942</v>
      </c>
    </row>
    <row r="88" spans="1:32" ht="14.25" x14ac:dyDescent="0.2">
      <c r="A88" s="964"/>
      <c r="B88" s="1392" t="s">
        <v>420</v>
      </c>
      <c r="C88" s="2219">
        <v>629</v>
      </c>
      <c r="D88" s="2220">
        <v>6</v>
      </c>
      <c r="E88" s="2221">
        <v>354</v>
      </c>
      <c r="F88" s="2220">
        <v>5</v>
      </c>
      <c r="G88" s="2221">
        <v>246</v>
      </c>
      <c r="H88" s="2220">
        <v>2</v>
      </c>
      <c r="I88" s="2221">
        <v>195</v>
      </c>
      <c r="J88" s="2220">
        <v>1</v>
      </c>
      <c r="K88" s="2221">
        <v>191</v>
      </c>
      <c r="L88" s="2220">
        <v>9</v>
      </c>
      <c r="M88" s="2221">
        <v>99</v>
      </c>
      <c r="N88" s="2220">
        <v>2</v>
      </c>
      <c r="O88" s="2221">
        <v>79</v>
      </c>
      <c r="P88" s="2220">
        <v>2</v>
      </c>
      <c r="Q88" s="2221">
        <v>36</v>
      </c>
      <c r="R88" s="2220">
        <v>1</v>
      </c>
      <c r="S88" s="2221">
        <v>44</v>
      </c>
      <c r="T88" s="2220">
        <v>1</v>
      </c>
      <c r="U88" s="2221">
        <v>51</v>
      </c>
      <c r="V88" s="2220">
        <v>0</v>
      </c>
      <c r="W88" s="2221">
        <v>81</v>
      </c>
      <c r="X88" s="2220">
        <v>0</v>
      </c>
      <c r="Y88" s="2221">
        <v>75</v>
      </c>
      <c r="Z88" s="2220">
        <v>0</v>
      </c>
      <c r="AA88" s="2221">
        <v>2080</v>
      </c>
      <c r="AB88" s="2219">
        <v>29</v>
      </c>
      <c r="AC88" s="2219">
        <v>1.3942307692307694</v>
      </c>
    </row>
    <row r="89" spans="1:32" ht="14.25" x14ac:dyDescent="0.2">
      <c r="A89" s="964"/>
      <c r="B89" s="1392" t="s">
        <v>416</v>
      </c>
      <c r="C89" s="2219">
        <v>6</v>
      </c>
      <c r="D89" s="2219">
        <v>0</v>
      </c>
      <c r="E89" s="2219">
        <v>4</v>
      </c>
      <c r="F89" s="2219">
        <v>0</v>
      </c>
      <c r="G89" s="2219">
        <v>15</v>
      </c>
      <c r="H89" s="2219">
        <v>0</v>
      </c>
      <c r="I89" s="2219">
        <v>13</v>
      </c>
      <c r="J89" s="2219">
        <v>1</v>
      </c>
      <c r="K89" s="2219">
        <v>11</v>
      </c>
      <c r="L89" s="2219">
        <v>0</v>
      </c>
      <c r="M89" s="2219">
        <v>5</v>
      </c>
      <c r="N89" s="2219">
        <v>1</v>
      </c>
      <c r="O89" s="2219">
        <v>4</v>
      </c>
      <c r="P89" s="2219">
        <v>1</v>
      </c>
      <c r="Q89" s="2219">
        <v>3</v>
      </c>
      <c r="R89" s="2219">
        <v>0</v>
      </c>
      <c r="S89" s="2219">
        <v>3</v>
      </c>
      <c r="T89" s="2219">
        <v>0</v>
      </c>
      <c r="U89" s="2219">
        <v>0</v>
      </c>
      <c r="V89" s="2219">
        <v>0</v>
      </c>
      <c r="W89" s="2219">
        <v>2</v>
      </c>
      <c r="X89" s="2219">
        <v>0</v>
      </c>
      <c r="Y89" s="2219">
        <v>0</v>
      </c>
      <c r="Z89" s="2219">
        <v>0</v>
      </c>
      <c r="AA89" s="2221">
        <v>66</v>
      </c>
      <c r="AB89" s="2219">
        <v>3</v>
      </c>
      <c r="AC89" s="2219">
        <v>4.5454540000000003</v>
      </c>
    </row>
    <row r="90" spans="1:32" ht="14.25" x14ac:dyDescent="0.2">
      <c r="A90" s="964"/>
      <c r="B90" s="1392" t="s">
        <v>415</v>
      </c>
      <c r="C90" s="2219">
        <v>11</v>
      </c>
      <c r="D90" s="2220">
        <v>1</v>
      </c>
      <c r="E90" s="2221">
        <v>9</v>
      </c>
      <c r="F90" s="2220">
        <v>0</v>
      </c>
      <c r="G90" s="2221">
        <v>14</v>
      </c>
      <c r="H90" s="2220">
        <v>0</v>
      </c>
      <c r="I90" s="2221">
        <v>23</v>
      </c>
      <c r="J90" s="2220">
        <v>1</v>
      </c>
      <c r="K90" s="2221">
        <v>39</v>
      </c>
      <c r="L90" s="2220">
        <v>0</v>
      </c>
      <c r="M90" s="2221">
        <v>12</v>
      </c>
      <c r="N90" s="2220">
        <v>0</v>
      </c>
      <c r="O90" s="2221">
        <v>14</v>
      </c>
      <c r="P90" s="2220">
        <v>0</v>
      </c>
      <c r="Q90" s="2221">
        <v>22</v>
      </c>
      <c r="R90" s="2220">
        <v>0</v>
      </c>
      <c r="S90" s="2221">
        <v>7</v>
      </c>
      <c r="T90" s="2220">
        <v>0</v>
      </c>
      <c r="U90" s="2221">
        <v>1</v>
      </c>
      <c r="V90" s="2220">
        <v>0</v>
      </c>
      <c r="W90" s="2221">
        <v>3</v>
      </c>
      <c r="X90" s="2220">
        <v>0</v>
      </c>
      <c r="Y90" s="2221">
        <v>1</v>
      </c>
      <c r="Z90" s="2220">
        <v>0</v>
      </c>
      <c r="AA90" s="2221">
        <v>156</v>
      </c>
      <c r="AB90" s="2219">
        <v>2</v>
      </c>
      <c r="AC90" s="2219">
        <v>1.2820512820512819</v>
      </c>
    </row>
    <row r="91" spans="1:32" ht="14.25" x14ac:dyDescent="0.2">
      <c r="A91" s="964"/>
      <c r="B91" s="1392" t="s">
        <v>414</v>
      </c>
      <c r="C91" s="2212">
        <v>18</v>
      </c>
      <c r="D91" s="2224">
        <v>0</v>
      </c>
      <c r="E91" s="2225">
        <v>14</v>
      </c>
      <c r="F91" s="2224"/>
      <c r="G91" s="2225">
        <v>13</v>
      </c>
      <c r="H91" s="2224">
        <v>1</v>
      </c>
      <c r="I91" s="2225">
        <v>10</v>
      </c>
      <c r="J91" s="2224">
        <v>0</v>
      </c>
      <c r="K91" s="2225">
        <v>10</v>
      </c>
      <c r="L91" s="2224">
        <v>0</v>
      </c>
      <c r="M91" s="2225">
        <v>9</v>
      </c>
      <c r="N91" s="2224">
        <v>0</v>
      </c>
      <c r="O91" s="2225">
        <v>4</v>
      </c>
      <c r="P91" s="2224">
        <v>0</v>
      </c>
      <c r="Q91" s="2225">
        <v>3</v>
      </c>
      <c r="R91" s="2224">
        <v>0</v>
      </c>
      <c r="S91" s="2225">
        <v>3</v>
      </c>
      <c r="T91" s="2224">
        <v>0</v>
      </c>
      <c r="U91" s="2225">
        <v>2</v>
      </c>
      <c r="V91" s="2224">
        <v>0</v>
      </c>
      <c r="W91" s="2225">
        <v>1</v>
      </c>
      <c r="X91" s="2224">
        <v>0</v>
      </c>
      <c r="Y91" s="2225">
        <v>3</v>
      </c>
      <c r="Z91" s="2224">
        <v>0</v>
      </c>
      <c r="AA91" s="2221">
        <v>90</v>
      </c>
      <c r="AB91" s="2219">
        <v>1</v>
      </c>
      <c r="AC91" s="2212">
        <v>1.111</v>
      </c>
    </row>
    <row r="92" spans="1:32" ht="14.25" x14ac:dyDescent="0.2">
      <c r="A92" s="964"/>
      <c r="B92" s="1392" t="s">
        <v>417</v>
      </c>
      <c r="C92" s="2219">
        <v>22</v>
      </c>
      <c r="D92" s="2220">
        <v>0</v>
      </c>
      <c r="E92" s="2221">
        <v>10</v>
      </c>
      <c r="F92" s="2220">
        <v>0</v>
      </c>
      <c r="G92" s="2221">
        <v>12</v>
      </c>
      <c r="H92" s="2220">
        <v>0</v>
      </c>
      <c r="I92" s="2221">
        <v>7</v>
      </c>
      <c r="J92" s="2220">
        <v>0</v>
      </c>
      <c r="K92" s="2221">
        <v>7</v>
      </c>
      <c r="L92" s="2220">
        <v>0</v>
      </c>
      <c r="M92" s="2221">
        <v>9</v>
      </c>
      <c r="N92" s="2220">
        <v>0</v>
      </c>
      <c r="O92" s="2221">
        <v>2</v>
      </c>
      <c r="P92" s="2220">
        <v>0</v>
      </c>
      <c r="Q92" s="2221">
        <v>2</v>
      </c>
      <c r="R92" s="2220">
        <v>0</v>
      </c>
      <c r="S92" s="2221">
        <v>1</v>
      </c>
      <c r="T92" s="2220">
        <v>0</v>
      </c>
      <c r="U92" s="2221">
        <v>5</v>
      </c>
      <c r="V92" s="2220">
        <v>0</v>
      </c>
      <c r="W92" s="2221">
        <v>4</v>
      </c>
      <c r="X92" s="2220">
        <v>0</v>
      </c>
      <c r="Y92" s="2221">
        <v>0</v>
      </c>
      <c r="Z92" s="2220">
        <v>0</v>
      </c>
      <c r="AA92" s="2221">
        <v>81</v>
      </c>
      <c r="AB92" s="2219">
        <v>0</v>
      </c>
      <c r="AC92" s="2219">
        <v>0</v>
      </c>
    </row>
    <row r="93" spans="1:32" ht="14.25" x14ac:dyDescent="0.2">
      <c r="A93" s="964"/>
      <c r="B93" s="1392" t="s">
        <v>261</v>
      </c>
      <c r="C93" s="2219">
        <v>2497</v>
      </c>
      <c r="D93" s="2219">
        <v>28</v>
      </c>
      <c r="E93" s="2219">
        <v>1237</v>
      </c>
      <c r="F93" s="2219">
        <v>13</v>
      </c>
      <c r="G93" s="2219">
        <v>1364</v>
      </c>
      <c r="H93" s="2219">
        <v>5</v>
      </c>
      <c r="I93" s="2219">
        <v>1468</v>
      </c>
      <c r="J93" s="2219">
        <v>16</v>
      </c>
      <c r="K93" s="2219">
        <v>794</v>
      </c>
      <c r="L93" s="2219">
        <v>11</v>
      </c>
      <c r="M93" s="2219">
        <v>437</v>
      </c>
      <c r="N93" s="2219">
        <v>4</v>
      </c>
      <c r="O93" s="2219">
        <v>267</v>
      </c>
      <c r="P93" s="2219">
        <v>4</v>
      </c>
      <c r="Q93" s="2219">
        <v>193</v>
      </c>
      <c r="R93" s="2219">
        <v>1</v>
      </c>
      <c r="S93" s="2219">
        <v>258</v>
      </c>
      <c r="T93" s="2219">
        <v>1</v>
      </c>
      <c r="U93" s="2219">
        <v>459</v>
      </c>
      <c r="V93" s="2219">
        <v>1</v>
      </c>
      <c r="W93" s="2219">
        <v>451</v>
      </c>
      <c r="X93" s="2219">
        <v>2</v>
      </c>
      <c r="Y93" s="2219">
        <v>441</v>
      </c>
      <c r="Z93" s="2219">
        <v>3</v>
      </c>
      <c r="AA93" s="2219">
        <v>9866</v>
      </c>
      <c r="AB93" s="2219">
        <v>89</v>
      </c>
      <c r="AC93" s="2219">
        <v>0.90208797891749448</v>
      </c>
      <c r="AD93" s="964">
        <f>+AB93/AA93</f>
        <v>9.0208797891749449E-3</v>
      </c>
    </row>
  </sheetData>
  <mergeCells count="35">
    <mergeCell ref="D32:X32"/>
    <mergeCell ref="D2:X2"/>
    <mergeCell ref="D3:X3"/>
    <mergeCell ref="D4:X4"/>
    <mergeCell ref="D30:X30"/>
    <mergeCell ref="D31:X31"/>
    <mergeCell ref="Y39:Z39"/>
    <mergeCell ref="C39:D39"/>
    <mergeCell ref="E39:F39"/>
    <mergeCell ref="G39:H39"/>
    <mergeCell ref="I39:J39"/>
    <mergeCell ref="K39:L39"/>
    <mergeCell ref="M39:N39"/>
    <mergeCell ref="O39:P39"/>
    <mergeCell ref="Q39:R39"/>
    <mergeCell ref="S39:T39"/>
    <mergeCell ref="U39:V39"/>
    <mergeCell ref="W39:X39"/>
    <mergeCell ref="Y54:Z54"/>
    <mergeCell ref="C54:D54"/>
    <mergeCell ref="E54:F54"/>
    <mergeCell ref="G54:H54"/>
    <mergeCell ref="I54:J54"/>
    <mergeCell ref="K54:L54"/>
    <mergeCell ref="M54:N54"/>
    <mergeCell ref="O54:P54"/>
    <mergeCell ref="Q54:R54"/>
    <mergeCell ref="S54:T54"/>
    <mergeCell ref="U54:V54"/>
    <mergeCell ref="W54:X54"/>
    <mergeCell ref="Q67:R67"/>
    <mergeCell ref="S67:T67"/>
    <mergeCell ref="U67:V67"/>
    <mergeCell ref="W67:X67"/>
    <mergeCell ref="Y67:Z67"/>
  </mergeCells>
  <pageMargins left="0.74803149606299213" right="0.74803149606299213" top="0.98425196850393704" bottom="0.98425196850393704" header="0.51181102362204722" footer="0.51181102362204722"/>
  <pageSetup paperSize="9" scale="7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8"/>
  <sheetViews>
    <sheetView showGridLines="0" view="pageBreakPreview" zoomScaleNormal="100" zoomScaleSheetLayoutView="100" workbookViewId="0">
      <selection activeCell="D50" sqref="D50:S50"/>
    </sheetView>
  </sheetViews>
  <sheetFormatPr defaultColWidth="9.140625" defaultRowHeight="15" x14ac:dyDescent="0.25"/>
  <cols>
    <col min="1" max="1" width="3.7109375" style="453" customWidth="1"/>
    <col min="2" max="2" width="14.42578125" style="670" customWidth="1"/>
    <col min="3" max="3" width="3.7109375" style="670" customWidth="1"/>
    <col min="4" max="4" width="20.5703125" style="229" customWidth="1"/>
    <col min="5" max="5" width="3.28515625" style="229" customWidth="1"/>
    <col min="6" max="17" width="9.28515625" style="229" customWidth="1"/>
    <col min="18" max="16384" width="9.140625" style="229"/>
  </cols>
  <sheetData>
    <row r="1" spans="1:22" x14ac:dyDescent="0.25">
      <c r="D1" s="996"/>
      <c r="E1" s="996"/>
      <c r="F1" s="996"/>
      <c r="G1" s="996"/>
      <c r="H1" s="996"/>
      <c r="I1" s="996"/>
      <c r="J1" s="996"/>
      <c r="K1" s="996"/>
      <c r="L1" s="996"/>
      <c r="M1" s="996"/>
      <c r="N1" s="996"/>
      <c r="O1" s="996"/>
    </row>
    <row r="2" spans="1:22" ht="14.45" customHeight="1" x14ac:dyDescent="0.25">
      <c r="A2" s="453">
        <v>1</v>
      </c>
      <c r="B2" s="453" t="s">
        <v>24</v>
      </c>
      <c r="C2" s="453">
        <f>1+[8]Malaria!C2</f>
        <v>43</v>
      </c>
      <c r="D2" s="3556" t="s">
        <v>861</v>
      </c>
      <c r="E2" s="3557"/>
      <c r="F2" s="3557"/>
      <c r="G2" s="3557"/>
      <c r="H2" s="3557"/>
      <c r="I2" s="3557"/>
      <c r="J2" s="3557"/>
      <c r="K2" s="3557"/>
      <c r="L2" s="3557"/>
      <c r="M2" s="3557"/>
      <c r="N2" s="3557"/>
      <c r="O2" s="3557"/>
      <c r="P2" s="3557"/>
      <c r="Q2" s="3557"/>
      <c r="R2" s="3557"/>
      <c r="S2" s="3558"/>
      <c r="T2" s="1026"/>
      <c r="U2" s="1026"/>
      <c r="V2" s="1026"/>
    </row>
    <row r="3" spans="1:22" x14ac:dyDescent="0.25">
      <c r="A3" s="453">
        <v>2</v>
      </c>
      <c r="B3" s="453" t="s">
        <v>26</v>
      </c>
      <c r="C3" s="453"/>
      <c r="D3" s="3553" t="s">
        <v>860</v>
      </c>
      <c r="E3" s="3554"/>
      <c r="F3" s="3554"/>
      <c r="G3" s="3554"/>
      <c r="H3" s="3554"/>
      <c r="I3" s="3554"/>
      <c r="J3" s="3554"/>
      <c r="K3" s="3554"/>
      <c r="L3" s="3554"/>
      <c r="M3" s="3554"/>
      <c r="N3" s="3554"/>
      <c r="O3" s="3554"/>
      <c r="P3" s="3554"/>
      <c r="Q3" s="3554"/>
      <c r="R3" s="3554"/>
      <c r="S3" s="3555"/>
    </row>
    <row r="4" spans="1:22" ht="15" customHeight="1" x14ac:dyDescent="0.25">
      <c r="A4" s="453">
        <v>3</v>
      </c>
      <c r="B4" s="453" t="s">
        <v>28</v>
      </c>
      <c r="C4" s="453"/>
      <c r="D4" s="3553" t="s">
        <v>859</v>
      </c>
      <c r="E4" s="3554"/>
      <c r="F4" s="3554"/>
      <c r="G4" s="3554"/>
      <c r="H4" s="3554"/>
      <c r="I4" s="3554"/>
      <c r="J4" s="3554"/>
      <c r="K4" s="3554"/>
      <c r="L4" s="3554"/>
      <c r="M4" s="3554"/>
      <c r="N4" s="3554"/>
      <c r="O4" s="3554"/>
      <c r="P4" s="3554"/>
      <c r="Q4" s="3554"/>
      <c r="R4" s="3554"/>
      <c r="S4" s="3555"/>
    </row>
    <row r="5" spans="1:22" x14ac:dyDescent="0.25">
      <c r="B5" s="453"/>
      <c r="C5" s="453"/>
      <c r="D5" s="138"/>
      <c r="E5" s="138"/>
      <c r="F5" s="195"/>
      <c r="G5" s="195"/>
      <c r="H5" s="195"/>
      <c r="I5" s="195"/>
      <c r="J5" s="195"/>
      <c r="K5" s="195"/>
      <c r="L5" s="195"/>
      <c r="M5" s="195"/>
      <c r="N5" s="195"/>
      <c r="O5" s="195"/>
    </row>
    <row r="6" spans="1:22" x14ac:dyDescent="0.25">
      <c r="A6" s="453">
        <v>4</v>
      </c>
      <c r="B6" s="650" t="s">
        <v>1</v>
      </c>
      <c r="C6" s="650"/>
    </row>
    <row r="7" spans="1:22" x14ac:dyDescent="0.25">
      <c r="D7" s="120" t="s">
        <v>31</v>
      </c>
      <c r="E7" s="120"/>
      <c r="F7" s="120" t="s">
        <v>858</v>
      </c>
      <c r="G7" s="120"/>
      <c r="H7" s="120"/>
      <c r="I7" s="120"/>
      <c r="J7" s="120"/>
      <c r="K7" s="120"/>
      <c r="L7" s="120"/>
      <c r="M7" s="119"/>
      <c r="N7" s="119"/>
      <c r="O7" s="119"/>
      <c r="P7" s="723"/>
    </row>
    <row r="8" spans="1:22" x14ac:dyDescent="0.25">
      <c r="D8" s="635"/>
      <c r="E8" s="635" t="s">
        <v>54</v>
      </c>
      <c r="F8" s="834">
        <v>2002</v>
      </c>
      <c r="G8" s="834">
        <v>2003</v>
      </c>
      <c r="H8" s="834">
        <v>2004</v>
      </c>
      <c r="I8" s="834">
        <v>2005</v>
      </c>
      <c r="J8" s="834">
        <v>2006</v>
      </c>
      <c r="K8" s="834">
        <v>2007</v>
      </c>
      <c r="L8" s="834">
        <v>2008</v>
      </c>
      <c r="M8" s="994">
        <v>2009</v>
      </c>
      <c r="N8" s="994">
        <v>2010</v>
      </c>
      <c r="O8" s="994">
        <v>2011</v>
      </c>
      <c r="P8" s="994">
        <v>2012</v>
      </c>
      <c r="Q8" s="994">
        <v>2013</v>
      </c>
      <c r="R8" s="994">
        <v>2014</v>
      </c>
      <c r="S8" s="2808">
        <v>2015</v>
      </c>
    </row>
    <row r="9" spans="1:22" x14ac:dyDescent="0.25">
      <c r="B9" s="3796"/>
      <c r="C9" s="2198"/>
      <c r="D9" s="210" t="s">
        <v>857</v>
      </c>
      <c r="E9" s="210"/>
      <c r="F9" s="441">
        <v>7.3</v>
      </c>
      <c r="G9" s="441">
        <v>11.6</v>
      </c>
      <c r="H9" s="441">
        <v>11.5</v>
      </c>
      <c r="I9" s="441">
        <v>14.3</v>
      </c>
      <c r="J9" s="441">
        <v>16</v>
      </c>
      <c r="K9" s="441">
        <v>16.100000000000001</v>
      </c>
      <c r="L9" s="441">
        <v>16.7</v>
      </c>
      <c r="M9" s="177">
        <v>29.8</v>
      </c>
      <c r="N9" s="177">
        <v>32.200000000000003</v>
      </c>
      <c r="O9" s="177">
        <v>34.5</v>
      </c>
      <c r="P9" s="177">
        <v>36.5</v>
      </c>
      <c r="Q9" s="177">
        <v>44.7</v>
      </c>
      <c r="R9" s="177">
        <v>48.3</v>
      </c>
      <c r="S9" s="2809">
        <v>45.7</v>
      </c>
    </row>
    <row r="10" spans="1:22" ht="13.5" customHeight="1" x14ac:dyDescent="0.25">
      <c r="B10" s="3796"/>
      <c r="C10" s="2199"/>
      <c r="D10" s="210" t="s">
        <v>856</v>
      </c>
      <c r="E10" s="210"/>
      <c r="F10" s="441"/>
      <c r="G10" s="441"/>
      <c r="H10" s="441"/>
      <c r="I10" s="441"/>
      <c r="J10" s="441"/>
      <c r="K10" s="441"/>
      <c r="L10" s="441"/>
      <c r="M10" s="177">
        <v>60</v>
      </c>
      <c r="N10" s="177">
        <v>64</v>
      </c>
      <c r="O10" s="177">
        <v>66</v>
      </c>
      <c r="P10" s="177">
        <v>67.387887449672405</v>
      </c>
      <c r="Q10" s="177">
        <v>71.275629761606439</v>
      </c>
      <c r="R10" s="177">
        <v>73.400000000000006</v>
      </c>
      <c r="S10" s="2809">
        <v>70.8</v>
      </c>
    </row>
    <row r="11" spans="1:22" ht="13.5" customHeight="1" x14ac:dyDescent="0.25">
      <c r="B11" s="2200"/>
      <c r="C11" s="2199"/>
      <c r="D11" s="210" t="s">
        <v>855</v>
      </c>
      <c r="E11" s="210"/>
      <c r="F11" s="441">
        <v>39.299999999999997</v>
      </c>
      <c r="G11" s="441">
        <v>48.1</v>
      </c>
      <c r="H11" s="441">
        <v>51.9</v>
      </c>
      <c r="I11" s="441">
        <v>59.3</v>
      </c>
      <c r="J11" s="441">
        <v>61.6</v>
      </c>
      <c r="K11" s="441">
        <v>60.2</v>
      </c>
      <c r="L11" s="441">
        <v>63.2</v>
      </c>
      <c r="M11" s="177">
        <v>78.3</v>
      </c>
      <c r="N11" s="177">
        <v>83.4</v>
      </c>
      <c r="O11" s="177">
        <v>84.8</v>
      </c>
      <c r="P11" s="177">
        <v>84.6</v>
      </c>
      <c r="Q11" s="177">
        <v>85.3</v>
      </c>
      <c r="R11" s="177">
        <v>87.2</v>
      </c>
      <c r="S11" s="2809">
        <v>85.8</v>
      </c>
    </row>
    <row r="12" spans="1:22" ht="13.5" customHeight="1" x14ac:dyDescent="0.25">
      <c r="B12" s="2200"/>
      <c r="C12" s="2199"/>
      <c r="D12" s="210" t="s">
        <v>854</v>
      </c>
      <c r="M12" s="177">
        <v>94.791239000000004</v>
      </c>
      <c r="N12" s="177">
        <v>96.097873000000007</v>
      </c>
      <c r="O12" s="177">
        <v>95.457340000000002</v>
      </c>
      <c r="P12" s="177">
        <v>95.849581000000001</v>
      </c>
      <c r="Q12" s="177">
        <v>95.459684999999993</v>
      </c>
      <c r="R12" s="177">
        <v>95.888360000000006</v>
      </c>
      <c r="S12" s="2809">
        <v>98.2</v>
      </c>
    </row>
    <row r="13" spans="1:22" x14ac:dyDescent="0.25">
      <c r="B13" s="2200"/>
      <c r="C13" s="2201"/>
      <c r="D13" s="120" t="s">
        <v>853</v>
      </c>
      <c r="E13" s="120"/>
      <c r="F13" s="1282"/>
      <c r="G13" s="1282"/>
      <c r="H13" s="1282"/>
      <c r="I13" s="1282"/>
      <c r="J13" s="1282"/>
      <c r="K13" s="1282"/>
      <c r="L13" s="1282"/>
      <c r="M13" s="227">
        <v>122.8</v>
      </c>
      <c r="N13" s="227">
        <v>113.2</v>
      </c>
      <c r="O13" s="227">
        <v>112.1</v>
      </c>
      <c r="P13" s="227">
        <v>111.6502232873722</v>
      </c>
      <c r="Q13" s="227">
        <v>104.64002801243709</v>
      </c>
      <c r="R13" s="227">
        <v>101.4</v>
      </c>
      <c r="S13" s="2810">
        <v>108.2</v>
      </c>
    </row>
    <row r="14" spans="1:22" x14ac:dyDescent="0.25">
      <c r="B14" s="2200"/>
      <c r="C14" s="2201"/>
      <c r="D14" s="119"/>
      <c r="E14" s="119"/>
      <c r="F14" s="441"/>
      <c r="G14" s="441"/>
      <c r="H14" s="441"/>
      <c r="I14" s="441"/>
      <c r="J14" s="441"/>
      <c r="K14" s="441"/>
      <c r="L14" s="441"/>
      <c r="M14" s="441"/>
      <c r="N14" s="441"/>
      <c r="O14" s="441"/>
      <c r="Q14" s="2202"/>
      <c r="R14" s="2203"/>
    </row>
    <row r="15" spans="1:22" hidden="1" x14ac:dyDescent="0.25">
      <c r="B15" s="2200"/>
      <c r="C15" s="2201"/>
      <c r="D15" s="119"/>
      <c r="E15" s="119"/>
      <c r="F15" s="441"/>
      <c r="G15" s="441"/>
      <c r="H15" s="441"/>
      <c r="I15" s="441"/>
      <c r="J15" s="441"/>
      <c r="K15" s="441"/>
      <c r="L15" s="441"/>
      <c r="M15" s="441"/>
      <c r="N15" s="441"/>
      <c r="O15" s="441"/>
      <c r="Q15" s="2202"/>
      <c r="R15" s="2203"/>
    </row>
    <row r="16" spans="1:22" hidden="1" x14ac:dyDescent="0.25">
      <c r="B16" s="2200"/>
      <c r="C16" s="2201"/>
      <c r="D16" s="120" t="s">
        <v>55</v>
      </c>
      <c r="E16" s="120"/>
      <c r="F16" s="120" t="s">
        <v>852</v>
      </c>
      <c r="G16" s="1657"/>
      <c r="H16" s="1657"/>
      <c r="I16" s="120"/>
      <c r="J16" s="120"/>
      <c r="K16" s="120"/>
      <c r="L16" s="119"/>
      <c r="M16" s="119"/>
      <c r="N16" s="119"/>
      <c r="O16" s="119"/>
      <c r="Q16" s="2202"/>
      <c r="R16" s="2203"/>
    </row>
    <row r="17" spans="1:18" ht="21.75" hidden="1" customHeight="1" x14ac:dyDescent="0.25">
      <c r="B17" s="2200"/>
      <c r="C17" s="2201"/>
      <c r="D17" s="432"/>
      <c r="E17" s="432"/>
      <c r="F17" s="3822" t="s">
        <v>851</v>
      </c>
      <c r="G17" s="3823"/>
      <c r="H17" s="3824"/>
      <c r="I17" s="3822" t="s">
        <v>850</v>
      </c>
      <c r="J17" s="3823"/>
      <c r="K17" s="3824"/>
      <c r="L17" s="441"/>
      <c r="M17" s="441"/>
      <c r="N17" s="441"/>
      <c r="O17" s="441"/>
      <c r="Q17" s="2202"/>
      <c r="R17" s="2203"/>
    </row>
    <row r="18" spans="1:18" ht="21.6" hidden="1" customHeight="1" x14ac:dyDescent="0.25">
      <c r="B18" s="2200"/>
      <c r="C18" s="2201"/>
      <c r="D18" s="436"/>
      <c r="E18" s="436"/>
      <c r="F18" s="436">
        <v>2009</v>
      </c>
      <c r="G18" s="2204">
        <v>2010</v>
      </c>
      <c r="H18" s="2204">
        <v>2011</v>
      </c>
      <c r="I18" s="2205">
        <v>2009</v>
      </c>
      <c r="J18" s="1964">
        <v>2010</v>
      </c>
      <c r="K18" s="1964">
        <v>2011</v>
      </c>
      <c r="L18" s="441"/>
      <c r="M18" s="441"/>
      <c r="N18" s="441"/>
      <c r="O18" s="441"/>
      <c r="Q18" s="2202"/>
      <c r="R18" s="2203"/>
    </row>
    <row r="19" spans="1:18" hidden="1" x14ac:dyDescent="0.25">
      <c r="B19" s="2200"/>
      <c r="C19" s="2201"/>
      <c r="D19" s="426" t="s">
        <v>415</v>
      </c>
      <c r="E19" s="426"/>
      <c r="F19" s="993">
        <v>66.2</v>
      </c>
      <c r="G19" s="992">
        <v>69.8</v>
      </c>
      <c r="H19" s="992">
        <v>71.400000000000006</v>
      </c>
      <c r="I19" s="991">
        <v>147.30000000000001</v>
      </c>
      <c r="J19" s="990">
        <v>134.4</v>
      </c>
      <c r="K19" s="990">
        <v>111.86137247341033</v>
      </c>
      <c r="L19" s="441"/>
      <c r="M19" s="441"/>
      <c r="N19" s="441"/>
      <c r="O19" s="441"/>
      <c r="Q19" s="2202"/>
      <c r="R19" s="2203"/>
    </row>
    <row r="20" spans="1:18" hidden="1" x14ac:dyDescent="0.25">
      <c r="B20" s="2200"/>
      <c r="C20" s="2201"/>
      <c r="D20" s="426" t="s">
        <v>417</v>
      </c>
      <c r="E20" s="426"/>
      <c r="F20" s="993">
        <v>7.1</v>
      </c>
      <c r="G20" s="992">
        <v>63.2</v>
      </c>
      <c r="H20" s="992">
        <v>70.900000000000006</v>
      </c>
      <c r="I20" s="991">
        <v>118.7</v>
      </c>
      <c r="J20" s="990">
        <v>93.1</v>
      </c>
      <c r="K20" s="990">
        <v>106.52713575706071</v>
      </c>
      <c r="L20" s="441"/>
      <c r="M20" s="441"/>
      <c r="N20" s="441"/>
      <c r="O20" s="441"/>
      <c r="Q20" s="2202"/>
      <c r="R20" s="2203"/>
    </row>
    <row r="21" spans="1:18" hidden="1" x14ac:dyDescent="0.25">
      <c r="B21" s="2200"/>
      <c r="C21" s="2201"/>
      <c r="D21" s="426" t="s">
        <v>420</v>
      </c>
      <c r="E21" s="426"/>
      <c r="F21" s="993">
        <v>68.3</v>
      </c>
      <c r="G21" s="992">
        <v>70.099999999999994</v>
      </c>
      <c r="H21" s="992">
        <v>73.400000000000006</v>
      </c>
      <c r="I21" s="991">
        <v>121.1</v>
      </c>
      <c r="J21" s="990">
        <v>112</v>
      </c>
      <c r="K21" s="990">
        <v>94.110006680386121</v>
      </c>
      <c r="L21" s="441"/>
      <c r="M21" s="441"/>
      <c r="N21" s="441"/>
      <c r="O21" s="441"/>
      <c r="Q21" s="2202"/>
      <c r="R21" s="2203"/>
    </row>
    <row r="22" spans="1:18" hidden="1" x14ac:dyDescent="0.25">
      <c r="D22" s="426" t="s">
        <v>418</v>
      </c>
      <c r="E22" s="426"/>
      <c r="F22" s="993">
        <v>50</v>
      </c>
      <c r="G22" s="992">
        <v>59.6</v>
      </c>
      <c r="H22" s="992">
        <v>53.1</v>
      </c>
      <c r="I22" s="991">
        <v>134.19999999999999</v>
      </c>
      <c r="J22" s="990">
        <v>111.7</v>
      </c>
      <c r="K22" s="990">
        <v>139.75708248778136</v>
      </c>
      <c r="L22" s="117"/>
      <c r="M22" s="117"/>
      <c r="N22" s="117"/>
      <c r="O22" s="117"/>
      <c r="Q22" s="2202"/>
      <c r="R22" s="2203"/>
    </row>
    <row r="23" spans="1:18" hidden="1" x14ac:dyDescent="0.25">
      <c r="D23" s="426" t="s">
        <v>422</v>
      </c>
      <c r="E23" s="426"/>
      <c r="F23" s="993">
        <v>67.8</v>
      </c>
      <c r="G23" s="992">
        <v>70.599999999999994</v>
      </c>
      <c r="H23" s="992">
        <v>75.5</v>
      </c>
      <c r="I23" s="991">
        <v>106.2</v>
      </c>
      <c r="J23" s="990">
        <v>120</v>
      </c>
      <c r="K23" s="990">
        <v>113.68510549561589</v>
      </c>
      <c r="L23" s="117"/>
      <c r="M23" s="117"/>
      <c r="N23" s="117"/>
      <c r="O23" s="117"/>
      <c r="Q23" s="2202"/>
      <c r="R23" s="2203"/>
    </row>
    <row r="24" spans="1:18" hidden="1" x14ac:dyDescent="0.25">
      <c r="D24" s="426" t="s">
        <v>421</v>
      </c>
      <c r="E24" s="426"/>
      <c r="F24" s="993">
        <v>59.7</v>
      </c>
      <c r="G24" s="992">
        <v>58.8</v>
      </c>
      <c r="H24" s="992">
        <v>66.3</v>
      </c>
      <c r="I24" s="991">
        <v>123.1</v>
      </c>
      <c r="J24" s="990">
        <v>105.9</v>
      </c>
      <c r="K24" s="990">
        <v>104.27941598012262</v>
      </c>
      <c r="L24" s="117"/>
      <c r="M24" s="117"/>
      <c r="N24" s="117"/>
      <c r="O24" s="117"/>
      <c r="Q24" s="2202"/>
      <c r="R24" s="2203"/>
    </row>
    <row r="25" spans="1:18" hidden="1" x14ac:dyDescent="0.25">
      <c r="D25" s="426" t="s">
        <v>416</v>
      </c>
      <c r="E25" s="426"/>
      <c r="F25" s="993">
        <v>48.6</v>
      </c>
      <c r="G25" s="992">
        <v>56</v>
      </c>
      <c r="H25" s="992">
        <v>62.8</v>
      </c>
      <c r="I25" s="991">
        <v>98.4</v>
      </c>
      <c r="J25" s="990">
        <v>90.7</v>
      </c>
      <c r="K25" s="990">
        <v>109.11354786418659</v>
      </c>
      <c r="L25" s="117"/>
      <c r="M25" s="117"/>
      <c r="N25" s="117"/>
      <c r="O25" s="117"/>
      <c r="Q25" s="2202"/>
      <c r="R25" s="2203"/>
    </row>
    <row r="26" spans="1:18" hidden="1" x14ac:dyDescent="0.25">
      <c r="D26" s="426" t="s">
        <v>419</v>
      </c>
      <c r="E26" s="426"/>
      <c r="F26" s="993">
        <v>55.5</v>
      </c>
      <c r="G26" s="992">
        <v>51.5</v>
      </c>
      <c r="H26" s="992">
        <v>54.2</v>
      </c>
      <c r="I26" s="991">
        <v>106.1</v>
      </c>
      <c r="J26" s="990">
        <v>161.4</v>
      </c>
      <c r="K26" s="990">
        <v>130.32400695853869</v>
      </c>
      <c r="L26" s="117"/>
      <c r="M26" s="117"/>
      <c r="N26" s="117"/>
      <c r="O26" s="117"/>
      <c r="Q26" s="2202"/>
      <c r="R26" s="2203"/>
    </row>
    <row r="27" spans="1:18" hidden="1" x14ac:dyDescent="0.25">
      <c r="D27" s="426" t="s">
        <v>414</v>
      </c>
      <c r="E27" s="426"/>
      <c r="F27" s="993">
        <v>55.2</v>
      </c>
      <c r="G27" s="992">
        <v>59.9</v>
      </c>
      <c r="H27" s="992">
        <v>62.4</v>
      </c>
      <c r="I27" s="991">
        <v>111.7</v>
      </c>
      <c r="J27" s="990">
        <v>106.3</v>
      </c>
      <c r="K27" s="990">
        <v>94.4536169782954</v>
      </c>
      <c r="L27" s="117"/>
      <c r="M27" s="117"/>
      <c r="N27" s="117"/>
      <c r="O27" s="117"/>
      <c r="Q27" s="2202"/>
      <c r="R27" s="2203"/>
    </row>
    <row r="28" spans="1:18" hidden="1" x14ac:dyDescent="0.25">
      <c r="C28" s="2201"/>
      <c r="D28" s="449" t="s">
        <v>0</v>
      </c>
      <c r="E28" s="449"/>
      <c r="F28" s="989">
        <v>60</v>
      </c>
      <c r="G28" s="988">
        <v>64</v>
      </c>
      <c r="H28" s="988">
        <v>66</v>
      </c>
      <c r="I28" s="987">
        <v>122.8</v>
      </c>
      <c r="J28" s="986">
        <v>113.2</v>
      </c>
      <c r="K28" s="986">
        <v>112.08118283120878</v>
      </c>
      <c r="L28" s="117"/>
      <c r="M28" s="117"/>
      <c r="N28" s="117"/>
      <c r="O28" s="117"/>
      <c r="Q28" s="2202"/>
      <c r="R28" s="2203"/>
    </row>
    <row r="29" spans="1:18" hidden="1" x14ac:dyDescent="0.25">
      <c r="C29" s="2201"/>
      <c r="D29" s="426"/>
      <c r="E29" s="426"/>
      <c r="F29" s="993"/>
      <c r="G29" s="993"/>
      <c r="H29" s="993"/>
      <c r="I29" s="993"/>
      <c r="J29" s="993"/>
      <c r="K29" s="993"/>
      <c r="L29" s="117"/>
      <c r="M29" s="117"/>
      <c r="N29" s="117"/>
      <c r="O29" s="117"/>
      <c r="Q29" s="2202"/>
      <c r="R29" s="2203"/>
    </row>
    <row r="30" spans="1:18" x14ac:dyDescent="0.25">
      <c r="A30" s="229"/>
      <c r="B30" s="229"/>
      <c r="C30" s="453"/>
      <c r="D30" s="426"/>
      <c r="E30" s="996"/>
      <c r="F30" s="117"/>
      <c r="G30" s="117"/>
      <c r="H30" s="117"/>
      <c r="I30" s="117"/>
      <c r="J30" s="117"/>
      <c r="K30" s="117"/>
      <c r="L30" s="117"/>
      <c r="M30" s="117"/>
      <c r="N30" s="117"/>
      <c r="O30" s="117"/>
    </row>
    <row r="31" spans="1:18" x14ac:dyDescent="0.25">
      <c r="A31" s="453">
        <v>5</v>
      </c>
      <c r="B31" s="453" t="s">
        <v>77</v>
      </c>
      <c r="D31" s="996"/>
      <c r="E31" s="996"/>
      <c r="F31" s="117"/>
      <c r="G31" s="117"/>
      <c r="H31" s="117"/>
      <c r="I31" s="117"/>
      <c r="J31" s="117"/>
      <c r="K31" s="117"/>
      <c r="L31" s="117"/>
      <c r="M31" s="117"/>
      <c r="N31" s="117"/>
      <c r="O31" s="117"/>
    </row>
    <row r="32" spans="1:18" x14ac:dyDescent="0.25">
      <c r="B32" s="2200"/>
      <c r="D32" s="996"/>
      <c r="E32" s="996"/>
      <c r="F32" s="117"/>
      <c r="G32" s="117"/>
      <c r="H32" s="117"/>
      <c r="I32" s="117"/>
      <c r="J32" s="117"/>
      <c r="K32" s="117"/>
      <c r="L32" s="117"/>
      <c r="M32" s="117"/>
      <c r="N32" s="117"/>
      <c r="O32" s="117"/>
    </row>
    <row r="33" spans="2:15" x14ac:dyDescent="0.25">
      <c r="B33" s="2200"/>
      <c r="D33" s="996"/>
      <c r="E33" s="996"/>
      <c r="F33" s="117"/>
      <c r="G33" s="117"/>
      <c r="H33" s="117"/>
      <c r="I33" s="117"/>
      <c r="J33" s="117"/>
      <c r="K33" s="117"/>
      <c r="L33" s="117"/>
      <c r="M33" s="117"/>
      <c r="N33" s="117"/>
      <c r="O33" s="117"/>
    </row>
    <row r="34" spans="2:15" x14ac:dyDescent="0.25">
      <c r="B34" s="2200"/>
      <c r="D34" s="996"/>
      <c r="E34" s="996"/>
      <c r="F34" s="117"/>
      <c r="G34" s="117"/>
      <c r="H34" s="117"/>
      <c r="I34" s="117"/>
      <c r="J34" s="117"/>
      <c r="K34" s="117"/>
      <c r="L34" s="117"/>
      <c r="M34" s="117"/>
      <c r="N34" s="117"/>
      <c r="O34" s="117"/>
    </row>
    <row r="35" spans="2:15" x14ac:dyDescent="0.25">
      <c r="B35" s="2200"/>
      <c r="D35" s="996"/>
      <c r="E35" s="996"/>
      <c r="F35" s="117"/>
      <c r="G35" s="117"/>
      <c r="H35" s="117"/>
      <c r="I35" s="117"/>
      <c r="J35" s="117"/>
      <c r="K35" s="117"/>
      <c r="L35" s="117"/>
      <c r="M35" s="117"/>
      <c r="N35" s="117"/>
      <c r="O35" s="117"/>
    </row>
    <row r="36" spans="2:15" x14ac:dyDescent="0.25">
      <c r="B36" s="2200"/>
      <c r="D36" s="996"/>
      <c r="E36" s="996"/>
      <c r="F36" s="117"/>
      <c r="G36" s="117"/>
      <c r="H36" s="117"/>
      <c r="I36" s="117"/>
      <c r="J36" s="117"/>
      <c r="K36" s="117"/>
      <c r="L36" s="117"/>
      <c r="M36" s="117"/>
      <c r="N36" s="117"/>
      <c r="O36" s="117"/>
    </row>
    <row r="37" spans="2:15" x14ac:dyDescent="0.25">
      <c r="B37" s="2200"/>
      <c r="D37" s="996"/>
      <c r="E37" s="996"/>
      <c r="F37" s="117"/>
      <c r="G37" s="117"/>
      <c r="H37" s="117"/>
      <c r="I37" s="117"/>
      <c r="J37" s="117"/>
      <c r="K37" s="117"/>
      <c r="L37" s="117"/>
      <c r="M37" s="117"/>
      <c r="N37" s="117"/>
      <c r="O37" s="117"/>
    </row>
    <row r="38" spans="2:15" x14ac:dyDescent="0.25">
      <c r="B38" s="2200"/>
      <c r="D38" s="996"/>
      <c r="E38" s="996"/>
      <c r="F38" s="117"/>
      <c r="G38" s="117"/>
      <c r="H38" s="117"/>
      <c r="I38" s="117"/>
      <c r="J38" s="117"/>
      <c r="K38" s="117"/>
      <c r="L38" s="117"/>
      <c r="M38" s="117"/>
      <c r="N38" s="117"/>
      <c r="O38" s="117"/>
    </row>
    <row r="39" spans="2:15" x14ac:dyDescent="0.25">
      <c r="B39" s="2200"/>
      <c r="D39" s="996"/>
      <c r="E39" s="996"/>
      <c r="F39" s="117"/>
      <c r="G39" s="117"/>
      <c r="H39" s="117"/>
      <c r="I39" s="117"/>
      <c r="J39" s="117"/>
      <c r="K39" s="117"/>
      <c r="L39" s="117"/>
      <c r="M39" s="117"/>
      <c r="N39" s="117"/>
      <c r="O39" s="117"/>
    </row>
    <row r="40" spans="2:15" x14ac:dyDescent="0.25">
      <c r="B40" s="2200"/>
      <c r="D40" s="996"/>
      <c r="E40" s="996"/>
      <c r="F40" s="117"/>
      <c r="G40" s="117"/>
      <c r="H40" s="117"/>
      <c r="I40" s="117"/>
      <c r="J40" s="117"/>
      <c r="K40" s="117"/>
      <c r="L40" s="117"/>
      <c r="M40" s="117"/>
      <c r="N40" s="117"/>
      <c r="O40" s="117"/>
    </row>
    <row r="41" spans="2:15" x14ac:dyDescent="0.25">
      <c r="D41" s="996"/>
      <c r="E41" s="996"/>
      <c r="F41" s="117"/>
      <c r="G41" s="117"/>
      <c r="H41" s="117"/>
      <c r="I41" s="117"/>
      <c r="J41" s="117"/>
      <c r="K41" s="117"/>
      <c r="L41" s="117"/>
      <c r="M41" s="117"/>
      <c r="N41" s="117"/>
      <c r="O41" s="117"/>
    </row>
    <row r="42" spans="2:15" x14ac:dyDescent="0.25">
      <c r="D42" s="996"/>
      <c r="E42" s="996"/>
      <c r="F42" s="117"/>
      <c r="G42" s="117"/>
      <c r="H42" s="117"/>
      <c r="I42" s="117"/>
      <c r="J42" s="117"/>
      <c r="K42" s="117"/>
      <c r="L42" s="117"/>
      <c r="M42" s="117"/>
      <c r="N42" s="117"/>
      <c r="O42" s="117"/>
    </row>
    <row r="43" spans="2:15" x14ac:dyDescent="0.25">
      <c r="B43" s="2171"/>
      <c r="C43" s="2171"/>
      <c r="D43" s="996"/>
      <c r="E43" s="996"/>
      <c r="F43" s="117"/>
      <c r="G43" s="117"/>
      <c r="H43" s="117"/>
      <c r="I43" s="117"/>
      <c r="J43" s="117"/>
      <c r="K43" s="117"/>
      <c r="L43" s="117"/>
      <c r="M43" s="117"/>
      <c r="N43" s="117"/>
      <c r="O43" s="117"/>
    </row>
    <row r="44" spans="2:15" x14ac:dyDescent="0.25">
      <c r="D44" s="996"/>
      <c r="E44" s="996"/>
      <c r="F44" s="117"/>
      <c r="G44" s="117"/>
      <c r="H44" s="117"/>
      <c r="I44" s="117"/>
      <c r="J44" s="117"/>
      <c r="K44" s="117"/>
      <c r="L44" s="117"/>
      <c r="M44" s="117"/>
      <c r="N44" s="117"/>
      <c r="O44" s="117"/>
    </row>
    <row r="45" spans="2:15" x14ac:dyDescent="0.25">
      <c r="D45" s="996"/>
      <c r="E45" s="996"/>
      <c r="F45" s="117"/>
      <c r="G45" s="117"/>
      <c r="H45" s="117"/>
      <c r="I45" s="117"/>
      <c r="J45" s="117"/>
      <c r="K45" s="117"/>
      <c r="L45" s="117"/>
      <c r="M45" s="117"/>
      <c r="N45" s="117"/>
      <c r="O45" s="117"/>
    </row>
    <row r="46" spans="2:15" x14ac:dyDescent="0.25">
      <c r="D46" s="996"/>
      <c r="E46" s="996"/>
      <c r="F46" s="996"/>
      <c r="G46" s="996"/>
      <c r="H46" s="996"/>
      <c r="I46" s="996"/>
      <c r="J46" s="996"/>
      <c r="K46" s="996"/>
      <c r="L46" s="996"/>
      <c r="M46" s="996"/>
      <c r="N46" s="996"/>
      <c r="O46" s="996"/>
    </row>
    <row r="47" spans="2:15" x14ac:dyDescent="0.25">
      <c r="D47" s="996"/>
      <c r="E47" s="996"/>
      <c r="F47" s="996"/>
      <c r="G47" s="996"/>
      <c r="H47" s="996"/>
      <c r="I47" s="996"/>
      <c r="J47" s="996"/>
      <c r="K47" s="996"/>
      <c r="L47" s="996"/>
      <c r="M47" s="996"/>
      <c r="N47" s="996"/>
      <c r="O47" s="996"/>
    </row>
    <row r="48" spans="2:15" x14ac:dyDescent="0.25">
      <c r="D48" s="996"/>
      <c r="E48" s="996"/>
      <c r="F48" s="996"/>
      <c r="G48" s="996"/>
      <c r="H48" s="996"/>
      <c r="I48" s="996"/>
      <c r="J48" s="996"/>
      <c r="K48" s="996"/>
      <c r="L48" s="996"/>
      <c r="M48" s="996"/>
      <c r="N48" s="996"/>
      <c r="O48" s="996"/>
    </row>
    <row r="49" spans="1:19" ht="16.5" customHeight="1" x14ac:dyDescent="0.25">
      <c r="A49" s="453">
        <v>6</v>
      </c>
      <c r="B49" s="453" t="s">
        <v>78</v>
      </c>
      <c r="C49" s="453"/>
      <c r="D49" s="3553" t="s">
        <v>1873</v>
      </c>
      <c r="E49" s="3554"/>
      <c r="F49" s="3554"/>
      <c r="G49" s="3554"/>
      <c r="H49" s="3554"/>
      <c r="I49" s="3554"/>
      <c r="J49" s="3554"/>
      <c r="K49" s="3554"/>
      <c r="L49" s="3554"/>
      <c r="M49" s="3554"/>
      <c r="N49" s="3554"/>
      <c r="O49" s="3554"/>
      <c r="P49" s="3554"/>
      <c r="Q49" s="3554"/>
      <c r="R49" s="3554"/>
      <c r="S49" s="3555"/>
    </row>
    <row r="50" spans="1:19" ht="97.9" customHeight="1" x14ac:dyDescent="0.25">
      <c r="A50" s="472">
        <v>7</v>
      </c>
      <c r="B50" s="472" t="s">
        <v>80</v>
      </c>
      <c r="C50" s="472"/>
      <c r="D50" s="3568" t="s">
        <v>849</v>
      </c>
      <c r="E50" s="3569"/>
      <c r="F50" s="3569"/>
      <c r="G50" s="3569"/>
      <c r="H50" s="3569"/>
      <c r="I50" s="3569"/>
      <c r="J50" s="3569"/>
      <c r="K50" s="3569"/>
      <c r="L50" s="3569"/>
      <c r="M50" s="3569"/>
      <c r="N50" s="3569"/>
      <c r="O50" s="3569"/>
      <c r="P50" s="3569"/>
      <c r="Q50" s="3569"/>
      <c r="R50" s="3569"/>
      <c r="S50" s="3570"/>
    </row>
    <row r="51" spans="1:19" ht="13.5" customHeight="1" x14ac:dyDescent="0.25">
      <c r="A51" s="453">
        <v>8</v>
      </c>
      <c r="B51" s="453" t="s">
        <v>20</v>
      </c>
      <c r="C51" s="453"/>
      <c r="D51" s="3556" t="s">
        <v>848</v>
      </c>
      <c r="E51" s="3557"/>
      <c r="F51" s="3557"/>
      <c r="G51" s="3557"/>
      <c r="H51" s="3557"/>
      <c r="I51" s="3557"/>
      <c r="J51" s="3557"/>
      <c r="K51" s="3557"/>
      <c r="L51" s="3557"/>
      <c r="M51" s="3557"/>
      <c r="N51" s="3557"/>
      <c r="O51" s="3557"/>
      <c r="P51" s="3557"/>
      <c r="Q51" s="3557"/>
      <c r="R51" s="3557"/>
      <c r="S51" s="3558"/>
    </row>
    <row r="52" spans="1:19" x14ac:dyDescent="0.25">
      <c r="B52" s="453"/>
      <c r="C52" s="453"/>
      <c r="D52" s="3556"/>
      <c r="E52" s="3557"/>
      <c r="F52" s="3557"/>
      <c r="G52" s="3557"/>
      <c r="H52" s="3557"/>
      <c r="I52" s="3557"/>
      <c r="J52" s="3557"/>
      <c r="K52" s="3557"/>
      <c r="L52" s="3557"/>
      <c r="M52" s="3557"/>
      <c r="N52" s="3557"/>
      <c r="O52" s="3557"/>
      <c r="P52" s="3557"/>
      <c r="Q52" s="3557"/>
      <c r="R52" s="3557"/>
      <c r="S52" s="3558"/>
    </row>
    <row r="53" spans="1:19" s="964" customFormat="1" ht="30" customHeight="1" x14ac:dyDescent="0.2">
      <c r="A53" s="835">
        <v>9</v>
      </c>
      <c r="B53" s="835" t="s">
        <v>83</v>
      </c>
      <c r="C53" s="1791"/>
      <c r="D53" s="3800" t="s">
        <v>847</v>
      </c>
      <c r="E53" s="3714"/>
      <c r="F53" s="3714"/>
      <c r="G53" s="3714"/>
      <c r="H53" s="3714"/>
      <c r="I53" s="3714"/>
      <c r="J53" s="3714"/>
      <c r="K53" s="3714"/>
      <c r="L53" s="3714"/>
      <c r="M53" s="3714"/>
      <c r="N53" s="3714"/>
      <c r="O53" s="3714"/>
      <c r="P53" s="3714"/>
      <c r="Q53" s="3714"/>
      <c r="R53" s="3714"/>
      <c r="S53" s="3715"/>
    </row>
    <row r="54" spans="1:19" x14ac:dyDescent="0.25">
      <c r="B54" s="453"/>
      <c r="D54" s="57"/>
      <c r="E54" s="57"/>
      <c r="F54" s="57"/>
      <c r="G54" s="57"/>
      <c r="H54" s="57"/>
      <c r="I54" s="57"/>
      <c r="J54" s="57"/>
      <c r="K54" s="57"/>
      <c r="L54" s="57"/>
      <c r="M54" s="57"/>
      <c r="N54" s="57"/>
      <c r="O54" s="57"/>
      <c r="P54" s="723"/>
    </row>
    <row r="55" spans="1:19" x14ac:dyDescent="0.25">
      <c r="B55" s="453"/>
      <c r="D55" s="57"/>
      <c r="E55" s="57"/>
      <c r="F55" s="57"/>
      <c r="G55" s="57"/>
      <c r="H55" s="57"/>
      <c r="I55" s="57"/>
      <c r="J55" s="57"/>
      <c r="K55" s="57"/>
      <c r="L55" s="57"/>
      <c r="M55" s="57"/>
      <c r="N55" s="57"/>
      <c r="O55" s="57"/>
      <c r="P55" s="723"/>
    </row>
    <row r="56" spans="1:19" x14ac:dyDescent="0.25">
      <c r="B56" s="453"/>
      <c r="D56" s="57"/>
      <c r="E56" s="57"/>
      <c r="F56" s="57"/>
      <c r="G56" s="57"/>
      <c r="H56" s="57"/>
      <c r="I56" s="57"/>
      <c r="J56" s="57"/>
      <c r="K56" s="57"/>
      <c r="L56" s="57"/>
      <c r="M56" s="57"/>
      <c r="N56" s="57"/>
      <c r="O56" s="57"/>
      <c r="P56" s="723"/>
    </row>
    <row r="57" spans="1:19" x14ac:dyDescent="0.25">
      <c r="B57" s="453"/>
      <c r="D57" s="57"/>
      <c r="E57" s="57"/>
      <c r="F57" s="57"/>
      <c r="G57" s="57"/>
      <c r="H57" s="57"/>
      <c r="I57" s="57"/>
      <c r="J57" s="57"/>
      <c r="K57" s="57"/>
      <c r="L57" s="57"/>
      <c r="M57" s="57"/>
      <c r="N57" s="57"/>
      <c r="O57" s="57"/>
      <c r="P57" s="723"/>
    </row>
    <row r="58" spans="1:19" x14ac:dyDescent="0.25">
      <c r="B58" s="453"/>
      <c r="D58" s="57"/>
      <c r="E58" s="57"/>
      <c r="F58" s="57"/>
      <c r="G58" s="57"/>
      <c r="H58" s="57"/>
      <c r="I58" s="57"/>
      <c r="J58" s="57"/>
      <c r="K58" s="57"/>
      <c r="L58" s="57"/>
      <c r="M58" s="57"/>
      <c r="N58" s="57"/>
      <c r="O58" s="57"/>
      <c r="P58" s="723"/>
    </row>
  </sheetData>
  <mergeCells count="11">
    <mergeCell ref="D53:S53"/>
    <mergeCell ref="B9:B10"/>
    <mergeCell ref="F17:H17"/>
    <mergeCell ref="I17:K17"/>
    <mergeCell ref="D51:S51"/>
    <mergeCell ref="D52:S52"/>
    <mergeCell ref="D2:S2"/>
    <mergeCell ref="D3:S3"/>
    <mergeCell ref="D4:S4"/>
    <mergeCell ref="D49:S49"/>
    <mergeCell ref="D50:S50"/>
  </mergeCells>
  <pageMargins left="0.74803149606299213" right="0.74803149606299213" top="0.98425196850393704" bottom="0.98425196850393704" header="0.51181102362204722" footer="0.51181102362204722"/>
  <pageSetup paperSize="9" scale="7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47"/>
  <sheetViews>
    <sheetView showGridLines="0" view="pageBreakPreview" zoomScaleNormal="100" zoomScaleSheetLayoutView="100" workbookViewId="0">
      <selection activeCell="D45" sqref="D45:U45"/>
    </sheetView>
  </sheetViews>
  <sheetFormatPr defaultColWidth="9.140625" defaultRowHeight="15" x14ac:dyDescent="0.25"/>
  <cols>
    <col min="1" max="1" width="3.7109375" style="453" customWidth="1"/>
    <col min="2" max="2" width="14.42578125" style="670" customWidth="1"/>
    <col min="3" max="3" width="3.7109375" style="670" customWidth="1"/>
    <col min="4" max="4" width="21" style="229" customWidth="1"/>
    <col min="5" max="14" width="8.7109375" style="229" customWidth="1"/>
    <col min="15" max="260" width="9.140625" style="229"/>
    <col min="261" max="261" width="3.7109375" style="229" customWidth="1"/>
    <col min="262" max="262" width="14.42578125" style="229" customWidth="1"/>
    <col min="263" max="263" width="3.7109375" style="229" customWidth="1"/>
    <col min="264" max="264" width="21.5703125" style="229" customWidth="1"/>
    <col min="265" max="274" width="8.7109375" style="229" customWidth="1"/>
    <col min="275" max="516" width="9.140625" style="229"/>
    <col min="517" max="517" width="3.7109375" style="229" customWidth="1"/>
    <col min="518" max="518" width="14.42578125" style="229" customWidth="1"/>
    <col min="519" max="519" width="3.7109375" style="229" customWidth="1"/>
    <col min="520" max="520" width="21.5703125" style="229" customWidth="1"/>
    <col min="521" max="530" width="8.7109375" style="229" customWidth="1"/>
    <col min="531" max="772" width="9.140625" style="229"/>
    <col min="773" max="773" width="3.7109375" style="229" customWidth="1"/>
    <col min="774" max="774" width="14.42578125" style="229" customWidth="1"/>
    <col min="775" max="775" width="3.7109375" style="229" customWidth="1"/>
    <col min="776" max="776" width="21.5703125" style="229" customWidth="1"/>
    <col min="777" max="786" width="8.7109375" style="229" customWidth="1"/>
    <col min="787" max="1028" width="9.140625" style="229"/>
    <col min="1029" max="1029" width="3.7109375" style="229" customWidth="1"/>
    <col min="1030" max="1030" width="14.42578125" style="229" customWidth="1"/>
    <col min="1031" max="1031" width="3.7109375" style="229" customWidth="1"/>
    <col min="1032" max="1032" width="21.5703125" style="229" customWidth="1"/>
    <col min="1033" max="1042" width="8.7109375" style="229" customWidth="1"/>
    <col min="1043" max="1284" width="9.140625" style="229"/>
    <col min="1285" max="1285" width="3.7109375" style="229" customWidth="1"/>
    <col min="1286" max="1286" width="14.42578125" style="229" customWidth="1"/>
    <col min="1287" max="1287" width="3.7109375" style="229" customWidth="1"/>
    <col min="1288" max="1288" width="21.5703125" style="229" customWidth="1"/>
    <col min="1289" max="1298" width="8.7109375" style="229" customWidth="1"/>
    <col min="1299" max="1540" width="9.140625" style="229"/>
    <col min="1541" max="1541" width="3.7109375" style="229" customWidth="1"/>
    <col min="1542" max="1542" width="14.42578125" style="229" customWidth="1"/>
    <col min="1543" max="1543" width="3.7109375" style="229" customWidth="1"/>
    <col min="1544" max="1544" width="21.5703125" style="229" customWidth="1"/>
    <col min="1545" max="1554" width="8.7109375" style="229" customWidth="1"/>
    <col min="1555" max="1796" width="9.140625" style="229"/>
    <col min="1797" max="1797" width="3.7109375" style="229" customWidth="1"/>
    <col min="1798" max="1798" width="14.42578125" style="229" customWidth="1"/>
    <col min="1799" max="1799" width="3.7109375" style="229" customWidth="1"/>
    <col min="1800" max="1800" width="21.5703125" style="229" customWidth="1"/>
    <col min="1801" max="1810" width="8.7109375" style="229" customWidth="1"/>
    <col min="1811" max="2052" width="9.140625" style="229"/>
    <col min="2053" max="2053" width="3.7109375" style="229" customWidth="1"/>
    <col min="2054" max="2054" width="14.42578125" style="229" customWidth="1"/>
    <col min="2055" max="2055" width="3.7109375" style="229" customWidth="1"/>
    <col min="2056" max="2056" width="21.5703125" style="229" customWidth="1"/>
    <col min="2057" max="2066" width="8.7109375" style="229" customWidth="1"/>
    <col min="2067" max="2308" width="9.140625" style="229"/>
    <col min="2309" max="2309" width="3.7109375" style="229" customWidth="1"/>
    <col min="2310" max="2310" width="14.42578125" style="229" customWidth="1"/>
    <col min="2311" max="2311" width="3.7109375" style="229" customWidth="1"/>
    <col min="2312" max="2312" width="21.5703125" style="229" customWidth="1"/>
    <col min="2313" max="2322" width="8.7109375" style="229" customWidth="1"/>
    <col min="2323" max="2564" width="9.140625" style="229"/>
    <col min="2565" max="2565" width="3.7109375" style="229" customWidth="1"/>
    <col min="2566" max="2566" width="14.42578125" style="229" customWidth="1"/>
    <col min="2567" max="2567" width="3.7109375" style="229" customWidth="1"/>
    <col min="2568" max="2568" width="21.5703125" style="229" customWidth="1"/>
    <col min="2569" max="2578" width="8.7109375" style="229" customWidth="1"/>
    <col min="2579" max="2820" width="9.140625" style="229"/>
    <col min="2821" max="2821" width="3.7109375" style="229" customWidth="1"/>
    <col min="2822" max="2822" width="14.42578125" style="229" customWidth="1"/>
    <col min="2823" max="2823" width="3.7109375" style="229" customWidth="1"/>
    <col min="2824" max="2824" width="21.5703125" style="229" customWidth="1"/>
    <col min="2825" max="2834" width="8.7109375" style="229" customWidth="1"/>
    <col min="2835" max="3076" width="9.140625" style="229"/>
    <col min="3077" max="3077" width="3.7109375" style="229" customWidth="1"/>
    <col min="3078" max="3078" width="14.42578125" style="229" customWidth="1"/>
    <col min="3079" max="3079" width="3.7109375" style="229" customWidth="1"/>
    <col min="3080" max="3080" width="21.5703125" style="229" customWidth="1"/>
    <col min="3081" max="3090" width="8.7109375" style="229" customWidth="1"/>
    <col min="3091" max="3332" width="9.140625" style="229"/>
    <col min="3333" max="3333" width="3.7109375" style="229" customWidth="1"/>
    <col min="3334" max="3334" width="14.42578125" style="229" customWidth="1"/>
    <col min="3335" max="3335" width="3.7109375" style="229" customWidth="1"/>
    <col min="3336" max="3336" width="21.5703125" style="229" customWidth="1"/>
    <col min="3337" max="3346" width="8.7109375" style="229" customWidth="1"/>
    <col min="3347" max="3588" width="9.140625" style="229"/>
    <col min="3589" max="3589" width="3.7109375" style="229" customWidth="1"/>
    <col min="3590" max="3590" width="14.42578125" style="229" customWidth="1"/>
    <col min="3591" max="3591" width="3.7109375" style="229" customWidth="1"/>
    <col min="3592" max="3592" width="21.5703125" style="229" customWidth="1"/>
    <col min="3593" max="3602" width="8.7109375" style="229" customWidth="1"/>
    <col min="3603" max="3844" width="9.140625" style="229"/>
    <col min="3845" max="3845" width="3.7109375" style="229" customWidth="1"/>
    <col min="3846" max="3846" width="14.42578125" style="229" customWidth="1"/>
    <col min="3847" max="3847" width="3.7109375" style="229" customWidth="1"/>
    <col min="3848" max="3848" width="21.5703125" style="229" customWidth="1"/>
    <col min="3849" max="3858" width="8.7109375" style="229" customWidth="1"/>
    <col min="3859" max="4100" width="9.140625" style="229"/>
    <col min="4101" max="4101" width="3.7109375" style="229" customWidth="1"/>
    <col min="4102" max="4102" width="14.42578125" style="229" customWidth="1"/>
    <col min="4103" max="4103" width="3.7109375" style="229" customWidth="1"/>
    <col min="4104" max="4104" width="21.5703125" style="229" customWidth="1"/>
    <col min="4105" max="4114" width="8.7109375" style="229" customWidth="1"/>
    <col min="4115" max="4356" width="9.140625" style="229"/>
    <col min="4357" max="4357" width="3.7109375" style="229" customWidth="1"/>
    <col min="4358" max="4358" width="14.42578125" style="229" customWidth="1"/>
    <col min="4359" max="4359" width="3.7109375" style="229" customWidth="1"/>
    <col min="4360" max="4360" width="21.5703125" style="229" customWidth="1"/>
    <col min="4361" max="4370" width="8.7109375" style="229" customWidth="1"/>
    <col min="4371" max="4612" width="9.140625" style="229"/>
    <col min="4613" max="4613" width="3.7109375" style="229" customWidth="1"/>
    <col min="4614" max="4614" width="14.42578125" style="229" customWidth="1"/>
    <col min="4615" max="4615" width="3.7109375" style="229" customWidth="1"/>
    <col min="4616" max="4616" width="21.5703125" style="229" customWidth="1"/>
    <col min="4617" max="4626" width="8.7109375" style="229" customWidth="1"/>
    <col min="4627" max="4868" width="9.140625" style="229"/>
    <col min="4869" max="4869" width="3.7109375" style="229" customWidth="1"/>
    <col min="4870" max="4870" width="14.42578125" style="229" customWidth="1"/>
    <col min="4871" max="4871" width="3.7109375" style="229" customWidth="1"/>
    <col min="4872" max="4872" width="21.5703125" style="229" customWidth="1"/>
    <col min="4873" max="4882" width="8.7109375" style="229" customWidth="1"/>
    <col min="4883" max="5124" width="9.140625" style="229"/>
    <col min="5125" max="5125" width="3.7109375" style="229" customWidth="1"/>
    <col min="5126" max="5126" width="14.42578125" style="229" customWidth="1"/>
    <col min="5127" max="5127" width="3.7109375" style="229" customWidth="1"/>
    <col min="5128" max="5128" width="21.5703125" style="229" customWidth="1"/>
    <col min="5129" max="5138" width="8.7109375" style="229" customWidth="1"/>
    <col min="5139" max="5380" width="9.140625" style="229"/>
    <col min="5381" max="5381" width="3.7109375" style="229" customWidth="1"/>
    <col min="5382" max="5382" width="14.42578125" style="229" customWidth="1"/>
    <col min="5383" max="5383" width="3.7109375" style="229" customWidth="1"/>
    <col min="5384" max="5384" width="21.5703125" style="229" customWidth="1"/>
    <col min="5385" max="5394" width="8.7109375" style="229" customWidth="1"/>
    <col min="5395" max="5636" width="9.140625" style="229"/>
    <col min="5637" max="5637" width="3.7109375" style="229" customWidth="1"/>
    <col min="5638" max="5638" width="14.42578125" style="229" customWidth="1"/>
    <col min="5639" max="5639" width="3.7109375" style="229" customWidth="1"/>
    <col min="5640" max="5640" width="21.5703125" style="229" customWidth="1"/>
    <col min="5641" max="5650" width="8.7109375" style="229" customWidth="1"/>
    <col min="5651" max="5892" width="9.140625" style="229"/>
    <col min="5893" max="5893" width="3.7109375" style="229" customWidth="1"/>
    <col min="5894" max="5894" width="14.42578125" style="229" customWidth="1"/>
    <col min="5895" max="5895" width="3.7109375" style="229" customWidth="1"/>
    <col min="5896" max="5896" width="21.5703125" style="229" customWidth="1"/>
    <col min="5897" max="5906" width="8.7109375" style="229" customWidth="1"/>
    <col min="5907" max="6148" width="9.140625" style="229"/>
    <col min="6149" max="6149" width="3.7109375" style="229" customWidth="1"/>
    <col min="6150" max="6150" width="14.42578125" style="229" customWidth="1"/>
    <col min="6151" max="6151" width="3.7109375" style="229" customWidth="1"/>
    <col min="6152" max="6152" width="21.5703125" style="229" customWidth="1"/>
    <col min="6153" max="6162" width="8.7109375" style="229" customWidth="1"/>
    <col min="6163" max="6404" width="9.140625" style="229"/>
    <col min="6405" max="6405" width="3.7109375" style="229" customWidth="1"/>
    <col min="6406" max="6406" width="14.42578125" style="229" customWidth="1"/>
    <col min="6407" max="6407" width="3.7109375" style="229" customWidth="1"/>
    <col min="6408" max="6408" width="21.5703125" style="229" customWidth="1"/>
    <col min="6409" max="6418" width="8.7109375" style="229" customWidth="1"/>
    <col min="6419" max="6660" width="9.140625" style="229"/>
    <col min="6661" max="6661" width="3.7109375" style="229" customWidth="1"/>
    <col min="6662" max="6662" width="14.42578125" style="229" customWidth="1"/>
    <col min="6663" max="6663" width="3.7109375" style="229" customWidth="1"/>
    <col min="6664" max="6664" width="21.5703125" style="229" customWidth="1"/>
    <col min="6665" max="6674" width="8.7109375" style="229" customWidth="1"/>
    <col min="6675" max="6916" width="9.140625" style="229"/>
    <col min="6917" max="6917" width="3.7109375" style="229" customWidth="1"/>
    <col min="6918" max="6918" width="14.42578125" style="229" customWidth="1"/>
    <col min="6919" max="6919" width="3.7109375" style="229" customWidth="1"/>
    <col min="6920" max="6920" width="21.5703125" style="229" customWidth="1"/>
    <col min="6921" max="6930" width="8.7109375" style="229" customWidth="1"/>
    <col min="6931" max="7172" width="9.140625" style="229"/>
    <col min="7173" max="7173" width="3.7109375" style="229" customWidth="1"/>
    <col min="7174" max="7174" width="14.42578125" style="229" customWidth="1"/>
    <col min="7175" max="7175" width="3.7109375" style="229" customWidth="1"/>
    <col min="7176" max="7176" width="21.5703125" style="229" customWidth="1"/>
    <col min="7177" max="7186" width="8.7109375" style="229" customWidth="1"/>
    <col min="7187" max="7428" width="9.140625" style="229"/>
    <col min="7429" max="7429" width="3.7109375" style="229" customWidth="1"/>
    <col min="7430" max="7430" width="14.42578125" style="229" customWidth="1"/>
    <col min="7431" max="7431" width="3.7109375" style="229" customWidth="1"/>
    <col min="7432" max="7432" width="21.5703125" style="229" customWidth="1"/>
    <col min="7433" max="7442" width="8.7109375" style="229" customWidth="1"/>
    <col min="7443" max="7684" width="9.140625" style="229"/>
    <col min="7685" max="7685" width="3.7109375" style="229" customWidth="1"/>
    <col min="7686" max="7686" width="14.42578125" style="229" customWidth="1"/>
    <col min="7687" max="7687" width="3.7109375" style="229" customWidth="1"/>
    <col min="7688" max="7688" width="21.5703125" style="229" customWidth="1"/>
    <col min="7689" max="7698" width="8.7109375" style="229" customWidth="1"/>
    <col min="7699" max="7940" width="9.140625" style="229"/>
    <col min="7941" max="7941" width="3.7109375" style="229" customWidth="1"/>
    <col min="7942" max="7942" width="14.42578125" style="229" customWidth="1"/>
    <col min="7943" max="7943" width="3.7109375" style="229" customWidth="1"/>
    <col min="7944" max="7944" width="21.5703125" style="229" customWidth="1"/>
    <col min="7945" max="7954" width="8.7109375" style="229" customWidth="1"/>
    <col min="7955" max="8196" width="9.140625" style="229"/>
    <col min="8197" max="8197" width="3.7109375" style="229" customWidth="1"/>
    <col min="8198" max="8198" width="14.42578125" style="229" customWidth="1"/>
    <col min="8199" max="8199" width="3.7109375" style="229" customWidth="1"/>
    <col min="8200" max="8200" width="21.5703125" style="229" customWidth="1"/>
    <col min="8201" max="8210" width="8.7109375" style="229" customWidth="1"/>
    <col min="8211" max="8452" width="9.140625" style="229"/>
    <col min="8453" max="8453" width="3.7109375" style="229" customWidth="1"/>
    <col min="8454" max="8454" width="14.42578125" style="229" customWidth="1"/>
    <col min="8455" max="8455" width="3.7109375" style="229" customWidth="1"/>
    <col min="8456" max="8456" width="21.5703125" style="229" customWidth="1"/>
    <col min="8457" max="8466" width="8.7109375" style="229" customWidth="1"/>
    <col min="8467" max="8708" width="9.140625" style="229"/>
    <col min="8709" max="8709" width="3.7109375" style="229" customWidth="1"/>
    <col min="8710" max="8710" width="14.42578125" style="229" customWidth="1"/>
    <col min="8711" max="8711" width="3.7109375" style="229" customWidth="1"/>
    <col min="8712" max="8712" width="21.5703125" style="229" customWidth="1"/>
    <col min="8713" max="8722" width="8.7109375" style="229" customWidth="1"/>
    <col min="8723" max="8964" width="9.140625" style="229"/>
    <col min="8965" max="8965" width="3.7109375" style="229" customWidth="1"/>
    <col min="8966" max="8966" width="14.42578125" style="229" customWidth="1"/>
    <col min="8967" max="8967" width="3.7109375" style="229" customWidth="1"/>
    <col min="8968" max="8968" width="21.5703125" style="229" customWidth="1"/>
    <col min="8969" max="8978" width="8.7109375" style="229" customWidth="1"/>
    <col min="8979" max="9220" width="9.140625" style="229"/>
    <col min="9221" max="9221" width="3.7109375" style="229" customWidth="1"/>
    <col min="9222" max="9222" width="14.42578125" style="229" customWidth="1"/>
    <col min="9223" max="9223" width="3.7109375" style="229" customWidth="1"/>
    <col min="9224" max="9224" width="21.5703125" style="229" customWidth="1"/>
    <col min="9225" max="9234" width="8.7109375" style="229" customWidth="1"/>
    <col min="9235" max="9476" width="9.140625" style="229"/>
    <col min="9477" max="9477" width="3.7109375" style="229" customWidth="1"/>
    <col min="9478" max="9478" width="14.42578125" style="229" customWidth="1"/>
    <col min="9479" max="9479" width="3.7109375" style="229" customWidth="1"/>
    <col min="9480" max="9480" width="21.5703125" style="229" customWidth="1"/>
    <col min="9481" max="9490" width="8.7109375" style="229" customWidth="1"/>
    <col min="9491" max="9732" width="9.140625" style="229"/>
    <col min="9733" max="9733" width="3.7109375" style="229" customWidth="1"/>
    <col min="9734" max="9734" width="14.42578125" style="229" customWidth="1"/>
    <col min="9735" max="9735" width="3.7109375" style="229" customWidth="1"/>
    <col min="9736" max="9736" width="21.5703125" style="229" customWidth="1"/>
    <col min="9737" max="9746" width="8.7109375" style="229" customWidth="1"/>
    <col min="9747" max="9988" width="9.140625" style="229"/>
    <col min="9989" max="9989" width="3.7109375" style="229" customWidth="1"/>
    <col min="9990" max="9990" width="14.42578125" style="229" customWidth="1"/>
    <col min="9991" max="9991" width="3.7109375" style="229" customWidth="1"/>
    <col min="9992" max="9992" width="21.5703125" style="229" customWidth="1"/>
    <col min="9993" max="10002" width="8.7109375" style="229" customWidth="1"/>
    <col min="10003" max="10244" width="9.140625" style="229"/>
    <col min="10245" max="10245" width="3.7109375" style="229" customWidth="1"/>
    <col min="10246" max="10246" width="14.42578125" style="229" customWidth="1"/>
    <col min="10247" max="10247" width="3.7109375" style="229" customWidth="1"/>
    <col min="10248" max="10248" width="21.5703125" style="229" customWidth="1"/>
    <col min="10249" max="10258" width="8.7109375" style="229" customWidth="1"/>
    <col min="10259" max="10500" width="9.140625" style="229"/>
    <col min="10501" max="10501" width="3.7109375" style="229" customWidth="1"/>
    <col min="10502" max="10502" width="14.42578125" style="229" customWidth="1"/>
    <col min="10503" max="10503" width="3.7109375" style="229" customWidth="1"/>
    <col min="10504" max="10504" width="21.5703125" style="229" customWidth="1"/>
    <col min="10505" max="10514" width="8.7109375" style="229" customWidth="1"/>
    <col min="10515" max="10756" width="9.140625" style="229"/>
    <col min="10757" max="10757" width="3.7109375" style="229" customWidth="1"/>
    <col min="10758" max="10758" width="14.42578125" style="229" customWidth="1"/>
    <col min="10759" max="10759" width="3.7109375" style="229" customWidth="1"/>
    <col min="10760" max="10760" width="21.5703125" style="229" customWidth="1"/>
    <col min="10761" max="10770" width="8.7109375" style="229" customWidth="1"/>
    <col min="10771" max="11012" width="9.140625" style="229"/>
    <col min="11013" max="11013" width="3.7109375" style="229" customWidth="1"/>
    <col min="11014" max="11014" width="14.42578125" style="229" customWidth="1"/>
    <col min="11015" max="11015" width="3.7109375" style="229" customWidth="1"/>
    <col min="11016" max="11016" width="21.5703125" style="229" customWidth="1"/>
    <col min="11017" max="11026" width="8.7109375" style="229" customWidth="1"/>
    <col min="11027" max="11268" width="9.140625" style="229"/>
    <col min="11269" max="11269" width="3.7109375" style="229" customWidth="1"/>
    <col min="11270" max="11270" width="14.42578125" style="229" customWidth="1"/>
    <col min="11271" max="11271" width="3.7109375" style="229" customWidth="1"/>
    <col min="11272" max="11272" width="21.5703125" style="229" customWidth="1"/>
    <col min="11273" max="11282" width="8.7109375" style="229" customWidth="1"/>
    <col min="11283" max="11524" width="9.140625" style="229"/>
    <col min="11525" max="11525" width="3.7109375" style="229" customWidth="1"/>
    <col min="11526" max="11526" width="14.42578125" style="229" customWidth="1"/>
    <col min="11527" max="11527" width="3.7109375" style="229" customWidth="1"/>
    <col min="11528" max="11528" width="21.5703125" style="229" customWidth="1"/>
    <col min="11529" max="11538" width="8.7109375" style="229" customWidth="1"/>
    <col min="11539" max="11780" width="9.140625" style="229"/>
    <col min="11781" max="11781" width="3.7109375" style="229" customWidth="1"/>
    <col min="11782" max="11782" width="14.42578125" style="229" customWidth="1"/>
    <col min="11783" max="11783" width="3.7109375" style="229" customWidth="1"/>
    <col min="11784" max="11784" width="21.5703125" style="229" customWidth="1"/>
    <col min="11785" max="11794" width="8.7109375" style="229" customWidth="1"/>
    <col min="11795" max="12036" width="9.140625" style="229"/>
    <col min="12037" max="12037" width="3.7109375" style="229" customWidth="1"/>
    <col min="12038" max="12038" width="14.42578125" style="229" customWidth="1"/>
    <col min="12039" max="12039" width="3.7109375" style="229" customWidth="1"/>
    <col min="12040" max="12040" width="21.5703125" style="229" customWidth="1"/>
    <col min="12041" max="12050" width="8.7109375" style="229" customWidth="1"/>
    <col min="12051" max="12292" width="9.140625" style="229"/>
    <col min="12293" max="12293" width="3.7109375" style="229" customWidth="1"/>
    <col min="12294" max="12294" width="14.42578125" style="229" customWidth="1"/>
    <col min="12295" max="12295" width="3.7109375" style="229" customWidth="1"/>
    <col min="12296" max="12296" width="21.5703125" style="229" customWidth="1"/>
    <col min="12297" max="12306" width="8.7109375" style="229" customWidth="1"/>
    <col min="12307" max="12548" width="9.140625" style="229"/>
    <col min="12549" max="12549" width="3.7109375" style="229" customWidth="1"/>
    <col min="12550" max="12550" width="14.42578125" style="229" customWidth="1"/>
    <col min="12551" max="12551" width="3.7109375" style="229" customWidth="1"/>
    <col min="12552" max="12552" width="21.5703125" style="229" customWidth="1"/>
    <col min="12553" max="12562" width="8.7109375" style="229" customWidth="1"/>
    <col min="12563" max="12804" width="9.140625" style="229"/>
    <col min="12805" max="12805" width="3.7109375" style="229" customWidth="1"/>
    <col min="12806" max="12806" width="14.42578125" style="229" customWidth="1"/>
    <col min="12807" max="12807" width="3.7109375" style="229" customWidth="1"/>
    <col min="12808" max="12808" width="21.5703125" style="229" customWidth="1"/>
    <col min="12809" max="12818" width="8.7109375" style="229" customWidth="1"/>
    <col min="12819" max="13060" width="9.140625" style="229"/>
    <col min="13061" max="13061" width="3.7109375" style="229" customWidth="1"/>
    <col min="13062" max="13062" width="14.42578125" style="229" customWidth="1"/>
    <col min="13063" max="13063" width="3.7109375" style="229" customWidth="1"/>
    <col min="13064" max="13064" width="21.5703125" style="229" customWidth="1"/>
    <col min="13065" max="13074" width="8.7109375" style="229" customWidth="1"/>
    <col min="13075" max="13316" width="9.140625" style="229"/>
    <col min="13317" max="13317" width="3.7109375" style="229" customWidth="1"/>
    <col min="13318" max="13318" width="14.42578125" style="229" customWidth="1"/>
    <col min="13319" max="13319" width="3.7109375" style="229" customWidth="1"/>
    <col min="13320" max="13320" width="21.5703125" style="229" customWidth="1"/>
    <col min="13321" max="13330" width="8.7109375" style="229" customWidth="1"/>
    <col min="13331" max="13572" width="9.140625" style="229"/>
    <col min="13573" max="13573" width="3.7109375" style="229" customWidth="1"/>
    <col min="13574" max="13574" width="14.42578125" style="229" customWidth="1"/>
    <col min="13575" max="13575" width="3.7109375" style="229" customWidth="1"/>
    <col min="13576" max="13576" width="21.5703125" style="229" customWidth="1"/>
    <col min="13577" max="13586" width="8.7109375" style="229" customWidth="1"/>
    <col min="13587" max="13828" width="9.140625" style="229"/>
    <col min="13829" max="13829" width="3.7109375" style="229" customWidth="1"/>
    <col min="13830" max="13830" width="14.42578125" style="229" customWidth="1"/>
    <col min="13831" max="13831" width="3.7109375" style="229" customWidth="1"/>
    <col min="13832" max="13832" width="21.5703125" style="229" customWidth="1"/>
    <col min="13833" max="13842" width="8.7109375" style="229" customWidth="1"/>
    <col min="13843" max="14084" width="9.140625" style="229"/>
    <col min="14085" max="14085" width="3.7109375" style="229" customWidth="1"/>
    <col min="14086" max="14086" width="14.42578125" style="229" customWidth="1"/>
    <col min="14087" max="14087" width="3.7109375" style="229" customWidth="1"/>
    <col min="14088" max="14088" width="21.5703125" style="229" customWidth="1"/>
    <col min="14089" max="14098" width="8.7109375" style="229" customWidth="1"/>
    <col min="14099" max="14340" width="9.140625" style="229"/>
    <col min="14341" max="14341" width="3.7109375" style="229" customWidth="1"/>
    <col min="14342" max="14342" width="14.42578125" style="229" customWidth="1"/>
    <col min="14343" max="14343" width="3.7109375" style="229" customWidth="1"/>
    <col min="14344" max="14344" width="21.5703125" style="229" customWidth="1"/>
    <col min="14345" max="14354" width="8.7109375" style="229" customWidth="1"/>
    <col min="14355" max="14596" width="9.140625" style="229"/>
    <col min="14597" max="14597" width="3.7109375" style="229" customWidth="1"/>
    <col min="14598" max="14598" width="14.42578125" style="229" customWidth="1"/>
    <col min="14599" max="14599" width="3.7109375" style="229" customWidth="1"/>
    <col min="14600" max="14600" width="21.5703125" style="229" customWidth="1"/>
    <col min="14601" max="14610" width="8.7109375" style="229" customWidth="1"/>
    <col min="14611" max="14852" width="9.140625" style="229"/>
    <col min="14853" max="14853" width="3.7109375" style="229" customWidth="1"/>
    <col min="14854" max="14854" width="14.42578125" style="229" customWidth="1"/>
    <col min="14855" max="14855" width="3.7109375" style="229" customWidth="1"/>
    <col min="14856" max="14856" width="21.5703125" style="229" customWidth="1"/>
    <col min="14857" max="14866" width="8.7109375" style="229" customWidth="1"/>
    <col min="14867" max="15108" width="9.140625" style="229"/>
    <col min="15109" max="15109" width="3.7109375" style="229" customWidth="1"/>
    <col min="15110" max="15110" width="14.42578125" style="229" customWidth="1"/>
    <col min="15111" max="15111" width="3.7109375" style="229" customWidth="1"/>
    <col min="15112" max="15112" width="21.5703125" style="229" customWidth="1"/>
    <col min="15113" max="15122" width="8.7109375" style="229" customWidth="1"/>
    <col min="15123" max="15364" width="9.140625" style="229"/>
    <col min="15365" max="15365" width="3.7109375" style="229" customWidth="1"/>
    <col min="15366" max="15366" width="14.42578125" style="229" customWidth="1"/>
    <col min="15367" max="15367" width="3.7109375" style="229" customWidth="1"/>
    <col min="15368" max="15368" width="21.5703125" style="229" customWidth="1"/>
    <col min="15369" max="15378" width="8.7109375" style="229" customWidth="1"/>
    <col min="15379" max="15620" width="9.140625" style="229"/>
    <col min="15621" max="15621" width="3.7109375" style="229" customWidth="1"/>
    <col min="15622" max="15622" width="14.42578125" style="229" customWidth="1"/>
    <col min="15623" max="15623" width="3.7109375" style="229" customWidth="1"/>
    <col min="15624" max="15624" width="21.5703125" style="229" customWidth="1"/>
    <col min="15625" max="15634" width="8.7109375" style="229" customWidth="1"/>
    <col min="15635" max="15876" width="9.140625" style="229"/>
    <col min="15877" max="15877" width="3.7109375" style="229" customWidth="1"/>
    <col min="15878" max="15878" width="14.42578125" style="229" customWidth="1"/>
    <col min="15879" max="15879" width="3.7109375" style="229" customWidth="1"/>
    <col min="15880" max="15880" width="21.5703125" style="229" customWidth="1"/>
    <col min="15881" max="15890" width="8.7109375" style="229" customWidth="1"/>
    <col min="15891" max="16132" width="9.140625" style="229"/>
    <col min="16133" max="16133" width="3.7109375" style="229" customWidth="1"/>
    <col min="16134" max="16134" width="14.42578125" style="229" customWidth="1"/>
    <col min="16135" max="16135" width="3.7109375" style="229" customWidth="1"/>
    <col min="16136" max="16136" width="21.5703125" style="229" customWidth="1"/>
    <col min="16137" max="16146" width="8.7109375" style="229" customWidth="1"/>
    <col min="16147" max="16384" width="9.140625" style="229"/>
  </cols>
  <sheetData>
    <row r="1" spans="1:22" x14ac:dyDescent="0.25">
      <c r="D1" s="996"/>
      <c r="E1" s="996"/>
      <c r="F1" s="996"/>
      <c r="G1" s="996"/>
      <c r="H1" s="996"/>
      <c r="I1" s="996"/>
      <c r="J1" s="996"/>
      <c r="K1" s="996"/>
      <c r="L1" s="996"/>
      <c r="M1" s="996"/>
      <c r="N1" s="996"/>
      <c r="O1" s="996"/>
      <c r="P1" s="996"/>
      <c r="Q1" s="996"/>
      <c r="R1" s="996"/>
      <c r="S1" s="996"/>
      <c r="T1" s="996"/>
    </row>
    <row r="2" spans="1:22" ht="14.45" customHeight="1" x14ac:dyDescent="0.25">
      <c r="A2" s="453">
        <v>1</v>
      </c>
      <c r="B2" s="453" t="s">
        <v>24</v>
      </c>
      <c r="C2" s="453">
        <f>1+ECD!C2</f>
        <v>44</v>
      </c>
      <c r="D2" s="3825" t="s">
        <v>876</v>
      </c>
      <c r="E2" s="3826"/>
      <c r="F2" s="3826"/>
      <c r="G2" s="3826"/>
      <c r="H2" s="3826"/>
      <c r="I2" s="3826"/>
      <c r="J2" s="3826"/>
      <c r="K2" s="3826"/>
      <c r="L2" s="3826"/>
      <c r="M2" s="3826"/>
      <c r="N2" s="3826"/>
      <c r="O2" s="3826"/>
      <c r="P2" s="3826"/>
      <c r="Q2" s="3826"/>
      <c r="R2" s="3826"/>
      <c r="S2" s="3826"/>
      <c r="T2" s="3826"/>
      <c r="U2" s="3827"/>
      <c r="V2" s="1026"/>
    </row>
    <row r="3" spans="1:22" x14ac:dyDescent="0.25">
      <c r="A3" s="453">
        <v>2</v>
      </c>
      <c r="B3" s="453" t="s">
        <v>26</v>
      </c>
      <c r="C3" s="453"/>
      <c r="D3" s="3553" t="s">
        <v>860</v>
      </c>
      <c r="E3" s="3554"/>
      <c r="F3" s="3554"/>
      <c r="G3" s="3554"/>
      <c r="H3" s="3554"/>
      <c r="I3" s="3554"/>
      <c r="J3" s="3554"/>
      <c r="K3" s="3554"/>
      <c r="L3" s="3554"/>
      <c r="M3" s="3554"/>
      <c r="N3" s="3554"/>
      <c r="O3" s="3554"/>
      <c r="P3" s="3554"/>
      <c r="Q3" s="3554"/>
      <c r="R3" s="3554"/>
      <c r="S3" s="3554"/>
      <c r="T3" s="3554"/>
      <c r="U3" s="3555"/>
    </row>
    <row r="4" spans="1:22" ht="19.5" customHeight="1" x14ac:dyDescent="0.25">
      <c r="A4" s="453">
        <v>3</v>
      </c>
      <c r="B4" s="453" t="s">
        <v>28</v>
      </c>
      <c r="C4" s="453"/>
      <c r="D4" s="3553" t="s">
        <v>875</v>
      </c>
      <c r="E4" s="3554"/>
      <c r="F4" s="3554"/>
      <c r="G4" s="3554"/>
      <c r="H4" s="3554"/>
      <c r="I4" s="3554"/>
      <c r="J4" s="3554"/>
      <c r="K4" s="3554"/>
      <c r="L4" s="3554"/>
      <c r="M4" s="3554"/>
      <c r="N4" s="3554"/>
      <c r="O4" s="3554"/>
      <c r="P4" s="3554"/>
      <c r="Q4" s="3554"/>
      <c r="R4" s="3554"/>
      <c r="S4" s="3554"/>
      <c r="T4" s="3554"/>
      <c r="U4" s="3555"/>
    </row>
    <row r="5" spans="1:22" x14ac:dyDescent="0.25">
      <c r="C5" s="650"/>
    </row>
    <row r="6" spans="1:22" x14ac:dyDescent="0.25">
      <c r="A6" s="453">
        <v>4</v>
      </c>
      <c r="B6" s="650" t="s">
        <v>1</v>
      </c>
      <c r="D6" s="120" t="s">
        <v>31</v>
      </c>
      <c r="E6" s="120" t="s">
        <v>874</v>
      </c>
      <c r="F6" s="120"/>
      <c r="G6" s="120"/>
      <c r="H6" s="120"/>
      <c r="I6" s="120"/>
      <c r="J6" s="120"/>
      <c r="K6" s="120"/>
      <c r="L6" s="120"/>
      <c r="M6" s="1025"/>
      <c r="N6" s="1025"/>
      <c r="O6" s="1025"/>
      <c r="P6" s="1024"/>
      <c r="Q6" s="1024"/>
      <c r="R6" s="1024"/>
      <c r="S6" s="1024"/>
      <c r="T6" s="1024"/>
    </row>
    <row r="7" spans="1:22" x14ac:dyDescent="0.25">
      <c r="D7" s="133"/>
      <c r="E7" s="276">
        <v>1999</v>
      </c>
      <c r="F7" s="276">
        <v>2000</v>
      </c>
      <c r="G7" s="276">
        <v>2001</v>
      </c>
      <c r="H7" s="276">
        <v>2002</v>
      </c>
      <c r="I7" s="1023">
        <v>2003</v>
      </c>
      <c r="J7" s="1023">
        <v>2004</v>
      </c>
      <c r="K7" s="1023">
        <v>2005</v>
      </c>
      <c r="L7" s="1023">
        <v>2006</v>
      </c>
      <c r="M7" s="1023">
        <v>2007</v>
      </c>
      <c r="N7" s="1023">
        <v>2008</v>
      </c>
      <c r="O7" s="1023">
        <v>2009</v>
      </c>
      <c r="P7" s="994">
        <v>2010</v>
      </c>
      <c r="Q7" s="994">
        <v>2011</v>
      </c>
      <c r="R7" s="994">
        <v>2012</v>
      </c>
      <c r="S7" s="994">
        <v>2013</v>
      </c>
      <c r="T7" s="994">
        <v>2014</v>
      </c>
      <c r="U7" s="2808">
        <v>2015</v>
      </c>
    </row>
    <row r="8" spans="1:22" x14ac:dyDescent="0.25">
      <c r="D8" s="132" t="s">
        <v>873</v>
      </c>
      <c r="E8" s="1007">
        <v>365447</v>
      </c>
      <c r="F8" s="1007">
        <v>363343</v>
      </c>
      <c r="G8" s="1007">
        <v>354201</v>
      </c>
      <c r="H8" s="1007">
        <v>360155</v>
      </c>
      <c r="I8" s="1020">
        <v>362598</v>
      </c>
      <c r="J8" s="1020">
        <v>362042</v>
      </c>
      <c r="K8" s="1020">
        <v>382133</v>
      </c>
      <c r="L8" s="1020">
        <v>386595</v>
      </c>
      <c r="M8" s="1020">
        <v>395452</v>
      </c>
      <c r="N8" s="1020">
        <v>400953</v>
      </c>
      <c r="O8" s="1020">
        <v>386587</v>
      </c>
      <c r="P8" s="1020">
        <v>389329</v>
      </c>
      <c r="Q8" s="1020">
        <v>390074</v>
      </c>
      <c r="R8" s="1020">
        <v>392377</v>
      </c>
      <c r="S8" s="1020">
        <v>391829</v>
      </c>
      <c r="T8" s="1020">
        <v>390608</v>
      </c>
      <c r="U8" s="2814">
        <v>379613</v>
      </c>
      <c r="V8" s="1022"/>
    </row>
    <row r="9" spans="1:22" x14ac:dyDescent="0.25">
      <c r="D9" s="1021" t="s">
        <v>871</v>
      </c>
      <c r="E9" s="1007">
        <v>12313899</v>
      </c>
      <c r="F9" s="1007">
        <v>11903455</v>
      </c>
      <c r="G9" s="1007">
        <v>11738126</v>
      </c>
      <c r="H9" s="1007">
        <v>11917017</v>
      </c>
      <c r="I9" s="1020">
        <v>12038922</v>
      </c>
      <c r="J9" s="1020">
        <v>12176391</v>
      </c>
      <c r="K9" s="1020">
        <v>12217765</v>
      </c>
      <c r="L9" s="1020">
        <v>12302236</v>
      </c>
      <c r="M9" s="1020">
        <v>12410501</v>
      </c>
      <c r="N9" s="1020">
        <v>12239363</v>
      </c>
      <c r="O9" s="1020">
        <v>11828747</v>
      </c>
      <c r="P9" s="1020">
        <v>11809355</v>
      </c>
      <c r="Q9" s="1020">
        <v>11804066</v>
      </c>
      <c r="R9" s="1020">
        <v>11923674</v>
      </c>
      <c r="S9" s="1020">
        <v>11975844</v>
      </c>
      <c r="T9" s="1020">
        <v>12117015</v>
      </c>
      <c r="U9" s="2814">
        <v>12248279</v>
      </c>
    </row>
    <row r="10" spans="1:22" x14ac:dyDescent="0.25">
      <c r="D10" s="129" t="s">
        <v>867</v>
      </c>
      <c r="E10" s="1019">
        <f t="shared" ref="E10:P10" si="0">E9/E8</f>
        <v>33.695444209420245</v>
      </c>
      <c r="F10" s="1019">
        <f t="shared" si="0"/>
        <v>32.760931131190091</v>
      </c>
      <c r="G10" s="1019">
        <f t="shared" si="0"/>
        <v>33.139731395450603</v>
      </c>
      <c r="H10" s="1019">
        <f t="shared" si="0"/>
        <v>33.088578528689034</v>
      </c>
      <c r="I10" s="1017">
        <f t="shared" si="0"/>
        <v>33.201843363725118</v>
      </c>
      <c r="J10" s="1018">
        <f t="shared" si="0"/>
        <v>33.63253710895421</v>
      </c>
      <c r="K10" s="1017">
        <f t="shared" si="0"/>
        <v>31.972546207733956</v>
      </c>
      <c r="L10" s="1017">
        <f t="shared" si="0"/>
        <v>31.822025634061486</v>
      </c>
      <c r="M10" s="1017">
        <f t="shared" si="0"/>
        <v>31.383078097973964</v>
      </c>
      <c r="N10" s="1017">
        <f t="shared" si="0"/>
        <v>30.525680067239801</v>
      </c>
      <c r="O10" s="1017">
        <f t="shared" si="0"/>
        <v>30.597891289670891</v>
      </c>
      <c r="P10" s="1017">
        <f t="shared" si="0"/>
        <v>30.332585037333462</v>
      </c>
      <c r="Q10" s="1017">
        <v>30.261094048821505</v>
      </c>
      <c r="R10" s="1017">
        <f>+R9/R8</f>
        <v>30.388310222056848</v>
      </c>
      <c r="S10" s="1017">
        <v>30.261094048821505</v>
      </c>
      <c r="T10" s="1017">
        <f>+T9/T8</f>
        <v>31.02090842993487</v>
      </c>
      <c r="U10" s="2815">
        <v>32</v>
      </c>
    </row>
    <row r="11" spans="1:22" x14ac:dyDescent="0.25">
      <c r="D11" s="996"/>
      <c r="E11" s="117"/>
      <c r="F11" s="117"/>
      <c r="G11" s="117"/>
      <c r="H11" s="117"/>
      <c r="I11" s="117"/>
      <c r="J11" s="117"/>
      <c r="K11" s="117"/>
      <c r="L11" s="117"/>
      <c r="M11" s="117"/>
      <c r="N11" s="117"/>
      <c r="O11" s="996"/>
      <c r="P11" s="117"/>
      <c r="Q11" s="117"/>
      <c r="R11" s="117"/>
      <c r="S11" s="117"/>
      <c r="T11" s="117"/>
      <c r="U11" s="1016"/>
    </row>
    <row r="12" spans="1:22" x14ac:dyDescent="0.25">
      <c r="D12" s="996"/>
      <c r="E12" s="117"/>
      <c r="F12" s="117"/>
      <c r="G12" s="117"/>
      <c r="H12" s="117"/>
      <c r="I12" s="117"/>
      <c r="J12" s="117"/>
      <c r="K12" s="117"/>
      <c r="L12" s="117"/>
      <c r="M12" s="117"/>
      <c r="N12" s="117"/>
      <c r="O12" s="996"/>
      <c r="P12" s="117"/>
      <c r="Q12" s="117"/>
      <c r="R12" s="117"/>
      <c r="S12" s="117"/>
      <c r="T12" s="117"/>
      <c r="U12" s="997"/>
    </row>
    <row r="13" spans="1:22" ht="14.25" customHeight="1" x14ac:dyDescent="0.25">
      <c r="D13" s="120" t="s">
        <v>55</v>
      </c>
      <c r="E13" s="120" t="s">
        <v>872</v>
      </c>
      <c r="F13" s="1037"/>
      <c r="G13" s="1037"/>
      <c r="H13" s="1037"/>
      <c r="I13" s="1037"/>
      <c r="J13" s="1037"/>
      <c r="K13" s="1037"/>
      <c r="L13" s="117"/>
      <c r="M13" s="117"/>
      <c r="N13" s="117"/>
      <c r="O13" s="996"/>
      <c r="P13" s="117"/>
      <c r="Q13" s="117"/>
      <c r="R13" s="117"/>
      <c r="S13" s="117"/>
      <c r="T13" s="117"/>
      <c r="U13" s="997"/>
    </row>
    <row r="14" spans="1:22" ht="33.75" x14ac:dyDescent="0.25">
      <c r="D14" s="1015"/>
      <c r="E14" s="1014" t="s">
        <v>871</v>
      </c>
      <c r="F14" s="1012" t="s">
        <v>868</v>
      </c>
      <c r="G14" s="1013" t="s">
        <v>870</v>
      </c>
      <c r="H14" s="1012" t="s">
        <v>868</v>
      </c>
      <c r="I14" s="1013" t="s">
        <v>869</v>
      </c>
      <c r="J14" s="1012" t="s">
        <v>868</v>
      </c>
      <c r="K14" s="2811" t="s">
        <v>867</v>
      </c>
      <c r="L14" s="117"/>
      <c r="M14" s="117"/>
      <c r="N14" s="117"/>
      <c r="O14" s="996"/>
      <c r="P14" s="117"/>
      <c r="Q14" s="117"/>
      <c r="R14" s="117"/>
      <c r="S14" s="117"/>
      <c r="T14" s="117"/>
      <c r="U14" s="997"/>
    </row>
    <row r="15" spans="1:22" x14ac:dyDescent="0.25">
      <c r="D15" s="1008" t="s">
        <v>415</v>
      </c>
      <c r="E15" s="1007">
        <v>1894682</v>
      </c>
      <c r="F15" s="1005">
        <f t="shared" ref="F15:F23" si="1">+E15/$E$24</f>
        <v>0.15468965068480234</v>
      </c>
      <c r="G15" s="1006">
        <v>61147</v>
      </c>
      <c r="H15" s="1005">
        <f t="shared" ref="H15:H23" si="2">+G15/$G$24</f>
        <v>0.16107720230866698</v>
      </c>
      <c r="I15" s="1006">
        <v>5527</v>
      </c>
      <c r="J15" s="1005">
        <f t="shared" ref="J15:J23" si="3">+I15/$I$24</f>
        <v>0.23120686048943737</v>
      </c>
      <c r="K15" s="2812">
        <f t="shared" ref="K15:K20" si="4">+E15/G15</f>
        <v>30.985690221924216</v>
      </c>
      <c r="L15" s="117"/>
      <c r="M15" s="998"/>
      <c r="N15" s="998"/>
      <c r="O15" s="999"/>
      <c r="P15" s="998"/>
      <c r="Q15" s="117"/>
      <c r="R15" s="117"/>
      <c r="S15" s="117"/>
      <c r="T15" s="117"/>
      <c r="U15" s="997"/>
    </row>
    <row r="16" spans="1:22" x14ac:dyDescent="0.25">
      <c r="D16" s="1008" t="s">
        <v>417</v>
      </c>
      <c r="E16" s="1007">
        <v>666024</v>
      </c>
      <c r="F16" s="1005">
        <f t="shared" si="1"/>
        <v>5.4376945528428935E-2</v>
      </c>
      <c r="G16" s="1006">
        <v>22632</v>
      </c>
      <c r="H16" s="1005">
        <f t="shared" si="2"/>
        <v>5.9618611586009965E-2</v>
      </c>
      <c r="I16" s="1006">
        <v>1260</v>
      </c>
      <c r="J16" s="1005">
        <f t="shared" si="3"/>
        <v>5.2708638360175697E-2</v>
      </c>
      <c r="K16" s="2812">
        <f t="shared" si="4"/>
        <v>29.428419936373277</v>
      </c>
      <c r="L16" s="117"/>
      <c r="M16" s="998"/>
      <c r="N16" s="998"/>
      <c r="O16" s="999"/>
      <c r="P16" s="1011"/>
      <c r="Q16" s="117"/>
      <c r="R16" s="117"/>
      <c r="S16" s="117"/>
      <c r="T16" s="117"/>
      <c r="U16" s="997"/>
    </row>
    <row r="17" spans="1:21" x14ac:dyDescent="0.25">
      <c r="D17" s="1008" t="s">
        <v>420</v>
      </c>
      <c r="E17" s="1007">
        <v>1998640</v>
      </c>
      <c r="F17" s="1005">
        <f t="shared" si="1"/>
        <v>0.16317721044727998</v>
      </c>
      <c r="G17" s="1006">
        <v>61597</v>
      </c>
      <c r="H17" s="1005">
        <f t="shared" si="2"/>
        <v>0.16226262008940684</v>
      </c>
      <c r="I17" s="1006">
        <v>2080</v>
      </c>
      <c r="J17" s="1005">
        <f t="shared" si="3"/>
        <v>8.7011085546956704E-2</v>
      </c>
      <c r="K17" s="2812">
        <f t="shared" si="4"/>
        <v>32.447034758186277</v>
      </c>
      <c r="L17" s="117"/>
      <c r="M17" s="998"/>
      <c r="N17" s="998"/>
      <c r="O17" s="999"/>
      <c r="P17" s="998"/>
      <c r="Q17" s="117"/>
      <c r="R17" s="117"/>
      <c r="S17" s="117"/>
      <c r="T17" s="117"/>
      <c r="U17" s="997"/>
    </row>
    <row r="18" spans="1:21" x14ac:dyDescent="0.25">
      <c r="D18" s="1008" t="s">
        <v>418</v>
      </c>
      <c r="E18" s="1007">
        <v>2811418</v>
      </c>
      <c r="F18" s="1005">
        <f t="shared" si="1"/>
        <v>0.22953575763582787</v>
      </c>
      <c r="G18" s="1006">
        <v>81638</v>
      </c>
      <c r="H18" s="1005">
        <f t="shared" si="2"/>
        <v>0.21505585952009021</v>
      </c>
      <c r="I18" s="1006">
        <v>5889</v>
      </c>
      <c r="J18" s="1005">
        <f t="shared" si="3"/>
        <v>0.24635013595482116</v>
      </c>
      <c r="K18" s="2812">
        <f t="shared" si="4"/>
        <v>34.437614836228228</v>
      </c>
      <c r="L18" s="117"/>
      <c r="M18" s="998"/>
      <c r="N18" s="998"/>
      <c r="O18" s="999"/>
      <c r="P18" s="998"/>
      <c r="Q18" s="117"/>
      <c r="R18" s="117"/>
      <c r="S18" s="117"/>
      <c r="T18" s="117"/>
      <c r="U18" s="997"/>
    </row>
    <row r="19" spans="1:21" x14ac:dyDescent="0.25">
      <c r="D19" s="1008" t="s">
        <v>422</v>
      </c>
      <c r="E19" s="1007">
        <v>1694884</v>
      </c>
      <c r="F19" s="1005">
        <f t="shared" si="1"/>
        <v>0.13837731815220733</v>
      </c>
      <c r="G19" s="1006">
        <v>53310</v>
      </c>
      <c r="H19" s="1005">
        <f t="shared" si="2"/>
        <v>0.1404324930916486</v>
      </c>
      <c r="I19" s="1006">
        <v>3893</v>
      </c>
      <c r="J19" s="1005">
        <f t="shared" si="3"/>
        <v>0.16285295963187618</v>
      </c>
      <c r="K19" s="2812">
        <f t="shared" si="4"/>
        <v>31.792984430688428</v>
      </c>
      <c r="L19" s="117"/>
      <c r="M19" s="998"/>
      <c r="N19" s="998"/>
      <c r="O19" s="999"/>
      <c r="P19" s="998"/>
      <c r="Q19" s="117"/>
      <c r="R19" s="117"/>
      <c r="S19" s="117"/>
      <c r="T19" s="117"/>
      <c r="U19" s="997"/>
    </row>
    <row r="20" spans="1:21" x14ac:dyDescent="0.25">
      <c r="D20" s="1008" t="s">
        <v>421</v>
      </c>
      <c r="E20" s="1007">
        <v>1052207</v>
      </c>
      <c r="F20" s="1005">
        <f t="shared" si="1"/>
        <v>8.590651796876933E-2</v>
      </c>
      <c r="G20" s="1006">
        <v>33461</v>
      </c>
      <c r="H20" s="1005">
        <f t="shared" si="2"/>
        <v>8.8145031914080921E-2</v>
      </c>
      <c r="I20" s="1006">
        <v>1744</v>
      </c>
      <c r="J20" s="1005">
        <f t="shared" si="3"/>
        <v>7.2955448650909846E-2</v>
      </c>
      <c r="K20" s="2812">
        <f t="shared" si="4"/>
        <v>31.445772690595021</v>
      </c>
      <c r="L20" s="117"/>
      <c r="M20" s="998"/>
      <c r="N20" s="998"/>
      <c r="O20" s="999"/>
      <c r="P20" s="998"/>
      <c r="Q20" s="117"/>
      <c r="R20" s="117"/>
      <c r="S20" s="117"/>
      <c r="T20" s="117"/>
      <c r="U20" s="997"/>
    </row>
    <row r="21" spans="1:21" x14ac:dyDescent="0.25">
      <c r="D21" s="1008" t="s">
        <v>419</v>
      </c>
      <c r="E21" s="1010">
        <v>797438</v>
      </c>
      <c r="F21" s="1009">
        <f t="shared" si="1"/>
        <v>6.5106126338239034E-2</v>
      </c>
      <c r="G21" s="1006">
        <v>8826</v>
      </c>
      <c r="H21" s="1005">
        <f t="shared" si="2"/>
        <v>2.3249994072911097E-2</v>
      </c>
      <c r="I21" s="1006">
        <v>552</v>
      </c>
      <c r="J21" s="1005">
        <f t="shared" si="3"/>
        <v>2.3091403472076971E-2</v>
      </c>
      <c r="K21" s="2812">
        <f>+E22/G21</f>
        <v>32.461930659415366</v>
      </c>
      <c r="L21" s="117"/>
      <c r="M21" s="998"/>
      <c r="N21" s="998"/>
      <c r="Q21" s="117"/>
      <c r="R21" s="117"/>
      <c r="S21" s="117"/>
      <c r="T21" s="117"/>
      <c r="U21" s="997"/>
    </row>
    <row r="22" spans="1:21" x14ac:dyDescent="0.25">
      <c r="D22" s="1008" t="s">
        <v>416</v>
      </c>
      <c r="E22" s="1010">
        <v>286509</v>
      </c>
      <c r="F22" s="1009">
        <f t="shared" si="1"/>
        <v>2.3391776101769072E-2</v>
      </c>
      <c r="G22" s="1006">
        <v>24116</v>
      </c>
      <c r="H22" s="1005">
        <f t="shared" si="2"/>
        <v>6.3527856000716518E-2</v>
      </c>
      <c r="I22" s="1006">
        <v>1490</v>
      </c>
      <c r="J22" s="1005">
        <f t="shared" si="3"/>
        <v>6.2330056473541097E-2</v>
      </c>
      <c r="K22" s="2812">
        <f>+E21/G22</f>
        <v>33.066760656825345</v>
      </c>
      <c r="L22" s="117"/>
      <c r="M22" s="998"/>
      <c r="N22" s="998"/>
      <c r="O22" s="999"/>
      <c r="P22" s="998"/>
      <c r="Q22" s="117"/>
      <c r="R22" s="117"/>
      <c r="S22" s="117"/>
      <c r="T22" s="117"/>
      <c r="U22" s="997"/>
    </row>
    <row r="23" spans="1:21" x14ac:dyDescent="0.25">
      <c r="D23" s="1008" t="s">
        <v>414</v>
      </c>
      <c r="E23" s="1007">
        <v>1046477</v>
      </c>
      <c r="F23" s="1005">
        <f t="shared" si="1"/>
        <v>8.5438697142676129E-2</v>
      </c>
      <c r="G23" s="1006">
        <v>32886</v>
      </c>
      <c r="H23" s="1005">
        <f t="shared" si="2"/>
        <v>8.6630331416468878E-2</v>
      </c>
      <c r="I23" s="1006">
        <v>1460</v>
      </c>
      <c r="J23" s="1005">
        <f t="shared" si="3"/>
        <v>6.1075088893536918E-2</v>
      </c>
      <c r="K23" s="2812">
        <f>+E23/G23</f>
        <v>31.821352551237609</v>
      </c>
      <c r="L23" s="117"/>
      <c r="M23" s="998"/>
      <c r="N23" s="998"/>
      <c r="O23" s="999"/>
      <c r="P23" s="998"/>
      <c r="Q23" s="117"/>
      <c r="R23" s="117"/>
      <c r="S23" s="117"/>
      <c r="T23" s="117"/>
      <c r="U23" s="997"/>
    </row>
    <row r="24" spans="1:21" x14ac:dyDescent="0.25">
      <c r="D24" s="1004" t="s">
        <v>866</v>
      </c>
      <c r="E24" s="1003">
        <v>12248279</v>
      </c>
      <c r="F24" s="1002">
        <f>SUM(F15:F23)</f>
        <v>1</v>
      </c>
      <c r="G24" s="1001">
        <v>379613</v>
      </c>
      <c r="H24" s="1000">
        <f>SUM(H15:H23)</f>
        <v>1</v>
      </c>
      <c r="I24" s="1001">
        <v>23905</v>
      </c>
      <c r="J24" s="1000">
        <f>SUM(J15:J23)</f>
        <v>0.99958167747333193</v>
      </c>
      <c r="K24" s="2813">
        <f>+E24/G24</f>
        <v>32.265172689028034</v>
      </c>
      <c r="L24" s="117"/>
      <c r="M24" s="998"/>
      <c r="N24" s="998"/>
      <c r="O24" s="999"/>
      <c r="P24" s="998"/>
      <c r="Q24" s="117"/>
      <c r="R24" s="117"/>
      <c r="S24" s="117"/>
      <c r="T24" s="117"/>
      <c r="U24" s="997"/>
    </row>
    <row r="25" spans="1:21" x14ac:dyDescent="0.25">
      <c r="D25" s="996"/>
      <c r="E25" s="117"/>
      <c r="F25" s="117"/>
      <c r="G25" s="117"/>
      <c r="H25" s="117"/>
      <c r="I25" s="117"/>
      <c r="J25" s="117"/>
      <c r="K25" s="117"/>
      <c r="L25" s="117"/>
      <c r="M25" s="117"/>
      <c r="N25" s="117"/>
      <c r="O25" s="996"/>
      <c r="P25" s="117"/>
      <c r="Q25" s="117"/>
      <c r="R25" s="117"/>
      <c r="S25" s="117"/>
      <c r="T25" s="117"/>
      <c r="U25" s="997"/>
    </row>
    <row r="26" spans="1:21" x14ac:dyDescent="0.25">
      <c r="A26" s="453">
        <v>5</v>
      </c>
      <c r="B26" s="453" t="s">
        <v>77</v>
      </c>
      <c r="C26" s="453"/>
      <c r="D26" s="996"/>
      <c r="E26" s="996"/>
      <c r="F26" s="996"/>
      <c r="G26" s="996"/>
      <c r="H26" s="996"/>
      <c r="I26" s="996"/>
      <c r="J26" s="996"/>
      <c r="K26" s="996"/>
      <c r="L26" s="996"/>
      <c r="M26" s="996"/>
      <c r="N26" s="996"/>
      <c r="O26" s="996"/>
      <c r="P26" s="996"/>
      <c r="Q26" s="996"/>
      <c r="R26" s="996"/>
      <c r="S26" s="996"/>
      <c r="T26" s="996"/>
    </row>
    <row r="27" spans="1:21" x14ac:dyDescent="0.25">
      <c r="B27" s="453"/>
      <c r="C27" s="453"/>
      <c r="D27" s="996"/>
      <c r="E27" s="996"/>
      <c r="F27" s="996"/>
      <c r="G27" s="996"/>
      <c r="H27" s="996"/>
      <c r="I27" s="996"/>
      <c r="J27" s="996"/>
      <c r="K27" s="996"/>
      <c r="L27" s="996"/>
      <c r="M27" s="996"/>
      <c r="N27" s="996"/>
      <c r="O27" s="996"/>
      <c r="P27" s="996"/>
      <c r="Q27" s="996"/>
      <c r="R27" s="996"/>
      <c r="S27" s="996"/>
      <c r="T27" s="996"/>
    </row>
    <row r="28" spans="1:21" x14ac:dyDescent="0.25">
      <c r="B28" s="453"/>
      <c r="C28" s="453"/>
      <c r="D28" s="996"/>
      <c r="E28" s="996"/>
      <c r="F28" s="996"/>
      <c r="G28" s="996"/>
      <c r="H28" s="996"/>
      <c r="I28" s="996"/>
      <c r="J28" s="996"/>
      <c r="K28" s="996"/>
      <c r="L28" s="996"/>
      <c r="M28" s="996"/>
      <c r="N28" s="996"/>
      <c r="O28" s="996"/>
      <c r="P28" s="996"/>
      <c r="Q28" s="996"/>
      <c r="R28" s="996"/>
      <c r="S28" s="996"/>
      <c r="T28" s="996"/>
    </row>
    <row r="29" spans="1:21" x14ac:dyDescent="0.25">
      <c r="B29" s="453"/>
      <c r="C29" s="453"/>
      <c r="D29" s="996"/>
      <c r="E29" s="996"/>
      <c r="F29" s="996"/>
      <c r="G29" s="996"/>
      <c r="H29" s="996"/>
      <c r="I29" s="996"/>
      <c r="J29" s="996"/>
      <c r="K29" s="996"/>
      <c r="L29" s="996"/>
      <c r="M29" s="996"/>
      <c r="N29" s="996"/>
      <c r="O29" s="996"/>
      <c r="P29" s="996"/>
      <c r="Q29" s="996"/>
      <c r="R29" s="996"/>
      <c r="S29" s="996"/>
      <c r="T29" s="996"/>
    </row>
    <row r="30" spans="1:21" x14ac:dyDescent="0.25">
      <c r="B30" s="453"/>
      <c r="C30" s="453"/>
      <c r="D30" s="996"/>
      <c r="E30" s="996"/>
      <c r="F30" s="996"/>
      <c r="G30" s="996"/>
      <c r="H30" s="996"/>
      <c r="I30" s="996"/>
      <c r="J30" s="996"/>
      <c r="K30" s="996"/>
      <c r="L30" s="996"/>
      <c r="M30" s="996"/>
      <c r="N30" s="996"/>
      <c r="O30" s="996"/>
      <c r="P30" s="996"/>
      <c r="Q30" s="996"/>
      <c r="R30" s="996"/>
      <c r="S30" s="996"/>
      <c r="T30" s="996"/>
    </row>
    <row r="31" spans="1:21" x14ac:dyDescent="0.25">
      <c r="B31" s="453"/>
      <c r="C31" s="453"/>
      <c r="D31" s="996"/>
      <c r="E31" s="996"/>
      <c r="F31" s="996"/>
      <c r="G31" s="996"/>
      <c r="H31" s="996"/>
      <c r="I31" s="996"/>
      <c r="J31" s="996"/>
      <c r="K31" s="996"/>
      <c r="L31" s="996"/>
      <c r="M31" s="996"/>
      <c r="N31" s="996"/>
      <c r="O31" s="996"/>
      <c r="P31" s="996"/>
      <c r="Q31" s="996"/>
      <c r="R31" s="996"/>
      <c r="S31" s="996"/>
      <c r="T31" s="996"/>
    </row>
    <row r="32" spans="1:21" x14ac:dyDescent="0.25">
      <c r="B32" s="453"/>
      <c r="C32" s="453"/>
      <c r="D32" s="996"/>
      <c r="E32" s="996"/>
      <c r="F32" s="996"/>
      <c r="G32" s="996"/>
      <c r="H32" s="996"/>
      <c r="I32" s="996"/>
      <c r="J32" s="996"/>
      <c r="K32" s="996"/>
      <c r="L32" s="996"/>
      <c r="M32" s="996"/>
      <c r="N32" s="996"/>
      <c r="O32" s="996"/>
      <c r="P32" s="996"/>
      <c r="Q32" s="996"/>
      <c r="R32" s="996"/>
      <c r="S32" s="996"/>
      <c r="T32" s="996"/>
    </row>
    <row r="33" spans="1:21" x14ac:dyDescent="0.25">
      <c r="B33" s="453"/>
      <c r="C33" s="453"/>
      <c r="D33" s="996"/>
      <c r="E33" s="996"/>
      <c r="F33" s="996"/>
      <c r="G33" s="996"/>
      <c r="H33" s="996"/>
      <c r="I33" s="996"/>
      <c r="J33" s="996"/>
      <c r="K33" s="996"/>
      <c r="L33" s="996"/>
      <c r="M33" s="996"/>
      <c r="N33" s="996"/>
      <c r="O33" s="996"/>
      <c r="P33" s="996"/>
      <c r="Q33" s="996"/>
      <c r="R33" s="996"/>
      <c r="S33" s="996"/>
      <c r="T33" s="996"/>
    </row>
    <row r="34" spans="1:21" x14ac:dyDescent="0.25">
      <c r="B34" s="453"/>
      <c r="C34" s="453"/>
      <c r="D34" s="996"/>
      <c r="E34" s="996"/>
      <c r="F34" s="996"/>
      <c r="G34" s="996"/>
      <c r="H34" s="996"/>
      <c r="I34" s="996"/>
      <c r="J34" s="996"/>
      <c r="K34" s="996"/>
      <c r="L34" s="996"/>
      <c r="M34" s="996"/>
      <c r="N34" s="996"/>
      <c r="O34" s="996"/>
      <c r="P34" s="996"/>
      <c r="Q34" s="996"/>
      <c r="R34" s="996"/>
      <c r="S34" s="996"/>
      <c r="T34" s="996"/>
    </row>
    <row r="35" spans="1:21" x14ac:dyDescent="0.25">
      <c r="B35" s="453"/>
      <c r="C35" s="453"/>
      <c r="D35" s="996"/>
      <c r="E35" s="996"/>
      <c r="F35" s="996"/>
      <c r="G35" s="996"/>
      <c r="H35" s="996"/>
      <c r="I35" s="996"/>
      <c r="J35" s="996"/>
      <c r="K35" s="996"/>
      <c r="L35" s="996"/>
      <c r="M35" s="996"/>
      <c r="N35" s="996"/>
      <c r="O35" s="996"/>
      <c r="P35" s="996"/>
      <c r="Q35" s="996"/>
      <c r="R35" s="996"/>
      <c r="S35" s="996"/>
      <c r="T35" s="996"/>
    </row>
    <row r="36" spans="1:21" x14ac:dyDescent="0.25">
      <c r="B36" s="453"/>
      <c r="C36" s="453"/>
      <c r="D36" s="996"/>
      <c r="E36" s="996"/>
      <c r="F36" s="996"/>
      <c r="G36" s="996"/>
      <c r="H36" s="996"/>
      <c r="I36" s="996"/>
      <c r="J36" s="996"/>
      <c r="K36" s="996"/>
      <c r="L36" s="996"/>
      <c r="M36" s="996"/>
      <c r="N36" s="996"/>
      <c r="O36" s="996"/>
      <c r="P36" s="996"/>
      <c r="Q36" s="996"/>
      <c r="R36" s="996"/>
      <c r="S36" s="996"/>
      <c r="T36" s="996"/>
    </row>
    <row r="37" spans="1:21" x14ac:dyDescent="0.25">
      <c r="B37" s="453"/>
      <c r="C37" s="453"/>
      <c r="D37" s="996"/>
      <c r="E37" s="996"/>
      <c r="F37" s="996"/>
      <c r="G37" s="996"/>
      <c r="H37" s="996"/>
      <c r="I37" s="996"/>
      <c r="J37" s="996"/>
      <c r="K37" s="996"/>
      <c r="L37" s="996"/>
      <c r="M37" s="996"/>
      <c r="N37" s="996"/>
      <c r="O37" s="996"/>
      <c r="P37" s="996"/>
      <c r="Q37" s="996"/>
      <c r="R37" s="996"/>
      <c r="S37" s="996"/>
      <c r="T37" s="996"/>
    </row>
    <row r="38" spans="1:21" x14ac:dyDescent="0.25">
      <c r="B38" s="453"/>
      <c r="C38" s="453"/>
      <c r="D38" s="996"/>
      <c r="E38" s="996"/>
      <c r="F38" s="996"/>
      <c r="G38" s="996"/>
      <c r="H38" s="996"/>
      <c r="I38" s="996"/>
      <c r="J38" s="996"/>
      <c r="K38" s="996"/>
      <c r="L38" s="996"/>
      <c r="M38" s="996"/>
      <c r="N38" s="996"/>
      <c r="O38" s="996"/>
      <c r="P38" s="996"/>
      <c r="Q38" s="996"/>
      <c r="R38" s="996"/>
      <c r="S38" s="996"/>
      <c r="T38" s="996"/>
    </row>
    <row r="39" spans="1:21" x14ac:dyDescent="0.25">
      <c r="B39" s="453"/>
      <c r="C39" s="453"/>
      <c r="D39" s="996"/>
      <c r="E39" s="996"/>
      <c r="F39" s="996"/>
      <c r="G39" s="996"/>
      <c r="H39" s="996"/>
      <c r="I39" s="996"/>
      <c r="J39" s="996"/>
      <c r="K39" s="996"/>
      <c r="L39" s="996"/>
      <c r="M39" s="996"/>
      <c r="N39" s="996"/>
      <c r="O39" s="996"/>
      <c r="P39" s="996"/>
      <c r="Q39" s="996"/>
      <c r="R39" s="996"/>
      <c r="S39" s="996"/>
      <c r="T39" s="996"/>
    </row>
    <row r="40" spans="1:21" x14ac:dyDescent="0.25">
      <c r="B40" s="453"/>
      <c r="C40" s="453"/>
      <c r="D40" s="996"/>
      <c r="E40" s="996"/>
      <c r="F40" s="996"/>
      <c r="G40" s="996"/>
      <c r="H40" s="996"/>
      <c r="I40" s="996"/>
      <c r="J40" s="996"/>
      <c r="K40" s="996"/>
      <c r="L40" s="996"/>
      <c r="M40" s="996"/>
      <c r="N40" s="996"/>
      <c r="O40" s="996"/>
      <c r="P40" s="996"/>
      <c r="Q40" s="996"/>
      <c r="R40" s="996"/>
      <c r="S40" s="996"/>
      <c r="T40" s="996"/>
    </row>
    <row r="41" spans="1:21" x14ac:dyDescent="0.25">
      <c r="B41" s="453"/>
      <c r="C41" s="453"/>
      <c r="D41" s="996"/>
      <c r="E41" s="996"/>
      <c r="F41" s="996"/>
      <c r="G41" s="996"/>
      <c r="H41" s="996"/>
      <c r="I41" s="996"/>
      <c r="J41" s="996"/>
      <c r="K41" s="996"/>
      <c r="L41" s="996"/>
      <c r="M41" s="996"/>
      <c r="N41" s="996"/>
      <c r="O41" s="996"/>
      <c r="P41" s="996"/>
      <c r="Q41" s="996"/>
      <c r="R41" s="996"/>
      <c r="S41" s="996"/>
      <c r="T41" s="996"/>
    </row>
    <row r="42" spans="1:21" x14ac:dyDescent="0.25">
      <c r="B42" s="453"/>
      <c r="C42" s="453"/>
      <c r="D42" s="996"/>
      <c r="E42" s="996"/>
      <c r="F42" s="996"/>
      <c r="G42" s="996"/>
      <c r="H42" s="996"/>
      <c r="I42" s="996"/>
      <c r="J42" s="996"/>
      <c r="K42" s="996"/>
      <c r="L42" s="996"/>
      <c r="M42" s="996"/>
      <c r="N42" s="996"/>
      <c r="O42" s="996"/>
      <c r="P42" s="996"/>
      <c r="Q42" s="996"/>
      <c r="R42" s="996"/>
      <c r="S42" s="996"/>
      <c r="T42" s="996"/>
    </row>
    <row r="43" spans="1:21" x14ac:dyDescent="0.25">
      <c r="A43" s="453">
        <v>6</v>
      </c>
      <c r="B43" s="453" t="s">
        <v>78</v>
      </c>
      <c r="C43" s="453"/>
      <c r="D43" s="3553" t="s">
        <v>865</v>
      </c>
      <c r="E43" s="3554"/>
      <c r="F43" s="3554"/>
      <c r="G43" s="3554"/>
      <c r="H43" s="3554"/>
      <c r="I43" s="3554"/>
      <c r="J43" s="3554"/>
      <c r="K43" s="3554"/>
      <c r="L43" s="3554"/>
      <c r="M43" s="3554"/>
      <c r="N43" s="3554"/>
      <c r="O43" s="3554"/>
      <c r="P43" s="3554"/>
      <c r="Q43" s="3554"/>
      <c r="R43" s="3554"/>
      <c r="S43" s="3554"/>
      <c r="T43" s="3554"/>
      <c r="U43" s="3555"/>
    </row>
    <row r="44" spans="1:21" ht="12.75" customHeight="1" x14ac:dyDescent="0.25">
      <c r="A44" s="472">
        <v>7</v>
      </c>
      <c r="B44" s="472" t="s">
        <v>80</v>
      </c>
      <c r="C44" s="472"/>
      <c r="D44" s="3553" t="s">
        <v>864</v>
      </c>
      <c r="E44" s="3554"/>
      <c r="F44" s="3554"/>
      <c r="G44" s="3554"/>
      <c r="H44" s="3554"/>
      <c r="I44" s="3554"/>
      <c r="J44" s="3554"/>
      <c r="K44" s="3554"/>
      <c r="L44" s="3554"/>
      <c r="M44" s="3554"/>
      <c r="N44" s="3554"/>
      <c r="O44" s="3554"/>
      <c r="P44" s="3554"/>
      <c r="Q44" s="3554"/>
      <c r="R44" s="3554"/>
      <c r="S44" s="3554"/>
      <c r="T44" s="3554"/>
      <c r="U44" s="3555"/>
    </row>
    <row r="45" spans="1:21" ht="53.25" customHeight="1" x14ac:dyDescent="0.25">
      <c r="A45" s="453">
        <v>8</v>
      </c>
      <c r="B45" s="453" t="s">
        <v>20</v>
      </c>
      <c r="C45" s="453"/>
      <c r="D45" s="3556" t="s">
        <v>863</v>
      </c>
      <c r="E45" s="3557"/>
      <c r="F45" s="3557"/>
      <c r="G45" s="3557"/>
      <c r="H45" s="3557"/>
      <c r="I45" s="3557"/>
      <c r="J45" s="3557"/>
      <c r="K45" s="3557"/>
      <c r="L45" s="3557"/>
      <c r="M45" s="3557"/>
      <c r="N45" s="3557"/>
      <c r="O45" s="3557"/>
      <c r="P45" s="3557"/>
      <c r="Q45" s="3557"/>
      <c r="R45" s="3557"/>
      <c r="S45" s="3557"/>
      <c r="T45" s="3557"/>
      <c r="U45" s="3558"/>
    </row>
    <row r="46" spans="1:21" ht="53.25" customHeight="1" x14ac:dyDescent="0.25">
      <c r="A46" s="453">
        <v>9</v>
      </c>
      <c r="B46" s="453" t="s">
        <v>83</v>
      </c>
      <c r="C46" s="453"/>
      <c r="D46" s="3556" t="s">
        <v>862</v>
      </c>
      <c r="E46" s="3557"/>
      <c r="F46" s="3557"/>
      <c r="G46" s="3557"/>
      <c r="H46" s="3557"/>
      <c r="I46" s="3557"/>
      <c r="J46" s="3557"/>
      <c r="K46" s="3557"/>
      <c r="L46" s="3557"/>
      <c r="M46" s="3557"/>
      <c r="N46" s="3557"/>
      <c r="O46" s="3557"/>
      <c r="P46" s="3557"/>
      <c r="Q46" s="3557"/>
      <c r="R46" s="3557"/>
      <c r="S46" s="3557"/>
      <c r="T46" s="3557"/>
      <c r="U46" s="3558"/>
    </row>
    <row r="47" spans="1:21" x14ac:dyDescent="0.25">
      <c r="B47" s="995"/>
      <c r="C47" s="995"/>
    </row>
  </sheetData>
  <mergeCells count="7">
    <mergeCell ref="D45:U45"/>
    <mergeCell ref="D46:U46"/>
    <mergeCell ref="D2:U2"/>
    <mergeCell ref="D3:U3"/>
    <mergeCell ref="D4:U4"/>
    <mergeCell ref="D43:U43"/>
    <mergeCell ref="D44:U44"/>
  </mergeCells>
  <pageMargins left="0.74803149606299213" right="0.74803149606299213" top="0.98425196850393704" bottom="0.98425196850393704" header="0.51181102362204722" footer="0.51181102362204722"/>
  <pageSetup paperSize="9" scale="58"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80"/>
  <sheetViews>
    <sheetView showGridLines="0" view="pageBreakPreview" topLeftCell="H1" zoomScaleNormal="100" zoomScaleSheetLayoutView="100" workbookViewId="0">
      <selection activeCell="D57" sqref="D57:V60"/>
    </sheetView>
  </sheetViews>
  <sheetFormatPr defaultColWidth="9.140625" defaultRowHeight="15" x14ac:dyDescent="0.25"/>
  <cols>
    <col min="1" max="1" width="3.7109375" style="453" customWidth="1"/>
    <col min="2" max="2" width="14.42578125" style="670" customWidth="1"/>
    <col min="3" max="3" width="3.7109375" style="670" customWidth="1"/>
    <col min="4" max="4" width="23.42578125" style="229" bestFit="1" customWidth="1"/>
    <col min="5" max="259" width="9.140625" style="229"/>
    <col min="260" max="260" width="3.7109375" style="229" customWidth="1"/>
    <col min="261" max="261" width="14.42578125" style="229" customWidth="1"/>
    <col min="262" max="262" width="3.7109375" style="229" customWidth="1"/>
    <col min="263" max="263" width="23.42578125" style="229" bestFit="1" customWidth="1"/>
    <col min="264" max="515" width="9.140625" style="229"/>
    <col min="516" max="516" width="3.7109375" style="229" customWidth="1"/>
    <col min="517" max="517" width="14.42578125" style="229" customWidth="1"/>
    <col min="518" max="518" width="3.7109375" style="229" customWidth="1"/>
    <col min="519" max="519" width="23.42578125" style="229" bestFit="1" customWidth="1"/>
    <col min="520" max="771" width="9.140625" style="229"/>
    <col min="772" max="772" width="3.7109375" style="229" customWidth="1"/>
    <col min="773" max="773" width="14.42578125" style="229" customWidth="1"/>
    <col min="774" max="774" width="3.7109375" style="229" customWidth="1"/>
    <col min="775" max="775" width="23.42578125" style="229" bestFit="1" customWidth="1"/>
    <col min="776" max="1027" width="9.140625" style="229"/>
    <col min="1028" max="1028" width="3.7109375" style="229" customWidth="1"/>
    <col min="1029" max="1029" width="14.42578125" style="229" customWidth="1"/>
    <col min="1030" max="1030" width="3.7109375" style="229" customWidth="1"/>
    <col min="1031" max="1031" width="23.42578125" style="229" bestFit="1" customWidth="1"/>
    <col min="1032" max="1283" width="9.140625" style="229"/>
    <col min="1284" max="1284" width="3.7109375" style="229" customWidth="1"/>
    <col min="1285" max="1285" width="14.42578125" style="229" customWidth="1"/>
    <col min="1286" max="1286" width="3.7109375" style="229" customWidth="1"/>
    <col min="1287" max="1287" width="23.42578125" style="229" bestFit="1" customWidth="1"/>
    <col min="1288" max="1539" width="9.140625" style="229"/>
    <col min="1540" max="1540" width="3.7109375" style="229" customWidth="1"/>
    <col min="1541" max="1541" width="14.42578125" style="229" customWidth="1"/>
    <col min="1542" max="1542" width="3.7109375" style="229" customWidth="1"/>
    <col min="1543" max="1543" width="23.42578125" style="229" bestFit="1" customWidth="1"/>
    <col min="1544" max="1795" width="9.140625" style="229"/>
    <col min="1796" max="1796" width="3.7109375" style="229" customWidth="1"/>
    <col min="1797" max="1797" width="14.42578125" style="229" customWidth="1"/>
    <col min="1798" max="1798" width="3.7109375" style="229" customWidth="1"/>
    <col min="1799" max="1799" width="23.42578125" style="229" bestFit="1" customWidth="1"/>
    <col min="1800" max="2051" width="9.140625" style="229"/>
    <col min="2052" max="2052" width="3.7109375" style="229" customWidth="1"/>
    <col min="2053" max="2053" width="14.42578125" style="229" customWidth="1"/>
    <col min="2054" max="2054" width="3.7109375" style="229" customWidth="1"/>
    <col min="2055" max="2055" width="23.42578125" style="229" bestFit="1" customWidth="1"/>
    <col min="2056" max="2307" width="9.140625" style="229"/>
    <col min="2308" max="2308" width="3.7109375" style="229" customWidth="1"/>
    <col min="2309" max="2309" width="14.42578125" style="229" customWidth="1"/>
    <col min="2310" max="2310" width="3.7109375" style="229" customWidth="1"/>
    <col min="2311" max="2311" width="23.42578125" style="229" bestFit="1" customWidth="1"/>
    <col min="2312" max="2563" width="9.140625" style="229"/>
    <col min="2564" max="2564" width="3.7109375" style="229" customWidth="1"/>
    <col min="2565" max="2565" width="14.42578125" style="229" customWidth="1"/>
    <col min="2566" max="2566" width="3.7109375" style="229" customWidth="1"/>
    <col min="2567" max="2567" width="23.42578125" style="229" bestFit="1" customWidth="1"/>
    <col min="2568" max="2819" width="9.140625" style="229"/>
    <col min="2820" max="2820" width="3.7109375" style="229" customWidth="1"/>
    <col min="2821" max="2821" width="14.42578125" style="229" customWidth="1"/>
    <col min="2822" max="2822" width="3.7109375" style="229" customWidth="1"/>
    <col min="2823" max="2823" width="23.42578125" style="229" bestFit="1" customWidth="1"/>
    <col min="2824" max="3075" width="9.140625" style="229"/>
    <col min="3076" max="3076" width="3.7109375" style="229" customWidth="1"/>
    <col min="3077" max="3077" width="14.42578125" style="229" customWidth="1"/>
    <col min="3078" max="3078" width="3.7109375" style="229" customWidth="1"/>
    <col min="3079" max="3079" width="23.42578125" style="229" bestFit="1" customWidth="1"/>
    <col min="3080" max="3331" width="9.140625" style="229"/>
    <col min="3332" max="3332" width="3.7109375" style="229" customWidth="1"/>
    <col min="3333" max="3333" width="14.42578125" style="229" customWidth="1"/>
    <col min="3334" max="3334" width="3.7109375" style="229" customWidth="1"/>
    <col min="3335" max="3335" width="23.42578125" style="229" bestFit="1" customWidth="1"/>
    <col min="3336" max="3587" width="9.140625" style="229"/>
    <col min="3588" max="3588" width="3.7109375" style="229" customWidth="1"/>
    <col min="3589" max="3589" width="14.42578125" style="229" customWidth="1"/>
    <col min="3590" max="3590" width="3.7109375" style="229" customWidth="1"/>
    <col min="3591" max="3591" width="23.42578125" style="229" bestFit="1" customWidth="1"/>
    <col min="3592" max="3843" width="9.140625" style="229"/>
    <col min="3844" max="3844" width="3.7109375" style="229" customWidth="1"/>
    <col min="3845" max="3845" width="14.42578125" style="229" customWidth="1"/>
    <col min="3846" max="3846" width="3.7109375" style="229" customWidth="1"/>
    <col min="3847" max="3847" width="23.42578125" style="229" bestFit="1" customWidth="1"/>
    <col min="3848" max="4099" width="9.140625" style="229"/>
    <col min="4100" max="4100" width="3.7109375" style="229" customWidth="1"/>
    <col min="4101" max="4101" width="14.42578125" style="229" customWidth="1"/>
    <col min="4102" max="4102" width="3.7109375" style="229" customWidth="1"/>
    <col min="4103" max="4103" width="23.42578125" style="229" bestFit="1" customWidth="1"/>
    <col min="4104" max="4355" width="9.140625" style="229"/>
    <col min="4356" max="4356" width="3.7109375" style="229" customWidth="1"/>
    <col min="4357" max="4357" width="14.42578125" style="229" customWidth="1"/>
    <col min="4358" max="4358" width="3.7109375" style="229" customWidth="1"/>
    <col min="4359" max="4359" width="23.42578125" style="229" bestFit="1" customWidth="1"/>
    <col min="4360" max="4611" width="9.140625" style="229"/>
    <col min="4612" max="4612" width="3.7109375" style="229" customWidth="1"/>
    <col min="4613" max="4613" width="14.42578125" style="229" customWidth="1"/>
    <col min="4614" max="4614" width="3.7109375" style="229" customWidth="1"/>
    <col min="4615" max="4615" width="23.42578125" style="229" bestFit="1" customWidth="1"/>
    <col min="4616" max="4867" width="9.140625" style="229"/>
    <col min="4868" max="4868" width="3.7109375" style="229" customWidth="1"/>
    <col min="4869" max="4869" width="14.42578125" style="229" customWidth="1"/>
    <col min="4870" max="4870" width="3.7109375" style="229" customWidth="1"/>
    <col min="4871" max="4871" width="23.42578125" style="229" bestFit="1" customWidth="1"/>
    <col min="4872" max="5123" width="9.140625" style="229"/>
    <col min="5124" max="5124" width="3.7109375" style="229" customWidth="1"/>
    <col min="5125" max="5125" width="14.42578125" style="229" customWidth="1"/>
    <col min="5126" max="5126" width="3.7109375" style="229" customWidth="1"/>
    <col min="5127" max="5127" width="23.42578125" style="229" bestFit="1" customWidth="1"/>
    <col min="5128" max="5379" width="9.140625" style="229"/>
    <col min="5380" max="5380" width="3.7109375" style="229" customWidth="1"/>
    <col min="5381" max="5381" width="14.42578125" style="229" customWidth="1"/>
    <col min="5382" max="5382" width="3.7109375" style="229" customWidth="1"/>
    <col min="5383" max="5383" width="23.42578125" style="229" bestFit="1" customWidth="1"/>
    <col min="5384" max="5635" width="9.140625" style="229"/>
    <col min="5636" max="5636" width="3.7109375" style="229" customWidth="1"/>
    <col min="5637" max="5637" width="14.42578125" style="229" customWidth="1"/>
    <col min="5638" max="5638" width="3.7109375" style="229" customWidth="1"/>
    <col min="5639" max="5639" width="23.42578125" style="229" bestFit="1" customWidth="1"/>
    <col min="5640" max="5891" width="9.140625" style="229"/>
    <col min="5892" max="5892" width="3.7109375" style="229" customWidth="1"/>
    <col min="5893" max="5893" width="14.42578125" style="229" customWidth="1"/>
    <col min="5894" max="5894" width="3.7109375" style="229" customWidth="1"/>
    <col min="5895" max="5895" width="23.42578125" style="229" bestFit="1" customWidth="1"/>
    <col min="5896" max="6147" width="9.140625" style="229"/>
    <col min="6148" max="6148" width="3.7109375" style="229" customWidth="1"/>
    <col min="6149" max="6149" width="14.42578125" style="229" customWidth="1"/>
    <col min="6150" max="6150" width="3.7109375" style="229" customWidth="1"/>
    <col min="6151" max="6151" width="23.42578125" style="229" bestFit="1" customWidth="1"/>
    <col min="6152" max="6403" width="9.140625" style="229"/>
    <col min="6404" max="6404" width="3.7109375" style="229" customWidth="1"/>
    <col min="6405" max="6405" width="14.42578125" style="229" customWidth="1"/>
    <col min="6406" max="6406" width="3.7109375" style="229" customWidth="1"/>
    <col min="6407" max="6407" width="23.42578125" style="229" bestFit="1" customWidth="1"/>
    <col min="6408" max="6659" width="9.140625" style="229"/>
    <col min="6660" max="6660" width="3.7109375" style="229" customWidth="1"/>
    <col min="6661" max="6661" width="14.42578125" style="229" customWidth="1"/>
    <col min="6662" max="6662" width="3.7109375" style="229" customWidth="1"/>
    <col min="6663" max="6663" width="23.42578125" style="229" bestFit="1" customWidth="1"/>
    <col min="6664" max="6915" width="9.140625" style="229"/>
    <col min="6916" max="6916" width="3.7109375" style="229" customWidth="1"/>
    <col min="6917" max="6917" width="14.42578125" style="229" customWidth="1"/>
    <col min="6918" max="6918" width="3.7109375" style="229" customWidth="1"/>
    <col min="6919" max="6919" width="23.42578125" style="229" bestFit="1" customWidth="1"/>
    <col min="6920" max="7171" width="9.140625" style="229"/>
    <col min="7172" max="7172" width="3.7109375" style="229" customWidth="1"/>
    <col min="7173" max="7173" width="14.42578125" style="229" customWidth="1"/>
    <col min="7174" max="7174" width="3.7109375" style="229" customWidth="1"/>
    <col min="7175" max="7175" width="23.42578125" style="229" bestFit="1" customWidth="1"/>
    <col min="7176" max="7427" width="9.140625" style="229"/>
    <col min="7428" max="7428" width="3.7109375" style="229" customWidth="1"/>
    <col min="7429" max="7429" width="14.42578125" style="229" customWidth="1"/>
    <col min="7430" max="7430" width="3.7109375" style="229" customWidth="1"/>
    <col min="7431" max="7431" width="23.42578125" style="229" bestFit="1" customWidth="1"/>
    <col min="7432" max="7683" width="9.140625" style="229"/>
    <col min="7684" max="7684" width="3.7109375" style="229" customWidth="1"/>
    <col min="7685" max="7685" width="14.42578125" style="229" customWidth="1"/>
    <col min="7686" max="7686" width="3.7109375" style="229" customWidth="1"/>
    <col min="7687" max="7687" width="23.42578125" style="229" bestFit="1" customWidth="1"/>
    <col min="7688" max="7939" width="9.140625" style="229"/>
    <col min="7940" max="7940" width="3.7109375" style="229" customWidth="1"/>
    <col min="7941" max="7941" width="14.42578125" style="229" customWidth="1"/>
    <col min="7942" max="7942" width="3.7109375" style="229" customWidth="1"/>
    <col min="7943" max="7943" width="23.42578125" style="229" bestFit="1" customWidth="1"/>
    <col min="7944" max="8195" width="9.140625" style="229"/>
    <col min="8196" max="8196" width="3.7109375" style="229" customWidth="1"/>
    <col min="8197" max="8197" width="14.42578125" style="229" customWidth="1"/>
    <col min="8198" max="8198" width="3.7109375" style="229" customWidth="1"/>
    <col min="8199" max="8199" width="23.42578125" style="229" bestFit="1" customWidth="1"/>
    <col min="8200" max="8451" width="9.140625" style="229"/>
    <col min="8452" max="8452" width="3.7109375" style="229" customWidth="1"/>
    <col min="8453" max="8453" width="14.42578125" style="229" customWidth="1"/>
    <col min="8454" max="8454" width="3.7109375" style="229" customWidth="1"/>
    <col min="8455" max="8455" width="23.42578125" style="229" bestFit="1" customWidth="1"/>
    <col min="8456" max="8707" width="9.140625" style="229"/>
    <col min="8708" max="8708" width="3.7109375" style="229" customWidth="1"/>
    <col min="8709" max="8709" width="14.42578125" style="229" customWidth="1"/>
    <col min="8710" max="8710" width="3.7109375" style="229" customWidth="1"/>
    <col min="8711" max="8711" width="23.42578125" style="229" bestFit="1" customWidth="1"/>
    <col min="8712" max="8963" width="9.140625" style="229"/>
    <col min="8964" max="8964" width="3.7109375" style="229" customWidth="1"/>
    <col min="8965" max="8965" width="14.42578125" style="229" customWidth="1"/>
    <col min="8966" max="8966" width="3.7109375" style="229" customWidth="1"/>
    <col min="8967" max="8967" width="23.42578125" style="229" bestFit="1" customWidth="1"/>
    <col min="8968" max="9219" width="9.140625" style="229"/>
    <col min="9220" max="9220" width="3.7109375" style="229" customWidth="1"/>
    <col min="9221" max="9221" width="14.42578125" style="229" customWidth="1"/>
    <col min="9222" max="9222" width="3.7109375" style="229" customWidth="1"/>
    <col min="9223" max="9223" width="23.42578125" style="229" bestFit="1" customWidth="1"/>
    <col min="9224" max="9475" width="9.140625" style="229"/>
    <col min="9476" max="9476" width="3.7109375" style="229" customWidth="1"/>
    <col min="9477" max="9477" width="14.42578125" style="229" customWidth="1"/>
    <col min="9478" max="9478" width="3.7109375" style="229" customWidth="1"/>
    <col min="9479" max="9479" width="23.42578125" style="229" bestFit="1" customWidth="1"/>
    <col min="9480" max="9731" width="9.140625" style="229"/>
    <col min="9732" max="9732" width="3.7109375" style="229" customWidth="1"/>
    <col min="9733" max="9733" width="14.42578125" style="229" customWidth="1"/>
    <col min="9734" max="9734" width="3.7109375" style="229" customWidth="1"/>
    <col min="9735" max="9735" width="23.42578125" style="229" bestFit="1" customWidth="1"/>
    <col min="9736" max="9987" width="9.140625" style="229"/>
    <col min="9988" max="9988" width="3.7109375" style="229" customWidth="1"/>
    <col min="9989" max="9989" width="14.42578125" style="229" customWidth="1"/>
    <col min="9990" max="9990" width="3.7109375" style="229" customWidth="1"/>
    <col min="9991" max="9991" width="23.42578125" style="229" bestFit="1" customWidth="1"/>
    <col min="9992" max="10243" width="9.140625" style="229"/>
    <col min="10244" max="10244" width="3.7109375" style="229" customWidth="1"/>
    <col min="10245" max="10245" width="14.42578125" style="229" customWidth="1"/>
    <col min="10246" max="10246" width="3.7109375" style="229" customWidth="1"/>
    <col min="10247" max="10247" width="23.42578125" style="229" bestFit="1" customWidth="1"/>
    <col min="10248" max="10499" width="9.140625" style="229"/>
    <col min="10500" max="10500" width="3.7109375" style="229" customWidth="1"/>
    <col min="10501" max="10501" width="14.42578125" style="229" customWidth="1"/>
    <col min="10502" max="10502" width="3.7109375" style="229" customWidth="1"/>
    <col min="10503" max="10503" width="23.42578125" style="229" bestFit="1" customWidth="1"/>
    <col min="10504" max="10755" width="9.140625" style="229"/>
    <col min="10756" max="10756" width="3.7109375" style="229" customWidth="1"/>
    <col min="10757" max="10757" width="14.42578125" style="229" customWidth="1"/>
    <col min="10758" max="10758" width="3.7109375" style="229" customWidth="1"/>
    <col min="10759" max="10759" width="23.42578125" style="229" bestFit="1" customWidth="1"/>
    <col min="10760" max="11011" width="9.140625" style="229"/>
    <col min="11012" max="11012" width="3.7109375" style="229" customWidth="1"/>
    <col min="11013" max="11013" width="14.42578125" style="229" customWidth="1"/>
    <col min="11014" max="11014" width="3.7109375" style="229" customWidth="1"/>
    <col min="11015" max="11015" width="23.42578125" style="229" bestFit="1" customWidth="1"/>
    <col min="11016" max="11267" width="9.140625" style="229"/>
    <col min="11268" max="11268" width="3.7109375" style="229" customWidth="1"/>
    <col min="11269" max="11269" width="14.42578125" style="229" customWidth="1"/>
    <col min="11270" max="11270" width="3.7109375" style="229" customWidth="1"/>
    <col min="11271" max="11271" width="23.42578125" style="229" bestFit="1" customWidth="1"/>
    <col min="11272" max="11523" width="9.140625" style="229"/>
    <col min="11524" max="11524" width="3.7109375" style="229" customWidth="1"/>
    <col min="11525" max="11525" width="14.42578125" style="229" customWidth="1"/>
    <col min="11526" max="11526" width="3.7109375" style="229" customWidth="1"/>
    <col min="11527" max="11527" width="23.42578125" style="229" bestFit="1" customWidth="1"/>
    <col min="11528" max="11779" width="9.140625" style="229"/>
    <col min="11780" max="11780" width="3.7109375" style="229" customWidth="1"/>
    <col min="11781" max="11781" width="14.42578125" style="229" customWidth="1"/>
    <col min="11782" max="11782" width="3.7109375" style="229" customWidth="1"/>
    <col min="11783" max="11783" width="23.42578125" style="229" bestFit="1" customWidth="1"/>
    <col min="11784" max="12035" width="9.140625" style="229"/>
    <col min="12036" max="12036" width="3.7109375" style="229" customWidth="1"/>
    <col min="12037" max="12037" width="14.42578125" style="229" customWidth="1"/>
    <col min="12038" max="12038" width="3.7109375" style="229" customWidth="1"/>
    <col min="12039" max="12039" width="23.42578125" style="229" bestFit="1" customWidth="1"/>
    <col min="12040" max="12291" width="9.140625" style="229"/>
    <col min="12292" max="12292" width="3.7109375" style="229" customWidth="1"/>
    <col min="12293" max="12293" width="14.42578125" style="229" customWidth="1"/>
    <col min="12294" max="12294" width="3.7109375" style="229" customWidth="1"/>
    <col min="12295" max="12295" width="23.42578125" style="229" bestFit="1" customWidth="1"/>
    <col min="12296" max="12547" width="9.140625" style="229"/>
    <col min="12548" max="12548" width="3.7109375" style="229" customWidth="1"/>
    <col min="12549" max="12549" width="14.42578125" style="229" customWidth="1"/>
    <col min="12550" max="12550" width="3.7109375" style="229" customWidth="1"/>
    <col min="12551" max="12551" width="23.42578125" style="229" bestFit="1" customWidth="1"/>
    <col min="12552" max="12803" width="9.140625" style="229"/>
    <col min="12804" max="12804" width="3.7109375" style="229" customWidth="1"/>
    <col min="12805" max="12805" width="14.42578125" style="229" customWidth="1"/>
    <col min="12806" max="12806" width="3.7109375" style="229" customWidth="1"/>
    <col min="12807" max="12807" width="23.42578125" style="229" bestFit="1" customWidth="1"/>
    <col min="12808" max="13059" width="9.140625" style="229"/>
    <col min="13060" max="13060" width="3.7109375" style="229" customWidth="1"/>
    <col min="13061" max="13061" width="14.42578125" style="229" customWidth="1"/>
    <col min="13062" max="13062" width="3.7109375" style="229" customWidth="1"/>
    <col min="13063" max="13063" width="23.42578125" style="229" bestFit="1" customWidth="1"/>
    <col min="13064" max="13315" width="9.140625" style="229"/>
    <col min="13316" max="13316" width="3.7109375" style="229" customWidth="1"/>
    <col min="13317" max="13317" width="14.42578125" style="229" customWidth="1"/>
    <col min="13318" max="13318" width="3.7109375" style="229" customWidth="1"/>
    <col min="13319" max="13319" width="23.42578125" style="229" bestFit="1" customWidth="1"/>
    <col min="13320" max="13571" width="9.140625" style="229"/>
    <col min="13572" max="13572" width="3.7109375" style="229" customWidth="1"/>
    <col min="13573" max="13573" width="14.42578125" style="229" customWidth="1"/>
    <col min="13574" max="13574" width="3.7109375" style="229" customWidth="1"/>
    <col min="13575" max="13575" width="23.42578125" style="229" bestFit="1" customWidth="1"/>
    <col min="13576" max="13827" width="9.140625" style="229"/>
    <col min="13828" max="13828" width="3.7109375" style="229" customWidth="1"/>
    <col min="13829" max="13829" width="14.42578125" style="229" customWidth="1"/>
    <col min="13830" max="13830" width="3.7109375" style="229" customWidth="1"/>
    <col min="13831" max="13831" width="23.42578125" style="229" bestFit="1" customWidth="1"/>
    <col min="13832" max="14083" width="9.140625" style="229"/>
    <col min="14084" max="14084" width="3.7109375" style="229" customWidth="1"/>
    <col min="14085" max="14085" width="14.42578125" style="229" customWidth="1"/>
    <col min="14086" max="14086" width="3.7109375" style="229" customWidth="1"/>
    <col min="14087" max="14087" width="23.42578125" style="229" bestFit="1" customWidth="1"/>
    <col min="14088" max="14339" width="9.140625" style="229"/>
    <col min="14340" max="14340" width="3.7109375" style="229" customWidth="1"/>
    <col min="14341" max="14341" width="14.42578125" style="229" customWidth="1"/>
    <col min="14342" max="14342" width="3.7109375" style="229" customWidth="1"/>
    <col min="14343" max="14343" width="23.42578125" style="229" bestFit="1" customWidth="1"/>
    <col min="14344" max="14595" width="9.140625" style="229"/>
    <col min="14596" max="14596" width="3.7109375" style="229" customWidth="1"/>
    <col min="14597" max="14597" width="14.42578125" style="229" customWidth="1"/>
    <col min="14598" max="14598" width="3.7109375" style="229" customWidth="1"/>
    <col min="14599" max="14599" width="23.42578125" style="229" bestFit="1" customWidth="1"/>
    <col min="14600" max="14851" width="9.140625" style="229"/>
    <col min="14852" max="14852" width="3.7109375" style="229" customWidth="1"/>
    <col min="14853" max="14853" width="14.42578125" style="229" customWidth="1"/>
    <col min="14854" max="14854" width="3.7109375" style="229" customWidth="1"/>
    <col min="14855" max="14855" width="23.42578125" style="229" bestFit="1" customWidth="1"/>
    <col min="14856" max="15107" width="9.140625" style="229"/>
    <col min="15108" max="15108" width="3.7109375" style="229" customWidth="1"/>
    <col min="15109" max="15109" width="14.42578125" style="229" customWidth="1"/>
    <col min="15110" max="15110" width="3.7109375" style="229" customWidth="1"/>
    <col min="15111" max="15111" width="23.42578125" style="229" bestFit="1" customWidth="1"/>
    <col min="15112" max="15363" width="9.140625" style="229"/>
    <col min="15364" max="15364" width="3.7109375" style="229" customWidth="1"/>
    <col min="15365" max="15365" width="14.42578125" style="229" customWidth="1"/>
    <col min="15366" max="15366" width="3.7109375" style="229" customWidth="1"/>
    <col min="15367" max="15367" width="23.42578125" style="229" bestFit="1" customWidth="1"/>
    <col min="15368" max="15619" width="9.140625" style="229"/>
    <col min="15620" max="15620" width="3.7109375" style="229" customWidth="1"/>
    <col min="15621" max="15621" width="14.42578125" style="229" customWidth="1"/>
    <col min="15622" max="15622" width="3.7109375" style="229" customWidth="1"/>
    <col min="15623" max="15623" width="23.42578125" style="229" bestFit="1" customWidth="1"/>
    <col min="15624" max="15875" width="9.140625" style="229"/>
    <col min="15876" max="15876" width="3.7109375" style="229" customWidth="1"/>
    <col min="15877" max="15877" width="14.42578125" style="229" customWidth="1"/>
    <col min="15878" max="15878" width="3.7109375" style="229" customWidth="1"/>
    <col min="15879" max="15879" width="23.42578125" style="229" bestFit="1" customWidth="1"/>
    <col min="15880" max="16131" width="9.140625" style="229"/>
    <col min="16132" max="16132" width="3.7109375" style="229" customWidth="1"/>
    <col min="16133" max="16133" width="14.42578125" style="229" customWidth="1"/>
    <col min="16134" max="16134" width="3.7109375" style="229" customWidth="1"/>
    <col min="16135" max="16135" width="23.42578125" style="229" bestFit="1" customWidth="1"/>
    <col min="16136" max="16384" width="9.140625" style="229"/>
  </cols>
  <sheetData>
    <row r="1" spans="1:22" x14ac:dyDescent="0.25">
      <c r="D1" s="996"/>
      <c r="E1" s="996"/>
      <c r="F1" s="996"/>
      <c r="G1" s="996"/>
      <c r="H1" s="996"/>
      <c r="I1" s="996"/>
      <c r="J1" s="996"/>
      <c r="K1" s="996"/>
      <c r="L1" s="996"/>
      <c r="M1" s="996"/>
      <c r="N1" s="996"/>
      <c r="O1" s="996"/>
      <c r="P1" s="996"/>
      <c r="Q1" s="996"/>
      <c r="R1" s="996"/>
      <c r="S1" s="996"/>
      <c r="T1" s="996"/>
      <c r="U1" s="996"/>
    </row>
    <row r="2" spans="1:22" ht="14.45" customHeight="1" x14ac:dyDescent="0.25">
      <c r="A2" s="453">
        <v>1</v>
      </c>
      <c r="B2" s="453" t="s">
        <v>24</v>
      </c>
      <c r="C2" s="453">
        <f>1+'Educator Learner ratio'!C2</f>
        <v>45</v>
      </c>
      <c r="D2" s="3726" t="s">
        <v>909</v>
      </c>
      <c r="E2" s="3727"/>
      <c r="F2" s="3727"/>
      <c r="G2" s="3727"/>
      <c r="H2" s="3727"/>
      <c r="I2" s="3727"/>
      <c r="J2" s="3727"/>
      <c r="K2" s="3727"/>
      <c r="L2" s="3727"/>
      <c r="M2" s="3727"/>
      <c r="N2" s="3727"/>
      <c r="O2" s="3727"/>
      <c r="P2" s="3727"/>
      <c r="Q2" s="3727"/>
      <c r="R2" s="3727"/>
      <c r="S2" s="3727"/>
      <c r="T2" s="3727"/>
      <c r="U2" s="3727"/>
      <c r="V2" s="3728"/>
    </row>
    <row r="3" spans="1:22" x14ac:dyDescent="0.25">
      <c r="A3" s="453">
        <v>2</v>
      </c>
      <c r="B3" s="453" t="s">
        <v>26</v>
      </c>
      <c r="C3" s="453"/>
      <c r="D3" s="3553" t="s">
        <v>860</v>
      </c>
      <c r="E3" s="3554"/>
      <c r="F3" s="3554"/>
      <c r="G3" s="3554"/>
      <c r="H3" s="3554"/>
      <c r="I3" s="3554"/>
      <c r="J3" s="3554"/>
      <c r="K3" s="3554"/>
      <c r="L3" s="3554"/>
      <c r="M3" s="3554"/>
      <c r="N3" s="3554"/>
      <c r="O3" s="3554"/>
      <c r="P3" s="3554"/>
      <c r="Q3" s="3554"/>
      <c r="R3" s="3554"/>
      <c r="S3" s="3554"/>
      <c r="T3" s="3554"/>
      <c r="U3" s="3554"/>
      <c r="V3" s="3555"/>
    </row>
    <row r="4" spans="1:22" ht="15" customHeight="1" x14ac:dyDescent="0.25">
      <c r="A4" s="453">
        <v>3</v>
      </c>
      <c r="B4" s="453" t="s">
        <v>28</v>
      </c>
      <c r="C4" s="453"/>
      <c r="D4" s="3553" t="s">
        <v>908</v>
      </c>
      <c r="E4" s="3554"/>
      <c r="F4" s="3554"/>
      <c r="G4" s="3554"/>
      <c r="H4" s="3554"/>
      <c r="I4" s="3554"/>
      <c r="J4" s="3554"/>
      <c r="K4" s="3554"/>
      <c r="L4" s="3554"/>
      <c r="M4" s="3554"/>
      <c r="N4" s="3554"/>
      <c r="O4" s="3554"/>
      <c r="P4" s="3554"/>
      <c r="Q4" s="3554"/>
      <c r="R4" s="3554"/>
      <c r="S4" s="3554"/>
      <c r="T4" s="3554"/>
      <c r="U4" s="3554"/>
      <c r="V4" s="3555"/>
    </row>
    <row r="5" spans="1:22" x14ac:dyDescent="0.25">
      <c r="B5" s="453"/>
      <c r="C5" s="453"/>
      <c r="D5" s="138"/>
      <c r="E5" s="195"/>
      <c r="F5" s="195"/>
      <c r="G5" s="195"/>
      <c r="H5" s="195"/>
      <c r="I5" s="195"/>
      <c r="J5" s="195"/>
      <c r="K5" s="195"/>
      <c r="L5" s="164"/>
      <c r="M5" s="164"/>
      <c r="N5" s="164"/>
      <c r="O5" s="164"/>
      <c r="P5" s="164"/>
      <c r="Q5" s="164"/>
      <c r="R5" s="164"/>
      <c r="S5" s="164"/>
      <c r="T5" s="164"/>
      <c r="U5" s="1938"/>
    </row>
    <row r="6" spans="1:22" x14ac:dyDescent="0.25">
      <c r="A6" s="453">
        <v>4</v>
      </c>
      <c r="B6" s="650" t="s">
        <v>1</v>
      </c>
      <c r="C6" s="650"/>
      <c r="D6" s="1022"/>
    </row>
    <row r="7" spans="1:22" x14ac:dyDescent="0.25">
      <c r="D7" s="120" t="s">
        <v>31</v>
      </c>
      <c r="E7" s="119" t="s">
        <v>907</v>
      </c>
      <c r="F7" s="119"/>
      <c r="G7" s="119"/>
      <c r="H7" s="119"/>
      <c r="I7" s="119"/>
      <c r="J7" s="119"/>
      <c r="K7" s="119"/>
      <c r="L7" s="119"/>
      <c r="M7" s="996"/>
      <c r="N7" s="996"/>
      <c r="O7" s="996"/>
      <c r="P7" s="996"/>
      <c r="Q7" s="996"/>
      <c r="R7" s="996"/>
      <c r="S7" s="996"/>
      <c r="T7" s="996"/>
      <c r="U7" s="996"/>
    </row>
    <row r="8" spans="1:22" s="2174" customFormat="1" x14ac:dyDescent="0.25">
      <c r="A8" s="2170"/>
      <c r="B8" s="2171"/>
      <c r="C8" s="2171"/>
      <c r="D8" s="2172"/>
      <c r="E8" s="2172">
        <v>1997</v>
      </c>
      <c r="F8" s="2172">
        <v>1998</v>
      </c>
      <c r="G8" s="2172">
        <v>1999</v>
      </c>
      <c r="H8" s="2172">
        <v>2000</v>
      </c>
      <c r="I8" s="2172">
        <v>2001</v>
      </c>
      <c r="J8" s="2172">
        <v>2002</v>
      </c>
      <c r="K8" s="2172">
        <v>2003</v>
      </c>
      <c r="L8" s="2172">
        <v>2004</v>
      </c>
      <c r="M8" s="2172">
        <v>2005</v>
      </c>
      <c r="N8" s="2173">
        <v>2006</v>
      </c>
      <c r="O8" s="2173">
        <v>2007</v>
      </c>
      <c r="P8" s="2173">
        <v>2008</v>
      </c>
      <c r="Q8" s="2173">
        <v>2009</v>
      </c>
      <c r="R8" s="2173">
        <v>2010</v>
      </c>
      <c r="S8" s="2173">
        <v>2011</v>
      </c>
      <c r="T8" s="2173">
        <v>2012</v>
      </c>
      <c r="U8" s="2173">
        <v>2013</v>
      </c>
      <c r="V8" s="2816">
        <v>2014</v>
      </c>
    </row>
    <row r="9" spans="1:22" s="179" customFormat="1" ht="12.75" x14ac:dyDescent="0.2">
      <c r="A9" s="1619"/>
      <c r="B9" s="1950"/>
      <c r="C9" s="1950"/>
      <c r="D9" s="277" t="s">
        <v>906</v>
      </c>
      <c r="E9" s="1027"/>
      <c r="F9" s="1027"/>
      <c r="G9" s="1027"/>
      <c r="H9" s="1027"/>
      <c r="I9" s="1027"/>
      <c r="J9" s="1027"/>
      <c r="K9" s="1027"/>
      <c r="L9" s="1027"/>
      <c r="M9" s="1027"/>
      <c r="N9" s="410"/>
      <c r="O9" s="410"/>
      <c r="P9" s="410"/>
      <c r="Q9" s="410"/>
      <c r="R9" s="410"/>
      <c r="S9" s="410"/>
      <c r="T9" s="410"/>
      <c r="U9" s="410"/>
      <c r="V9" s="2817"/>
    </row>
    <row r="10" spans="1:22" s="179" customFormat="1" ht="12.75" x14ac:dyDescent="0.2">
      <c r="A10" s="1619"/>
      <c r="B10" s="1950"/>
      <c r="C10" s="1950"/>
      <c r="D10" s="133" t="s">
        <v>905</v>
      </c>
      <c r="E10" s="177">
        <v>116.46884349643946</v>
      </c>
      <c r="F10" s="177">
        <v>114.64542675075597</v>
      </c>
      <c r="G10" s="177">
        <v>112.6701441518783</v>
      </c>
      <c r="H10" s="177">
        <v>103.15922078685679</v>
      </c>
      <c r="I10" s="177">
        <v>102.75689666055395</v>
      </c>
      <c r="J10" s="177">
        <v>103.042517648174</v>
      </c>
      <c r="K10" s="177">
        <v>102.63462601815201</v>
      </c>
      <c r="L10" s="177">
        <v>101.99929937820961</v>
      </c>
      <c r="M10" s="177">
        <v>101</v>
      </c>
      <c r="N10" s="1028">
        <v>106.53</v>
      </c>
      <c r="O10" s="1028">
        <v>101.6</v>
      </c>
      <c r="P10" s="1028">
        <v>96.637409507176358</v>
      </c>
      <c r="Q10" s="1028">
        <v>96</v>
      </c>
      <c r="R10" s="1028">
        <v>94.659830579029986</v>
      </c>
      <c r="S10" s="1028">
        <v>91</v>
      </c>
      <c r="T10" s="1028">
        <v>96</v>
      </c>
      <c r="U10" s="1028">
        <v>96.809171484516895</v>
      </c>
      <c r="V10" s="2818">
        <v>97</v>
      </c>
    </row>
    <row r="11" spans="1:22" s="179" customFormat="1" ht="12.75" x14ac:dyDescent="0.2">
      <c r="A11" s="1619"/>
      <c r="B11" s="1950"/>
      <c r="C11" s="1950"/>
      <c r="D11" s="133" t="s">
        <v>904</v>
      </c>
      <c r="E11" s="177">
        <v>119.79873206170512</v>
      </c>
      <c r="F11" s="177">
        <v>117.8683216439664</v>
      </c>
      <c r="G11" s="177">
        <v>116.32950113900253</v>
      </c>
      <c r="H11" s="177">
        <v>108.86587682439261</v>
      </c>
      <c r="I11" s="177">
        <v>107.06945248946968</v>
      </c>
      <c r="J11" s="177">
        <v>107.1474767650661</v>
      </c>
      <c r="K11" s="177">
        <v>107.04120464798635</v>
      </c>
      <c r="L11" s="177">
        <v>106.80439525965599</v>
      </c>
      <c r="M11" s="177">
        <v>105</v>
      </c>
      <c r="N11" s="1028">
        <v>101.41</v>
      </c>
      <c r="O11" s="1028">
        <v>105.18</v>
      </c>
      <c r="P11" s="1028">
        <v>99.061288446299514</v>
      </c>
      <c r="Q11" s="1028">
        <v>99</v>
      </c>
      <c r="R11" s="1028">
        <v>98.554415682065653</v>
      </c>
      <c r="S11" s="1028">
        <v>95</v>
      </c>
      <c r="T11" s="1028">
        <v>101</v>
      </c>
      <c r="U11" s="1028">
        <v>102.4324751311642</v>
      </c>
      <c r="V11" s="2818">
        <v>101</v>
      </c>
    </row>
    <row r="12" spans="1:22" s="179" customFormat="1" ht="12.75" x14ac:dyDescent="0.2">
      <c r="A12" s="1619"/>
      <c r="B12" s="1950"/>
      <c r="C12" s="1950"/>
      <c r="D12" s="133" t="s">
        <v>903</v>
      </c>
      <c r="E12" s="2175">
        <v>0.97220430877723707</v>
      </c>
      <c r="F12" s="2175">
        <v>0.97265681865781106</v>
      </c>
      <c r="G12" s="2175">
        <v>0.96854317304471504</v>
      </c>
      <c r="H12" s="2175">
        <v>0.94758085633443245</v>
      </c>
      <c r="I12" s="2175">
        <v>0.95972188398609892</v>
      </c>
      <c r="J12" s="2175">
        <v>0.96168870009050489</v>
      </c>
      <c r="K12" s="2175">
        <v>0.95883287520608784</v>
      </c>
      <c r="L12" s="2175">
        <v>0.95501031704018791</v>
      </c>
      <c r="M12" s="2175">
        <v>0.96190476190476193</v>
      </c>
      <c r="N12" s="718">
        <v>0.96</v>
      </c>
      <c r="O12" s="718">
        <v>0.96596311085757736</v>
      </c>
      <c r="P12" s="718">
        <v>0.98</v>
      </c>
      <c r="Q12" s="718">
        <v>0.98</v>
      </c>
      <c r="R12" s="718">
        <v>0.96048289591001679</v>
      </c>
      <c r="S12" s="718">
        <v>0.95789473684210524</v>
      </c>
      <c r="T12" s="718">
        <v>0.95049504950495045</v>
      </c>
      <c r="U12" s="718">
        <v>0.94510233556841527</v>
      </c>
      <c r="V12" s="2819">
        <v>0.96</v>
      </c>
    </row>
    <row r="13" spans="1:22" s="179" customFormat="1" ht="12.75" x14ac:dyDescent="0.2">
      <c r="A13" s="1619"/>
      <c r="B13" s="1950"/>
      <c r="C13" s="1950"/>
      <c r="D13" s="277" t="s">
        <v>902</v>
      </c>
      <c r="E13" s="1027"/>
      <c r="F13" s="1027"/>
      <c r="G13" s="1027"/>
      <c r="H13" s="1027"/>
      <c r="I13" s="1027"/>
      <c r="J13" s="1027"/>
      <c r="K13" s="1027"/>
      <c r="L13" s="1027"/>
      <c r="M13" s="1027"/>
      <c r="N13" s="410"/>
      <c r="O13" s="410"/>
      <c r="P13" s="708"/>
      <c r="Q13" s="708"/>
      <c r="R13" s="708"/>
      <c r="S13" s="708"/>
      <c r="T13" s="708"/>
      <c r="U13" s="708"/>
      <c r="V13" s="2820"/>
    </row>
    <row r="14" spans="1:22" s="179" customFormat="1" ht="12.75" x14ac:dyDescent="0.2">
      <c r="A14" s="1619"/>
      <c r="B14" s="1950"/>
      <c r="C14" s="1950"/>
      <c r="D14" s="133" t="s">
        <v>901</v>
      </c>
      <c r="E14" s="177">
        <v>89.826645801043512</v>
      </c>
      <c r="F14" s="177">
        <v>91.624834429406604</v>
      </c>
      <c r="G14" s="177">
        <v>90.636810492291815</v>
      </c>
      <c r="H14" s="177">
        <v>87.366434134254817</v>
      </c>
      <c r="I14" s="177">
        <v>88.732898814251541</v>
      </c>
      <c r="J14" s="177">
        <v>89.658810754319731</v>
      </c>
      <c r="K14" s="177">
        <v>90.644396594581593</v>
      </c>
      <c r="L14" s="177">
        <v>92.803666816366288</v>
      </c>
      <c r="M14" s="177">
        <v>92</v>
      </c>
      <c r="N14" s="1028">
        <v>97.59</v>
      </c>
      <c r="O14" s="1028">
        <v>93.3</v>
      </c>
      <c r="P14" s="1028">
        <v>87.881619560637901</v>
      </c>
      <c r="Q14" s="1028">
        <v>83</v>
      </c>
      <c r="R14" s="1028">
        <v>88.363376071830601</v>
      </c>
      <c r="S14" s="1028">
        <v>90</v>
      </c>
      <c r="T14" s="1028">
        <v>92</v>
      </c>
      <c r="U14" s="1028">
        <v>91.597094298506192</v>
      </c>
      <c r="V14" s="2818">
        <v>91</v>
      </c>
    </row>
    <row r="15" spans="1:22" s="179" customFormat="1" ht="12.75" x14ac:dyDescent="0.2">
      <c r="A15" s="1619"/>
      <c r="B15" s="1950"/>
      <c r="C15" s="1950"/>
      <c r="D15" s="133" t="s">
        <v>900</v>
      </c>
      <c r="E15" s="177">
        <v>77.295368318125441</v>
      </c>
      <c r="F15" s="177">
        <v>79.955259158653661</v>
      </c>
      <c r="G15" s="177">
        <v>79.551541748294881</v>
      </c>
      <c r="H15" s="177">
        <v>77.494055709824195</v>
      </c>
      <c r="I15" s="177">
        <v>79.280437367959479</v>
      </c>
      <c r="J15" s="177">
        <v>81.280335324831711</v>
      </c>
      <c r="K15" s="177">
        <v>82.843738951410302</v>
      </c>
      <c r="L15" s="177">
        <v>84.619954764370547</v>
      </c>
      <c r="M15" s="177">
        <v>85</v>
      </c>
      <c r="N15" s="1028">
        <v>80.8</v>
      </c>
      <c r="O15" s="1028">
        <v>88.17</v>
      </c>
      <c r="P15" s="1028">
        <v>81.61571145575158</v>
      </c>
      <c r="Q15" s="1028">
        <v>82</v>
      </c>
      <c r="R15" s="1028">
        <v>82.522334185123782</v>
      </c>
      <c r="S15" s="1028">
        <v>84</v>
      </c>
      <c r="T15" s="1028">
        <v>86</v>
      </c>
      <c r="U15" s="1028">
        <v>86.385034696440968</v>
      </c>
      <c r="V15" s="2818">
        <v>86</v>
      </c>
    </row>
    <row r="16" spans="1:22" s="179" customFormat="1" ht="12.75" x14ac:dyDescent="0.2">
      <c r="A16" s="1619"/>
      <c r="B16" s="1950"/>
      <c r="C16" s="1950"/>
      <c r="D16" s="133" t="s">
        <v>899</v>
      </c>
      <c r="E16" s="2175">
        <v>1.1621219712847857</v>
      </c>
      <c r="F16" s="2175">
        <v>1.145951315692658</v>
      </c>
      <c r="G16" s="2175">
        <v>1.1393470007039119</v>
      </c>
      <c r="H16" s="2175">
        <v>1.1273952993426704</v>
      </c>
      <c r="I16" s="2175">
        <v>1.1192281697743534</v>
      </c>
      <c r="J16" s="2175">
        <v>1.1030812114148394</v>
      </c>
      <c r="K16" s="2175">
        <v>1.0941611006686522</v>
      </c>
      <c r="L16" s="2175">
        <v>1.0967113735144836</v>
      </c>
      <c r="M16" s="2175">
        <v>1.0823529411764705</v>
      </c>
      <c r="N16" s="718">
        <v>1.0900000000000001</v>
      </c>
      <c r="O16" s="718">
        <v>1.0580000000000001</v>
      </c>
      <c r="P16" s="718">
        <v>1.08</v>
      </c>
      <c r="Q16" s="718">
        <v>1.01</v>
      </c>
      <c r="R16" s="718">
        <v>1.07078134597603</v>
      </c>
      <c r="S16" s="718">
        <v>1.0714285714285714</v>
      </c>
      <c r="T16" s="718">
        <v>1.069767441860465</v>
      </c>
      <c r="U16" s="718">
        <v>1.0603352145470628</v>
      </c>
      <c r="V16" s="2819">
        <v>1.07</v>
      </c>
    </row>
    <row r="17" spans="1:22" s="179" customFormat="1" ht="12.75" x14ac:dyDescent="0.2">
      <c r="A17" s="1619"/>
      <c r="B17" s="1950"/>
      <c r="C17" s="1950"/>
      <c r="D17" s="277" t="s">
        <v>898</v>
      </c>
      <c r="E17" s="2176"/>
      <c r="F17" s="2176"/>
      <c r="G17" s="2176"/>
      <c r="H17" s="2176"/>
      <c r="I17" s="2176"/>
      <c r="J17" s="2176"/>
      <c r="K17" s="2176"/>
      <c r="L17" s="2176"/>
      <c r="M17" s="2176"/>
      <c r="N17" s="708"/>
      <c r="O17" s="708"/>
      <c r="P17" s="708"/>
      <c r="Q17" s="708"/>
      <c r="R17" s="708"/>
      <c r="S17" s="708"/>
      <c r="T17" s="708"/>
      <c r="U17" s="708"/>
      <c r="V17" s="2820"/>
    </row>
    <row r="18" spans="1:22" s="179" customFormat="1" ht="12.75" x14ac:dyDescent="0.2">
      <c r="A18" s="1619"/>
      <c r="B18" s="1950"/>
      <c r="C18" s="1950"/>
      <c r="D18" s="133" t="s">
        <v>897</v>
      </c>
      <c r="E18" s="177">
        <v>105.59343184716576</v>
      </c>
      <c r="F18" s="177">
        <v>105.21637636044481</v>
      </c>
      <c r="G18" s="177">
        <v>103.65264189378658</v>
      </c>
      <c r="H18" s="177">
        <v>96.757884772191375</v>
      </c>
      <c r="I18" s="177">
        <v>97.084292464482971</v>
      </c>
      <c r="J18" s="177">
        <v>97.638166119700699</v>
      </c>
      <c r="K18" s="177">
        <v>97.789199593132409</v>
      </c>
      <c r="L18" s="177">
        <v>98.264991992196755</v>
      </c>
      <c r="M18" s="133">
        <v>97</v>
      </c>
      <c r="N18" s="1028">
        <v>94</v>
      </c>
      <c r="O18" s="374">
        <v>98.45</v>
      </c>
      <c r="P18" s="1028">
        <v>93.018484575991323</v>
      </c>
      <c r="Q18" s="1028">
        <v>92</v>
      </c>
      <c r="R18" s="1028">
        <v>92.021667424361581</v>
      </c>
      <c r="S18" s="1028">
        <v>91</v>
      </c>
      <c r="T18" s="1028">
        <v>94</v>
      </c>
      <c r="U18" s="1028">
        <v>94.611554888294307</v>
      </c>
      <c r="V18" s="2818">
        <v>95</v>
      </c>
    </row>
    <row r="19" spans="1:22" s="179" customFormat="1" ht="12.75" x14ac:dyDescent="0.2">
      <c r="A19" s="1619"/>
      <c r="B19" s="1950"/>
      <c r="C19" s="1950"/>
      <c r="D19" s="133" t="s">
        <v>896</v>
      </c>
      <c r="E19" s="1027">
        <v>102.5136168092352</v>
      </c>
      <c r="F19" s="1027">
        <v>102.38558895365368</v>
      </c>
      <c r="G19" s="1027">
        <v>101.30752021558165</v>
      </c>
      <c r="H19" s="1027">
        <v>96.155874774198068</v>
      </c>
      <c r="I19" s="1027">
        <v>95.836663358432659</v>
      </c>
      <c r="J19" s="1027">
        <v>96.71165756765788</v>
      </c>
      <c r="K19" s="1027">
        <v>97.2754824850782</v>
      </c>
      <c r="L19" s="1027">
        <v>97.812304119842636</v>
      </c>
      <c r="M19" s="1027">
        <v>97</v>
      </c>
      <c r="N19" s="410">
        <v>93</v>
      </c>
      <c r="O19" s="410">
        <v>97.85</v>
      </c>
      <c r="P19" s="1028">
        <v>91.863519207021469</v>
      </c>
      <c r="Q19" s="1028">
        <v>90</v>
      </c>
      <c r="R19" s="1028">
        <v>91.849680108833823</v>
      </c>
      <c r="S19" s="1028">
        <v>91</v>
      </c>
      <c r="T19" s="1028">
        <v>95</v>
      </c>
      <c r="U19" s="1028">
        <v>95.677043767544234</v>
      </c>
      <c r="V19" s="2818">
        <v>95</v>
      </c>
    </row>
    <row r="20" spans="1:22" s="179" customFormat="1" ht="12.75" x14ac:dyDescent="0.2">
      <c r="A20" s="1619"/>
      <c r="B20" s="1950"/>
      <c r="C20" s="1950"/>
      <c r="D20" s="130" t="s">
        <v>895</v>
      </c>
      <c r="E20" s="2177">
        <v>1.03</v>
      </c>
      <c r="F20" s="2177">
        <v>1.0269999999999999</v>
      </c>
      <c r="G20" s="2177">
        <v>1.0229999999999999</v>
      </c>
      <c r="H20" s="2177">
        <v>1.006</v>
      </c>
      <c r="I20" s="2177">
        <v>1.0129999999999999</v>
      </c>
      <c r="J20" s="2177">
        <v>1.0089999999999999</v>
      </c>
      <c r="K20" s="2177">
        <v>1.0049999999999999</v>
      </c>
      <c r="L20" s="2177">
        <v>1.004</v>
      </c>
      <c r="M20" s="2177">
        <v>1</v>
      </c>
      <c r="N20" s="709">
        <v>1.01</v>
      </c>
      <c r="O20" s="709">
        <v>1.0061318344404702</v>
      </c>
      <c r="P20" s="709">
        <v>1.01</v>
      </c>
      <c r="Q20" s="709">
        <v>1.02</v>
      </c>
      <c r="R20" s="709">
        <v>1.0018724868211186</v>
      </c>
      <c r="S20" s="709">
        <v>1</v>
      </c>
      <c r="T20" s="709">
        <v>0.98947368421052628</v>
      </c>
      <c r="U20" s="709">
        <v>0.98886369355392478</v>
      </c>
      <c r="V20" s="2821">
        <v>1</v>
      </c>
    </row>
    <row r="21" spans="1:22" s="179" customFormat="1" ht="12.75" x14ac:dyDescent="0.2">
      <c r="A21" s="1619"/>
      <c r="B21" s="1950"/>
      <c r="C21" s="1950"/>
      <c r="D21" s="133"/>
      <c r="E21" s="2176"/>
      <c r="F21" s="2176"/>
      <c r="G21" s="2176"/>
      <c r="H21" s="2176"/>
      <c r="I21" s="2176"/>
      <c r="J21" s="2176"/>
      <c r="K21" s="2176"/>
      <c r="L21" s="2176"/>
      <c r="M21" s="2176"/>
      <c r="N21" s="708"/>
      <c r="O21" s="708"/>
      <c r="P21" s="708"/>
      <c r="Q21" s="708"/>
      <c r="R21" s="708"/>
      <c r="S21" s="708"/>
      <c r="T21" s="708"/>
      <c r="U21" s="708"/>
    </row>
    <row r="22" spans="1:22" s="179" customFormat="1" ht="12.75" x14ac:dyDescent="0.2">
      <c r="A22" s="1619"/>
      <c r="B22" s="1950"/>
      <c r="C22" s="1950"/>
      <c r="D22" s="133"/>
      <c r="E22" s="2176"/>
      <c r="F22" s="2176"/>
      <c r="G22" s="2176"/>
      <c r="H22" s="2176"/>
      <c r="I22" s="2176"/>
      <c r="J22" s="2176"/>
      <c r="K22" s="2176"/>
      <c r="L22" s="2176"/>
      <c r="M22" s="2176"/>
      <c r="N22" s="708"/>
      <c r="O22" s="708"/>
      <c r="P22" s="708"/>
      <c r="Q22" s="708"/>
      <c r="R22" s="708"/>
      <c r="S22" s="708"/>
      <c r="T22" s="708"/>
      <c r="U22" s="708"/>
    </row>
    <row r="23" spans="1:22" s="179" customFormat="1" ht="12.75" x14ac:dyDescent="0.2">
      <c r="A23" s="1619"/>
      <c r="B23" s="1950"/>
      <c r="C23" s="1950"/>
      <c r="D23" s="133"/>
      <c r="E23" s="2176"/>
      <c r="F23" s="2176"/>
      <c r="G23" s="2176"/>
      <c r="H23" s="2176"/>
      <c r="I23" s="2176"/>
      <c r="J23" s="2176"/>
      <c r="K23" s="2176"/>
      <c r="L23" s="2176"/>
      <c r="M23" s="2176"/>
      <c r="N23" s="708"/>
      <c r="O23" s="708"/>
      <c r="P23" s="708"/>
      <c r="Q23" s="708"/>
      <c r="R23" s="708"/>
      <c r="S23" s="708"/>
      <c r="T23" s="708"/>
      <c r="U23" s="708"/>
    </row>
    <row r="24" spans="1:22" s="179" customFormat="1" ht="12.75" x14ac:dyDescent="0.2">
      <c r="A24" s="1619"/>
      <c r="B24" s="1950"/>
      <c r="C24" s="1950"/>
      <c r="D24" s="167" t="s">
        <v>55</v>
      </c>
      <c r="E24" s="120" t="s">
        <v>894</v>
      </c>
      <c r="F24" s="2177"/>
      <c r="G24" s="2177"/>
      <c r="H24" s="2177"/>
      <c r="I24" s="2177"/>
      <c r="J24" s="2177"/>
      <c r="K24" s="2177"/>
      <c r="L24" s="2177"/>
      <c r="M24" s="2177"/>
      <c r="N24" s="709"/>
      <c r="O24" s="709"/>
      <c r="P24" s="709"/>
      <c r="Q24" s="709"/>
      <c r="R24" s="709"/>
      <c r="S24" s="709"/>
      <c r="T24" s="709"/>
      <c r="U24" s="709"/>
      <c r="V24" s="2178"/>
    </row>
    <row r="25" spans="1:22" s="84" customFormat="1" ht="12.75" x14ac:dyDescent="0.2">
      <c r="A25" s="767"/>
      <c r="B25" s="768"/>
      <c r="C25" s="768"/>
      <c r="D25" s="277"/>
      <c r="E25" s="2179">
        <v>1997</v>
      </c>
      <c r="F25" s="2179">
        <v>1998</v>
      </c>
      <c r="G25" s="2179">
        <v>1999</v>
      </c>
      <c r="H25" s="2179">
        <v>2000</v>
      </c>
      <c r="I25" s="2179">
        <v>2001</v>
      </c>
      <c r="J25" s="2179">
        <v>2002</v>
      </c>
      <c r="K25" s="2179">
        <v>2003</v>
      </c>
      <c r="L25" s="2179">
        <v>2004</v>
      </c>
      <c r="M25" s="2179">
        <v>2005</v>
      </c>
      <c r="N25" s="2180">
        <v>2006</v>
      </c>
      <c r="O25" s="2180">
        <v>2007</v>
      </c>
      <c r="P25" s="2180">
        <v>2008</v>
      </c>
      <c r="Q25" s="2180">
        <v>2009</v>
      </c>
      <c r="R25" s="2180">
        <v>2010</v>
      </c>
      <c r="S25" s="2180">
        <v>2011</v>
      </c>
      <c r="T25" s="2180">
        <v>2012</v>
      </c>
      <c r="U25" s="2180">
        <v>2013</v>
      </c>
      <c r="V25" s="2816">
        <v>2014</v>
      </c>
    </row>
    <row r="26" spans="1:22" s="179" customFormat="1" ht="12.75" x14ac:dyDescent="0.2">
      <c r="A26" s="1619"/>
      <c r="B26" s="1950"/>
      <c r="C26" s="1950"/>
      <c r="D26" s="277" t="s">
        <v>893</v>
      </c>
      <c r="E26" s="2176"/>
      <c r="F26" s="2176"/>
      <c r="G26" s="2176"/>
      <c r="H26" s="84"/>
      <c r="I26" s="84"/>
      <c r="J26" s="84"/>
      <c r="K26" s="84"/>
      <c r="L26" s="84"/>
      <c r="M26" s="84"/>
      <c r="N26" s="84"/>
      <c r="O26" s="84"/>
      <c r="P26" s="84"/>
      <c r="Q26" s="84"/>
      <c r="R26" s="84"/>
      <c r="S26" s="708"/>
      <c r="T26" s="84"/>
      <c r="U26" s="84"/>
      <c r="V26" s="2822"/>
    </row>
    <row r="27" spans="1:22" s="179" customFormat="1" ht="12.75" x14ac:dyDescent="0.2">
      <c r="A27" s="1619"/>
      <c r="B27" s="1950"/>
      <c r="C27" s="1950"/>
      <c r="D27" s="133" t="s">
        <v>892</v>
      </c>
      <c r="E27" s="1027">
        <v>12.667584064220822</v>
      </c>
      <c r="F27" s="1027">
        <v>12.757732016510623</v>
      </c>
      <c r="G27" s="1027">
        <v>12.652888547094962</v>
      </c>
      <c r="H27" s="2181">
        <v>13.586840093866437</v>
      </c>
      <c r="I27" s="2181">
        <v>15.119784422184605</v>
      </c>
      <c r="J27" s="2181">
        <v>15.922705845018109</v>
      </c>
      <c r="K27" s="2181">
        <v>16.564696337941488</v>
      </c>
      <c r="L27" s="2181">
        <v>17.467824797874005</v>
      </c>
      <c r="M27" s="2181">
        <v>17.36220034400398</v>
      </c>
      <c r="N27" s="2181">
        <v>17.609352407640063</v>
      </c>
      <c r="O27" s="2181">
        <v>18.137335912854869</v>
      </c>
      <c r="P27" s="2181">
        <v>18.600000000000001</v>
      </c>
      <c r="Q27" s="2181">
        <v>19.300222536920899</v>
      </c>
      <c r="R27" s="2181">
        <v>20.399999999999999</v>
      </c>
      <c r="S27" s="2181">
        <v>22.103847210659492</v>
      </c>
      <c r="T27" s="2182" t="s">
        <v>891</v>
      </c>
      <c r="U27" s="2182">
        <v>22.833029443936514</v>
      </c>
      <c r="V27" s="2823">
        <v>21.686733571709425</v>
      </c>
    </row>
    <row r="28" spans="1:22" s="179" customFormat="1" ht="12.75" x14ac:dyDescent="0.2">
      <c r="A28" s="1619"/>
      <c r="B28" s="1950"/>
      <c r="C28" s="1950"/>
      <c r="D28" s="133" t="s">
        <v>890</v>
      </c>
      <c r="E28" s="1027">
        <v>13.101344169028096</v>
      </c>
      <c r="F28" s="1027">
        <v>12.438615568491281</v>
      </c>
      <c r="G28" s="1027">
        <v>12.024259565992052</v>
      </c>
      <c r="H28" s="2181">
        <v>12.279098806886102</v>
      </c>
      <c r="I28" s="2181">
        <v>12.999059987642484</v>
      </c>
      <c r="J28" s="2181">
        <v>13.572086253944285</v>
      </c>
      <c r="K28" s="2181">
        <v>14.181559461290757</v>
      </c>
      <c r="L28" s="2181">
        <v>14.691559070993756</v>
      </c>
      <c r="M28" s="2181">
        <v>14.405550555275473</v>
      </c>
      <c r="N28" s="2181">
        <v>14.260220670722742</v>
      </c>
      <c r="O28" s="2181">
        <v>14.434189640492542</v>
      </c>
      <c r="P28" s="2181">
        <v>14.7</v>
      </c>
      <c r="Q28" s="2181">
        <v>14.641504041806156</v>
      </c>
      <c r="R28" s="2181">
        <v>15</v>
      </c>
      <c r="S28" s="2181">
        <v>15.923005217334794</v>
      </c>
      <c r="T28" s="2182" t="s">
        <v>889</v>
      </c>
      <c r="U28" s="2182">
        <v>16.00965485469483</v>
      </c>
      <c r="V28" s="2823">
        <v>15.185535689473229</v>
      </c>
    </row>
    <row r="29" spans="1:22" x14ac:dyDescent="0.25">
      <c r="D29" s="130" t="s">
        <v>888</v>
      </c>
      <c r="E29" s="2183">
        <v>0.96689193878039681</v>
      </c>
      <c r="F29" s="2183">
        <v>1.0256553027354351</v>
      </c>
      <c r="G29" s="2183">
        <v>1.0522800574665609</v>
      </c>
      <c r="H29" s="2184">
        <v>1.1065014059701967</v>
      </c>
      <c r="I29" s="2184">
        <v>1.1631444455643856</v>
      </c>
      <c r="J29" s="2184">
        <v>1.1731951556372324</v>
      </c>
      <c r="K29" s="2184">
        <v>1.1680447685006445</v>
      </c>
      <c r="L29" s="2184">
        <v>1.188970123147894</v>
      </c>
      <c r="M29" s="2184">
        <v>1.2052437897033896</v>
      </c>
      <c r="N29" s="2184">
        <v>1.2348583387488057</v>
      </c>
      <c r="O29" s="2184">
        <v>1.2565538048616052</v>
      </c>
      <c r="P29" s="2184">
        <v>1.2653061224489797</v>
      </c>
      <c r="Q29" s="2185">
        <v>1.318185787594814</v>
      </c>
      <c r="R29" s="2184">
        <v>1.36</v>
      </c>
      <c r="S29" s="2184">
        <v>1.3881705688694896</v>
      </c>
      <c r="T29" s="2186">
        <v>1.42</v>
      </c>
      <c r="U29" s="2186">
        <v>1.4262037283858577</v>
      </c>
      <c r="V29" s="2824">
        <v>1.4281177836052827</v>
      </c>
    </row>
    <row r="32" spans="1:22" s="179" customFormat="1" ht="12.75" x14ac:dyDescent="0.2">
      <c r="A32" s="1619"/>
      <c r="B32" s="2187"/>
      <c r="C32" s="2187"/>
      <c r="D32" s="1177"/>
      <c r="E32" s="1177"/>
      <c r="F32" s="1177"/>
      <c r="G32" s="1177"/>
      <c r="H32" s="1177"/>
      <c r="I32" s="1177"/>
      <c r="J32" s="1177"/>
      <c r="K32" s="1177"/>
      <c r="L32" s="1177"/>
      <c r="M32" s="1177"/>
      <c r="N32" s="1177"/>
      <c r="O32" s="1177"/>
      <c r="P32" s="1177"/>
      <c r="Q32" s="1177"/>
      <c r="R32" s="1177"/>
      <c r="S32" s="1177"/>
      <c r="T32" s="1177"/>
      <c r="U32" s="1177"/>
    </row>
    <row r="33" spans="1:21" s="179" customFormat="1" ht="12.75" x14ac:dyDescent="0.2">
      <c r="A33" s="453">
        <v>5</v>
      </c>
      <c r="B33" s="453" t="s">
        <v>77</v>
      </c>
      <c r="C33" s="453"/>
      <c r="D33" s="1177"/>
      <c r="E33" s="1177"/>
      <c r="F33" s="1177"/>
      <c r="G33" s="1177"/>
      <c r="H33" s="1177"/>
      <c r="I33" s="1177"/>
      <c r="J33" s="1177"/>
      <c r="K33" s="1177"/>
      <c r="L33" s="1177"/>
      <c r="M33" s="1177"/>
      <c r="N33" s="1177"/>
      <c r="O33" s="1177"/>
      <c r="P33" s="1177"/>
      <c r="Q33" s="1177"/>
      <c r="R33" s="1177"/>
      <c r="S33" s="1177"/>
      <c r="T33" s="1177"/>
      <c r="U33" s="1177"/>
    </row>
    <row r="34" spans="1:21" s="179" customFormat="1" ht="12.75" x14ac:dyDescent="0.2">
      <c r="A34" s="1619"/>
      <c r="B34" s="1021"/>
      <c r="C34" s="1021"/>
      <c r="D34" s="1027"/>
      <c r="E34" s="1027"/>
      <c r="F34" s="1027"/>
      <c r="G34" s="1027"/>
      <c r="H34" s="1027"/>
      <c r="I34" s="1027"/>
      <c r="J34" s="1027"/>
      <c r="K34" s="1027"/>
      <c r="L34" s="1177"/>
      <c r="M34" s="1177"/>
      <c r="N34" s="1177"/>
      <c r="O34" s="1177"/>
      <c r="P34" s="1177"/>
      <c r="Q34" s="1177"/>
      <c r="R34" s="1177"/>
      <c r="S34" s="1177"/>
      <c r="T34" s="1177"/>
      <c r="U34" s="1177"/>
    </row>
    <row r="35" spans="1:21" s="179" customFormat="1" ht="12.75" x14ac:dyDescent="0.2">
      <c r="A35" s="1619"/>
      <c r="B35" s="1021"/>
      <c r="C35" s="1021"/>
      <c r="D35" s="1027"/>
      <c r="E35" s="1027"/>
      <c r="F35" s="1027"/>
      <c r="G35" s="1027"/>
      <c r="H35" s="1027"/>
      <c r="I35" s="1027"/>
      <c r="J35" s="1027"/>
      <c r="K35" s="1027"/>
      <c r="L35" s="1177"/>
      <c r="M35" s="1177"/>
      <c r="N35" s="1177"/>
      <c r="O35" s="1177"/>
      <c r="P35" s="1177"/>
      <c r="Q35" s="1177"/>
      <c r="R35" s="1177"/>
      <c r="S35" s="1177"/>
      <c r="T35" s="1177"/>
      <c r="U35" s="1177"/>
    </row>
    <row r="36" spans="1:21" s="179" customFormat="1" ht="12.75" x14ac:dyDescent="0.2">
      <c r="A36" s="1619"/>
      <c r="B36" s="1021"/>
      <c r="C36" s="1021"/>
      <c r="D36" s="1027"/>
      <c r="E36" s="1027"/>
      <c r="F36" s="1027"/>
      <c r="G36" s="1027"/>
      <c r="H36" s="1027"/>
      <c r="I36" s="1027"/>
      <c r="J36" s="1027"/>
      <c r="K36" s="1027"/>
      <c r="L36" s="1177"/>
      <c r="M36" s="1177"/>
      <c r="N36" s="1177"/>
      <c r="O36" s="1177"/>
      <c r="P36" s="1177"/>
      <c r="Q36" s="1177"/>
      <c r="R36" s="1177"/>
      <c r="S36" s="1177"/>
      <c r="T36" s="1177"/>
      <c r="U36" s="1177"/>
    </row>
    <row r="37" spans="1:21" s="179" customFormat="1" ht="12.75" x14ac:dyDescent="0.2">
      <c r="A37" s="1619"/>
      <c r="B37" s="1021"/>
      <c r="C37" s="1021"/>
      <c r="D37" s="1027"/>
      <c r="E37" s="1027"/>
      <c r="F37" s="1027"/>
      <c r="G37" s="1027"/>
      <c r="H37" s="1027"/>
      <c r="I37" s="1027"/>
      <c r="J37" s="1027"/>
      <c r="K37" s="1027"/>
      <c r="L37" s="1177"/>
      <c r="M37" s="1177"/>
      <c r="N37" s="1177"/>
      <c r="O37" s="1177"/>
      <c r="P37" s="1177"/>
      <c r="Q37" s="1177"/>
      <c r="R37" s="1177"/>
      <c r="S37" s="1177"/>
      <c r="T37" s="1177"/>
      <c r="U37" s="1177"/>
    </row>
    <row r="38" spans="1:21" s="179" customFormat="1" ht="12.75" x14ac:dyDescent="0.2">
      <c r="A38" s="1619"/>
      <c r="B38" s="1021"/>
      <c r="C38" s="1021"/>
      <c r="D38" s="1027"/>
      <c r="E38" s="1027"/>
      <c r="F38" s="1027"/>
      <c r="G38" s="1027"/>
      <c r="H38" s="1027"/>
      <c r="I38" s="1027"/>
      <c r="J38" s="1027"/>
      <c r="K38" s="1027"/>
      <c r="L38" s="1177"/>
      <c r="M38" s="1177"/>
      <c r="N38" s="1177"/>
      <c r="O38" s="1177"/>
      <c r="P38" s="1177"/>
      <c r="Q38" s="1177"/>
      <c r="R38" s="1177"/>
      <c r="S38" s="1177"/>
      <c r="T38" s="1177"/>
      <c r="U38" s="1177"/>
    </row>
    <row r="39" spans="1:21" s="179" customFormat="1" ht="12.75" x14ac:dyDescent="0.2">
      <c r="A39" s="1619"/>
      <c r="B39" s="1021"/>
      <c r="C39" s="1021"/>
      <c r="D39" s="1027"/>
      <c r="E39" s="1027"/>
      <c r="F39" s="1027"/>
      <c r="G39" s="1027"/>
      <c r="H39" s="1027"/>
      <c r="I39" s="1027"/>
      <c r="J39" s="1027"/>
      <c r="K39" s="1027"/>
      <c r="L39" s="1177"/>
      <c r="M39" s="1177"/>
      <c r="N39" s="1177"/>
      <c r="O39" s="1177"/>
      <c r="P39" s="1177"/>
      <c r="Q39" s="1177"/>
      <c r="R39" s="1177"/>
      <c r="S39" s="1177"/>
      <c r="T39" s="1177"/>
      <c r="U39" s="1177"/>
    </row>
    <row r="40" spans="1:21" s="179" customFormat="1" ht="12.75" x14ac:dyDescent="0.2">
      <c r="A40" s="1619"/>
      <c r="B40" s="1021"/>
      <c r="C40" s="1021"/>
      <c r="D40" s="1027"/>
      <c r="E40" s="1027"/>
      <c r="F40" s="1027"/>
      <c r="G40" s="1027"/>
      <c r="H40" s="1027"/>
      <c r="I40" s="1027"/>
      <c r="J40" s="1027"/>
      <c r="K40" s="1027"/>
      <c r="L40" s="1177"/>
      <c r="M40" s="1177"/>
      <c r="N40" s="1177"/>
      <c r="O40" s="1177"/>
      <c r="P40" s="1177"/>
      <c r="Q40" s="1177"/>
      <c r="R40" s="1177"/>
      <c r="S40" s="1177"/>
      <c r="T40" s="1177"/>
      <c r="U40" s="1177"/>
    </row>
    <row r="41" spans="1:21" s="179" customFormat="1" ht="12.75" x14ac:dyDescent="0.2">
      <c r="A41" s="1619"/>
      <c r="B41" s="1021"/>
      <c r="C41" s="1021"/>
      <c r="D41" s="1027"/>
      <c r="E41" s="1027"/>
      <c r="F41" s="1027"/>
      <c r="G41" s="1027"/>
      <c r="H41" s="1027"/>
      <c r="I41" s="1027"/>
      <c r="J41" s="1027"/>
      <c r="K41" s="1027"/>
      <c r="L41" s="1177"/>
      <c r="M41" s="1177"/>
      <c r="N41" s="1177"/>
      <c r="O41" s="1177"/>
      <c r="P41" s="1177"/>
      <c r="Q41" s="1177"/>
      <c r="R41" s="1177"/>
      <c r="S41" s="1177"/>
      <c r="T41" s="1177"/>
      <c r="U41" s="1177"/>
    </row>
    <row r="42" spans="1:21" s="179" customFormat="1" ht="6.75" customHeight="1" x14ac:dyDescent="0.2">
      <c r="A42" s="1619"/>
      <c r="B42" s="1021"/>
      <c r="C42" s="1021"/>
      <c r="D42" s="1027"/>
      <c r="E42" s="1027"/>
      <c r="F42" s="1027"/>
      <c r="G42" s="1027"/>
      <c r="H42" s="1027"/>
      <c r="I42" s="1027"/>
      <c r="J42" s="1027"/>
      <c r="K42" s="1027"/>
      <c r="L42" s="1177"/>
      <c r="M42" s="1177"/>
      <c r="N42" s="1177"/>
      <c r="O42" s="1177"/>
      <c r="P42" s="1177"/>
      <c r="Q42" s="1177"/>
      <c r="R42" s="1177"/>
      <c r="S42" s="1177"/>
      <c r="T42" s="1177"/>
      <c r="U42" s="1177"/>
    </row>
    <row r="43" spans="1:21" s="179" customFormat="1" ht="12.75" hidden="1" x14ac:dyDescent="0.2">
      <c r="A43" s="1619"/>
      <c r="B43" s="1021"/>
      <c r="C43" s="1021"/>
      <c r="D43" s="1027"/>
      <c r="E43" s="1027"/>
      <c r="F43" s="1027"/>
      <c r="G43" s="1027"/>
      <c r="H43" s="1027"/>
      <c r="I43" s="1027"/>
      <c r="J43" s="1027"/>
      <c r="K43" s="1027"/>
      <c r="L43" s="1177"/>
      <c r="M43" s="1177"/>
      <c r="N43" s="1177"/>
      <c r="O43" s="1177"/>
      <c r="P43" s="1177"/>
      <c r="Q43" s="1177"/>
      <c r="R43" s="1177"/>
      <c r="S43" s="1177"/>
      <c r="T43" s="1177"/>
      <c r="U43" s="1177"/>
    </row>
    <row r="44" spans="1:21" s="179" customFormat="1" ht="13.5" customHeight="1" x14ac:dyDescent="0.2">
      <c r="A44" s="1619"/>
      <c r="B44" s="1021"/>
      <c r="C44" s="1021"/>
      <c r="D44" s="1027"/>
      <c r="E44" s="1027"/>
      <c r="F44" s="1027"/>
      <c r="G44" s="1027"/>
      <c r="H44" s="1027"/>
      <c r="I44" s="1027"/>
      <c r="J44" s="1027"/>
      <c r="K44" s="1027"/>
      <c r="L44" s="1177"/>
      <c r="M44" s="1177"/>
      <c r="N44" s="1177"/>
      <c r="O44" s="1177"/>
      <c r="P44" s="1177"/>
      <c r="Q44" s="1177"/>
      <c r="R44" s="1177"/>
      <c r="S44" s="1177"/>
      <c r="T44" s="1177"/>
      <c r="U44" s="1177"/>
    </row>
    <row r="45" spans="1:21" s="179" customFormat="1" ht="13.5" customHeight="1" x14ac:dyDescent="0.2">
      <c r="A45" s="1619"/>
      <c r="B45" s="1021"/>
      <c r="C45" s="1021"/>
      <c r="D45" s="1027"/>
      <c r="E45" s="1027"/>
      <c r="F45" s="1027"/>
      <c r="G45" s="1027"/>
      <c r="H45" s="1027"/>
      <c r="I45" s="1027"/>
      <c r="J45" s="1027"/>
      <c r="K45" s="1027"/>
      <c r="L45" s="1177"/>
      <c r="M45" s="1177"/>
      <c r="N45" s="1177"/>
      <c r="O45" s="1177"/>
      <c r="P45" s="1177"/>
      <c r="Q45" s="1177"/>
      <c r="R45" s="1177"/>
      <c r="S45" s="1177"/>
      <c r="T45" s="1177"/>
      <c r="U45" s="1177"/>
    </row>
    <row r="46" spans="1:21" s="179" customFormat="1" ht="13.5" customHeight="1" x14ac:dyDescent="0.2">
      <c r="A46" s="1619"/>
      <c r="B46" s="1021"/>
      <c r="C46" s="1021"/>
      <c r="D46" s="1027"/>
      <c r="E46" s="1027"/>
      <c r="F46" s="1027"/>
      <c r="G46" s="1027"/>
      <c r="H46" s="1027"/>
      <c r="I46" s="1027"/>
      <c r="J46" s="1027"/>
      <c r="K46" s="1027"/>
      <c r="L46" s="1177"/>
      <c r="M46" s="1177"/>
      <c r="N46" s="1177"/>
      <c r="O46" s="1177"/>
      <c r="P46" s="1177"/>
      <c r="Q46" s="1177"/>
      <c r="R46" s="1177"/>
      <c r="S46" s="1177"/>
      <c r="T46" s="1177"/>
      <c r="U46" s="1177"/>
    </row>
    <row r="47" spans="1:21" s="179" customFormat="1" ht="13.5" customHeight="1" x14ac:dyDescent="0.2">
      <c r="A47" s="1619"/>
      <c r="B47" s="1021"/>
      <c r="C47" s="1021"/>
      <c r="D47" s="1027"/>
      <c r="E47" s="1027"/>
      <c r="F47" s="1027"/>
      <c r="G47" s="1027"/>
      <c r="H47" s="1027"/>
      <c r="I47" s="1027"/>
      <c r="J47" s="1027"/>
      <c r="K47" s="1027"/>
      <c r="L47" s="1177"/>
      <c r="M47" s="1177"/>
      <c r="N47" s="1177"/>
      <c r="O47" s="1177"/>
      <c r="P47" s="1177"/>
      <c r="Q47" s="1177"/>
      <c r="R47" s="1177"/>
      <c r="S47" s="1177"/>
      <c r="T47" s="1177"/>
      <c r="U47" s="1177"/>
    </row>
    <row r="48" spans="1:21" s="179" customFormat="1" ht="12.75" x14ac:dyDescent="0.2">
      <c r="A48" s="1619"/>
      <c r="B48" s="1021"/>
      <c r="C48" s="1021"/>
      <c r="D48" s="1027"/>
      <c r="E48" s="1027"/>
      <c r="F48" s="1027"/>
      <c r="G48" s="1027"/>
      <c r="H48" s="1027"/>
      <c r="I48" s="1027"/>
      <c r="J48" s="1027"/>
      <c r="K48" s="1027"/>
      <c r="L48" s="1177"/>
      <c r="M48" s="1177"/>
      <c r="N48" s="1177"/>
      <c r="O48" s="1177"/>
      <c r="P48" s="1177"/>
      <c r="Q48" s="1177"/>
      <c r="R48" s="1177"/>
      <c r="S48" s="1177"/>
      <c r="T48" s="1177"/>
      <c r="U48" s="1177"/>
    </row>
    <row r="49" spans="1:22" s="179" customFormat="1" ht="12.75" x14ac:dyDescent="0.2">
      <c r="A49" s="1619"/>
      <c r="B49" s="1021"/>
      <c r="C49" s="1021"/>
      <c r="D49" s="1027"/>
      <c r="E49" s="1027"/>
      <c r="F49" s="1027"/>
      <c r="G49" s="1027"/>
      <c r="H49" s="1027"/>
      <c r="I49" s="1027"/>
      <c r="J49" s="1027"/>
      <c r="K49" s="1027"/>
      <c r="L49" s="1177"/>
      <c r="M49" s="1177"/>
      <c r="N49" s="1177"/>
      <c r="O49" s="1177"/>
      <c r="P49" s="1177"/>
      <c r="Q49" s="1177"/>
      <c r="R49" s="1177"/>
      <c r="S49" s="1177"/>
      <c r="T49" s="1177"/>
      <c r="U49" s="1177"/>
    </row>
    <row r="50" spans="1:22" s="179" customFormat="1" ht="12.75" x14ac:dyDescent="0.2">
      <c r="A50" s="1619"/>
      <c r="B50" s="1021"/>
      <c r="C50" s="1021"/>
      <c r="D50" s="1027"/>
      <c r="E50" s="1027"/>
      <c r="F50" s="1027"/>
      <c r="G50" s="1027"/>
      <c r="H50" s="1027"/>
      <c r="I50" s="1027"/>
      <c r="J50" s="1027"/>
      <c r="K50" s="1027"/>
      <c r="L50" s="1177"/>
      <c r="M50" s="1177"/>
      <c r="N50" s="1177"/>
      <c r="O50" s="1177"/>
      <c r="P50" s="1177"/>
      <c r="Q50" s="1177"/>
      <c r="R50" s="1177"/>
      <c r="S50" s="1177"/>
      <c r="T50" s="1177"/>
      <c r="U50" s="1177"/>
    </row>
    <row r="51" spans="1:22" s="179" customFormat="1" ht="12.75" x14ac:dyDescent="0.2">
      <c r="A51" s="1619"/>
      <c r="B51" s="1021"/>
      <c r="C51" s="1021"/>
      <c r="D51" s="1027"/>
      <c r="E51" s="1027"/>
      <c r="F51" s="1027"/>
      <c r="G51" s="1027"/>
      <c r="H51" s="1027"/>
      <c r="I51" s="1027"/>
      <c r="J51" s="1027"/>
      <c r="K51" s="1027"/>
      <c r="L51" s="1177"/>
      <c r="M51" s="1177"/>
      <c r="N51" s="1177"/>
      <c r="O51" s="1177"/>
      <c r="P51" s="1177"/>
      <c r="Q51" s="1177"/>
      <c r="R51" s="1177"/>
      <c r="S51" s="1177"/>
      <c r="T51" s="1177"/>
      <c r="U51" s="1177"/>
    </row>
    <row r="52" spans="1:22" s="179" customFormat="1" ht="12.75" x14ac:dyDescent="0.2">
      <c r="A52" s="1619"/>
      <c r="B52" s="1021"/>
      <c r="C52" s="1021"/>
      <c r="D52" s="1027"/>
      <c r="E52" s="1027"/>
      <c r="F52" s="1027"/>
      <c r="G52" s="1027"/>
      <c r="H52" s="1027"/>
      <c r="I52" s="1027"/>
      <c r="J52" s="1027"/>
      <c r="K52" s="1027"/>
      <c r="L52" s="1177"/>
      <c r="M52" s="1177"/>
      <c r="N52" s="1177"/>
      <c r="O52" s="1177"/>
      <c r="P52" s="1177"/>
      <c r="Q52" s="1177"/>
      <c r="R52" s="1177"/>
      <c r="S52" s="1177"/>
      <c r="T52" s="1177"/>
      <c r="U52" s="1177"/>
    </row>
    <row r="53" spans="1:22" s="179" customFormat="1" ht="12.75" x14ac:dyDescent="0.2">
      <c r="A53" s="1619"/>
      <c r="B53" s="1021"/>
      <c r="C53" s="1021"/>
      <c r="D53" s="1027"/>
      <c r="E53" s="1027"/>
      <c r="F53" s="1027"/>
      <c r="G53" s="1027"/>
      <c r="H53" s="1027"/>
      <c r="I53" s="1027"/>
      <c r="J53" s="1027"/>
      <c r="K53" s="1027"/>
      <c r="L53" s="1177"/>
      <c r="M53" s="1177"/>
      <c r="N53" s="1177"/>
      <c r="O53" s="1177"/>
      <c r="P53" s="1177"/>
      <c r="Q53" s="1177"/>
      <c r="R53" s="1177"/>
      <c r="S53" s="1177"/>
      <c r="T53" s="1177"/>
      <c r="U53" s="1177"/>
    </row>
    <row r="54" spans="1:22" s="179" customFormat="1" ht="12.75" x14ac:dyDescent="0.2">
      <c r="A54" s="1619"/>
      <c r="B54" s="1021"/>
      <c r="C54" s="1021"/>
      <c r="D54" s="1027"/>
      <c r="E54" s="1027"/>
      <c r="F54" s="1027"/>
      <c r="G54" s="1027"/>
      <c r="H54" s="1027"/>
      <c r="I54" s="1027"/>
      <c r="J54" s="1027"/>
      <c r="K54" s="1027"/>
      <c r="L54" s="1177"/>
      <c r="M54" s="1177"/>
      <c r="N54" s="1177"/>
      <c r="O54" s="1177"/>
      <c r="P54" s="1177"/>
      <c r="Q54" s="1177"/>
      <c r="R54" s="1177"/>
      <c r="S54" s="1177"/>
      <c r="T54" s="1177"/>
      <c r="U54" s="1177"/>
    </row>
    <row r="55" spans="1:22" s="179" customFormat="1" ht="12.75" x14ac:dyDescent="0.2">
      <c r="A55" s="1619"/>
      <c r="B55" s="1021"/>
      <c r="C55" s="1021"/>
      <c r="D55" s="1027"/>
      <c r="E55" s="1027"/>
      <c r="F55" s="1027"/>
      <c r="G55" s="1027"/>
      <c r="H55" s="1027"/>
      <c r="I55" s="1027"/>
      <c r="J55" s="1027"/>
      <c r="K55" s="1027"/>
      <c r="L55" s="1177"/>
      <c r="M55" s="1177"/>
      <c r="N55" s="1177"/>
      <c r="O55" s="1177"/>
      <c r="P55" s="1177"/>
      <c r="Q55" s="1177"/>
      <c r="R55" s="1177"/>
      <c r="S55" s="1177"/>
      <c r="T55" s="1177"/>
      <c r="U55" s="1177"/>
    </row>
    <row r="56" spans="1:22" s="179" customFormat="1" ht="12.75" x14ac:dyDescent="0.2">
      <c r="A56" s="1619"/>
      <c r="B56" s="1021"/>
      <c r="C56" s="1021"/>
      <c r="D56" s="1027"/>
      <c r="E56" s="1027"/>
      <c r="F56" s="1027"/>
      <c r="G56" s="1027"/>
      <c r="H56" s="1027"/>
      <c r="I56" s="1027"/>
      <c r="J56" s="1027"/>
      <c r="K56" s="1027"/>
      <c r="L56" s="1177"/>
      <c r="M56" s="1177"/>
      <c r="N56" s="1177"/>
      <c r="O56" s="1177"/>
      <c r="P56" s="1177"/>
      <c r="Q56" s="1177"/>
      <c r="R56" s="1177"/>
      <c r="S56" s="1177"/>
      <c r="T56" s="1177"/>
      <c r="U56" s="1177"/>
    </row>
    <row r="57" spans="1:22" x14ac:dyDescent="0.25">
      <c r="A57" s="453">
        <v>6</v>
      </c>
      <c r="B57" s="453" t="s">
        <v>78</v>
      </c>
      <c r="C57" s="453"/>
      <c r="D57" s="3553" t="s">
        <v>589</v>
      </c>
      <c r="E57" s="3554"/>
      <c r="F57" s="3554"/>
      <c r="G57" s="3554"/>
      <c r="H57" s="3554"/>
      <c r="I57" s="3554"/>
      <c r="J57" s="3554"/>
      <c r="K57" s="3554"/>
      <c r="L57" s="3554"/>
      <c r="M57" s="3554"/>
      <c r="N57" s="3554"/>
      <c r="O57" s="3554"/>
      <c r="P57" s="3554"/>
      <c r="Q57" s="3554"/>
      <c r="R57" s="3554"/>
      <c r="S57" s="3554"/>
      <c r="T57" s="3554"/>
      <c r="U57" s="3554"/>
      <c r="V57" s="3555"/>
    </row>
    <row r="58" spans="1:22" ht="55.15" customHeight="1" x14ac:dyDescent="0.25">
      <c r="A58" s="472">
        <v>7</v>
      </c>
      <c r="B58" s="472" t="s">
        <v>80</v>
      </c>
      <c r="C58" s="472"/>
      <c r="D58" s="3568" t="s">
        <v>887</v>
      </c>
      <c r="E58" s="3569"/>
      <c r="F58" s="3569"/>
      <c r="G58" s="3569"/>
      <c r="H58" s="3569"/>
      <c r="I58" s="3569"/>
      <c r="J58" s="3569"/>
      <c r="K58" s="3569"/>
      <c r="L58" s="3569"/>
      <c r="M58" s="3569"/>
      <c r="N58" s="3569"/>
      <c r="O58" s="3569"/>
      <c r="P58" s="3569"/>
      <c r="Q58" s="3569"/>
      <c r="R58" s="3569"/>
      <c r="S58" s="3569"/>
      <c r="T58" s="3569"/>
      <c r="U58" s="3569"/>
      <c r="V58" s="3570"/>
    </row>
    <row r="59" spans="1:22" ht="43.9" customHeight="1" x14ac:dyDescent="0.25">
      <c r="A59" s="453">
        <v>8</v>
      </c>
      <c r="B59" s="453" t="s">
        <v>20</v>
      </c>
      <c r="C59" s="453"/>
      <c r="D59" s="3568" t="s">
        <v>886</v>
      </c>
      <c r="E59" s="3569"/>
      <c r="F59" s="3569"/>
      <c r="G59" s="3569"/>
      <c r="H59" s="3569"/>
      <c r="I59" s="3569"/>
      <c r="J59" s="3569"/>
      <c r="K59" s="3569"/>
      <c r="L59" s="3569"/>
      <c r="M59" s="3569"/>
      <c r="N59" s="3569"/>
      <c r="O59" s="3569"/>
      <c r="P59" s="3569"/>
      <c r="Q59" s="3569"/>
      <c r="R59" s="3569"/>
      <c r="S59" s="3569"/>
      <c r="T59" s="3569"/>
      <c r="U59" s="3569"/>
      <c r="V59" s="3570"/>
    </row>
    <row r="60" spans="1:22" ht="27" customHeight="1" x14ac:dyDescent="0.25">
      <c r="A60" s="453">
        <v>9</v>
      </c>
      <c r="B60" s="453" t="s">
        <v>83</v>
      </c>
      <c r="C60" s="453"/>
      <c r="D60" s="3568" t="s">
        <v>885</v>
      </c>
      <c r="E60" s="3569"/>
      <c r="F60" s="3569"/>
      <c r="G60" s="3569"/>
      <c r="H60" s="3569"/>
      <c r="I60" s="3569"/>
      <c r="J60" s="3569"/>
      <c r="K60" s="3569"/>
      <c r="L60" s="3569"/>
      <c r="M60" s="3569"/>
      <c r="N60" s="3569"/>
      <c r="O60" s="3569"/>
      <c r="P60" s="3569"/>
      <c r="Q60" s="3569"/>
      <c r="R60" s="3569"/>
      <c r="S60" s="3569"/>
      <c r="T60" s="3569"/>
      <c r="U60" s="3569"/>
      <c r="V60" s="3570"/>
    </row>
    <row r="62" spans="1:22" x14ac:dyDescent="0.25">
      <c r="D62" s="229" t="s">
        <v>884</v>
      </c>
    </row>
    <row r="63" spans="1:22" x14ac:dyDescent="0.25">
      <c r="D63" s="229" t="s">
        <v>883</v>
      </c>
    </row>
    <row r="64" spans="1:22" x14ac:dyDescent="0.25">
      <c r="D64" s="2188" t="s">
        <v>882</v>
      </c>
    </row>
    <row r="65" spans="5:18" x14ac:dyDescent="0.25">
      <c r="E65" s="3828"/>
      <c r="F65" s="3828"/>
      <c r="G65" s="3828"/>
      <c r="H65" s="3828"/>
      <c r="I65" s="3828"/>
      <c r="J65" s="3828"/>
      <c r="K65" s="3828"/>
      <c r="L65" s="3828"/>
      <c r="M65" s="3828"/>
      <c r="N65" s="3828"/>
      <c r="O65" s="3828"/>
      <c r="P65" s="3828"/>
      <c r="Q65" s="3828"/>
      <c r="R65" s="3828"/>
    </row>
    <row r="68" spans="5:18" x14ac:dyDescent="0.25">
      <c r="E68" s="3829" t="s">
        <v>881</v>
      </c>
      <c r="F68" s="3829"/>
      <c r="G68" s="3829"/>
      <c r="H68" s="3829"/>
      <c r="I68" s="3829"/>
      <c r="J68" s="3829"/>
      <c r="K68" s="3829"/>
      <c r="L68" s="3829"/>
      <c r="M68" s="3829"/>
      <c r="N68" s="3829"/>
      <c r="O68" s="3829"/>
      <c r="P68" s="3829"/>
      <c r="Q68" s="3829"/>
    </row>
    <row r="69" spans="5:18" x14ac:dyDescent="0.25">
      <c r="E69" s="2189" t="s">
        <v>880</v>
      </c>
      <c r="F69" s="2190" t="s">
        <v>515</v>
      </c>
      <c r="G69" s="2189">
        <v>2001</v>
      </c>
      <c r="H69" s="2189">
        <v>2002</v>
      </c>
      <c r="I69" s="2189">
        <v>2003</v>
      </c>
      <c r="J69" s="2189">
        <v>2004</v>
      </c>
      <c r="K69" s="2189">
        <v>2005</v>
      </c>
      <c r="L69" s="2189">
        <v>2006</v>
      </c>
      <c r="M69" s="2189">
        <v>2007</v>
      </c>
      <c r="N69" s="2189">
        <v>2008</v>
      </c>
      <c r="O69" s="2189">
        <v>2009</v>
      </c>
      <c r="P69" s="2189">
        <v>2010</v>
      </c>
      <c r="Q69" s="2189">
        <v>2011</v>
      </c>
    </row>
    <row r="70" spans="5:18" x14ac:dyDescent="0.25">
      <c r="E70" s="2191" t="s">
        <v>879</v>
      </c>
      <c r="F70" s="2192" t="s">
        <v>10</v>
      </c>
      <c r="G70" s="2193">
        <v>9.0887862267387778</v>
      </c>
      <c r="H70" s="2193">
        <v>9.5537067672578004</v>
      </c>
      <c r="I70" s="2193">
        <v>10.084104919276143</v>
      </c>
      <c r="J70" s="2193">
        <v>10.589418721919325</v>
      </c>
      <c r="K70" s="2193">
        <v>12.824698611085125</v>
      </c>
      <c r="L70" s="2193">
        <v>10.346103605544799</v>
      </c>
      <c r="M70" s="2193">
        <v>10.774245694076329</v>
      </c>
      <c r="N70" s="2194">
        <v>11.3</v>
      </c>
      <c r="O70" s="2193">
        <v>11.326199804113614</v>
      </c>
      <c r="P70" s="2194">
        <v>11.8</v>
      </c>
      <c r="Q70" s="2193">
        <v>12.914982478598755</v>
      </c>
    </row>
    <row r="71" spans="5:18" x14ac:dyDescent="0.25">
      <c r="E71" s="2194"/>
      <c r="F71" s="2192" t="s">
        <v>11</v>
      </c>
      <c r="G71" s="2193">
        <v>11.338603310477355</v>
      </c>
      <c r="H71" s="2193">
        <v>11.834189063992847</v>
      </c>
      <c r="I71" s="2193">
        <v>12.174987592580971</v>
      </c>
      <c r="J71" s="2193">
        <v>13.007586050429373</v>
      </c>
      <c r="K71" s="2193">
        <v>12.879366363505879</v>
      </c>
      <c r="L71" s="2193">
        <v>13.007016232822686</v>
      </c>
      <c r="M71" s="2193">
        <v>13.7780406906457</v>
      </c>
      <c r="N71" s="2194">
        <v>14.6</v>
      </c>
      <c r="O71" s="2193">
        <v>15.298278696451021</v>
      </c>
      <c r="P71" s="2194">
        <v>16.5</v>
      </c>
      <c r="Q71" s="2193">
        <v>18.395005150165261</v>
      </c>
    </row>
    <row r="72" spans="5:18" x14ac:dyDescent="0.25">
      <c r="E72" s="2191" t="s">
        <v>878</v>
      </c>
      <c r="F72" s="2192" t="s">
        <v>10</v>
      </c>
      <c r="G72" s="2193">
        <v>8.2943631389015788</v>
      </c>
      <c r="H72" s="2193">
        <v>9.2974673750451338</v>
      </c>
      <c r="I72" s="2193">
        <v>10.248450429311545</v>
      </c>
      <c r="J72" s="2193">
        <v>11.014115411467657</v>
      </c>
      <c r="K72" s="2193">
        <v>10.871334632767152</v>
      </c>
      <c r="L72" s="2193">
        <v>11.201185069427488</v>
      </c>
      <c r="M72" s="2193">
        <v>11.229542731137727</v>
      </c>
      <c r="N72" s="2194">
        <v>11.2</v>
      </c>
      <c r="O72" s="2193">
        <v>11.567539267015707</v>
      </c>
      <c r="P72" s="2194">
        <v>12.4</v>
      </c>
      <c r="Q72" s="2193">
        <v>12.043883640618025</v>
      </c>
    </row>
    <row r="73" spans="5:18" x14ac:dyDescent="0.25">
      <c r="E73" s="2194"/>
      <c r="F73" s="2192" t="s">
        <v>11</v>
      </c>
      <c r="G73" s="2193">
        <v>8.6992598324187291</v>
      </c>
      <c r="H73" s="2193">
        <v>10.402172242430453</v>
      </c>
      <c r="I73" s="2193">
        <v>11.897888251364709</v>
      </c>
      <c r="J73" s="2193">
        <v>13.132031654540793</v>
      </c>
      <c r="K73" s="2193">
        <v>13.89104081294645</v>
      </c>
      <c r="L73" s="2193">
        <v>15.107286375009476</v>
      </c>
      <c r="M73" s="2193">
        <v>15.592070402761921</v>
      </c>
      <c r="N73" s="2194">
        <v>15.8</v>
      </c>
      <c r="O73" s="2193">
        <v>17.038719669592155</v>
      </c>
      <c r="P73" s="2194">
        <v>18.5</v>
      </c>
      <c r="Q73" s="2193">
        <v>18.424651196265717</v>
      </c>
    </row>
    <row r="74" spans="5:18" x14ac:dyDescent="0.25">
      <c r="E74" s="2191" t="s">
        <v>530</v>
      </c>
      <c r="F74" s="2192" t="s">
        <v>10</v>
      </c>
      <c r="G74" s="2193">
        <v>40.19575282786645</v>
      </c>
      <c r="H74" s="2193">
        <v>42.837075949123516</v>
      </c>
      <c r="I74" s="2193">
        <v>45.019269834640141</v>
      </c>
      <c r="J74" s="2193">
        <v>46.209223847019118</v>
      </c>
      <c r="K74" s="2193">
        <v>45.129677658391998</v>
      </c>
      <c r="L74" s="2193">
        <v>44.09094264412785</v>
      </c>
      <c r="M74" s="2193">
        <v>42.339750682304341</v>
      </c>
      <c r="N74" s="2194">
        <v>37.9</v>
      </c>
      <c r="O74" s="2193">
        <v>37.381967213114756</v>
      </c>
      <c r="P74" s="2194">
        <v>37.4</v>
      </c>
      <c r="Q74" s="2193">
        <v>39.846729764090973</v>
      </c>
    </row>
    <row r="75" spans="5:18" x14ac:dyDescent="0.25">
      <c r="E75" s="2194"/>
      <c r="F75" s="2192" t="s">
        <v>11</v>
      </c>
      <c r="G75" s="2193">
        <v>44.285520475996663</v>
      </c>
      <c r="H75" s="2193">
        <v>48.65846895259223</v>
      </c>
      <c r="I75" s="2193">
        <v>52.831829957829846</v>
      </c>
      <c r="J75" s="2193">
        <v>55.549105888961705</v>
      </c>
      <c r="K75" s="2193">
        <v>56.143281365998511</v>
      </c>
      <c r="L75" s="2193">
        <v>57.238179734575432</v>
      </c>
      <c r="M75" s="2193">
        <v>54.69949793266391</v>
      </c>
      <c r="N75" s="2194">
        <v>51.8</v>
      </c>
      <c r="O75" s="2193">
        <v>52.784246575342465</v>
      </c>
      <c r="P75" s="2194">
        <v>54.2</v>
      </c>
      <c r="Q75" s="2193">
        <v>56.944370602725648</v>
      </c>
    </row>
    <row r="76" spans="5:18" x14ac:dyDescent="0.25">
      <c r="E76" s="2191" t="s">
        <v>529</v>
      </c>
      <c r="F76" s="2192" t="s">
        <v>10</v>
      </c>
      <c r="G76" s="2193">
        <v>57.908031965325748</v>
      </c>
      <c r="H76" s="2193">
        <v>59.901400253346573</v>
      </c>
      <c r="I76" s="2193">
        <v>61.067346255542724</v>
      </c>
      <c r="J76" s="2193">
        <v>60.723072992995142</v>
      </c>
      <c r="K76" s="2193">
        <v>57.534477942561665</v>
      </c>
      <c r="L76" s="2193">
        <v>55.354556302124216</v>
      </c>
      <c r="M76" s="2193">
        <v>52.997477931904157</v>
      </c>
      <c r="N76" s="2194">
        <v>51.6</v>
      </c>
      <c r="O76" s="2193">
        <v>53.057271557271555</v>
      </c>
      <c r="P76" s="2194">
        <v>52.1</v>
      </c>
      <c r="Q76" s="2193">
        <v>51.315722663687836</v>
      </c>
    </row>
    <row r="77" spans="5:18" x14ac:dyDescent="0.25">
      <c r="E77" s="2194"/>
      <c r="F77" s="2192" t="s">
        <v>11</v>
      </c>
      <c r="G77" s="2193">
        <v>59.878931474392772</v>
      </c>
      <c r="H77" s="2193">
        <v>63.53849770451906</v>
      </c>
      <c r="I77" s="2193">
        <v>66.009421357832537</v>
      </c>
      <c r="J77" s="2193">
        <v>66.562675527343345</v>
      </c>
      <c r="K77" s="2193">
        <v>63.630536168654054</v>
      </c>
      <c r="L77" s="2193">
        <v>63.042106618593877</v>
      </c>
      <c r="M77" s="2193">
        <v>61.478566964684276</v>
      </c>
      <c r="N77" s="2194">
        <v>61.5</v>
      </c>
      <c r="O77" s="2193">
        <v>64.005291005291014</v>
      </c>
      <c r="P77" s="2194">
        <v>62.8</v>
      </c>
      <c r="Q77" s="2193">
        <v>63.667669411019631</v>
      </c>
    </row>
    <row r="78" spans="5:18" x14ac:dyDescent="0.25">
      <c r="E78" s="2194" t="s">
        <v>261</v>
      </c>
      <c r="F78" s="2192" t="s">
        <v>10</v>
      </c>
      <c r="G78" s="2193">
        <v>12.999059987642484</v>
      </c>
      <c r="H78" s="2193">
        <v>13.572086253944285</v>
      </c>
      <c r="I78" s="2193">
        <v>14.181559461290757</v>
      </c>
      <c r="J78" s="2193">
        <v>14.691559070993756</v>
      </c>
      <c r="K78" s="2193">
        <v>14.405550555275473</v>
      </c>
      <c r="L78" s="2193">
        <v>14.260220670722742</v>
      </c>
      <c r="M78" s="2193">
        <v>14.434189640492542</v>
      </c>
      <c r="N78" s="2194">
        <v>14.7</v>
      </c>
      <c r="O78" s="2193">
        <v>14.641504041806156</v>
      </c>
      <c r="P78" s="2193">
        <v>15</v>
      </c>
      <c r="Q78" s="2193">
        <v>15.923005217334794</v>
      </c>
    </row>
    <row r="79" spans="5:18" x14ac:dyDescent="0.25">
      <c r="E79" s="2194"/>
      <c r="F79" s="2192" t="s">
        <v>11</v>
      </c>
      <c r="G79" s="2193">
        <v>15.119784422184605</v>
      </c>
      <c r="H79" s="2193">
        <v>15.922705845018109</v>
      </c>
      <c r="I79" s="2193">
        <v>16.564696337941488</v>
      </c>
      <c r="J79" s="2193">
        <v>17.467824797874005</v>
      </c>
      <c r="K79" s="2193">
        <v>17.36220034400398</v>
      </c>
      <c r="L79" s="2193">
        <v>17.609352407640063</v>
      </c>
      <c r="M79" s="2193">
        <v>18.137335912854869</v>
      </c>
      <c r="N79" s="2194">
        <v>18.600000000000001</v>
      </c>
      <c r="O79" s="2193">
        <v>19.300222536920899</v>
      </c>
      <c r="P79" s="2194">
        <v>20.399999999999999</v>
      </c>
      <c r="Q79" s="2193">
        <v>22.103847210659492</v>
      </c>
    </row>
    <row r="80" spans="5:18" x14ac:dyDescent="0.25">
      <c r="E80" s="2195"/>
      <c r="F80" s="2196" t="s">
        <v>877</v>
      </c>
      <c r="G80" s="2197">
        <v>14.061640800114954</v>
      </c>
      <c r="H80" s="2197">
        <v>14.744350332740257</v>
      </c>
      <c r="I80" s="2197">
        <v>15.369754107470923</v>
      </c>
      <c r="J80" s="2197">
        <v>16.076355118068069</v>
      </c>
      <c r="K80" s="2197">
        <v>15.881053861456643</v>
      </c>
      <c r="L80" s="2197">
        <v>15.93055175044184</v>
      </c>
      <c r="M80" s="2197">
        <v>16.279494084605858</v>
      </c>
      <c r="N80" s="2195">
        <v>16.7</v>
      </c>
      <c r="O80" s="2197">
        <v>16.981324554451422</v>
      </c>
      <c r="P80" s="2195">
        <v>17.7</v>
      </c>
      <c r="Q80" s="2197">
        <v>18.99854602964059</v>
      </c>
    </row>
  </sheetData>
  <mergeCells count="9">
    <mergeCell ref="E65:R65"/>
    <mergeCell ref="E68:Q68"/>
    <mergeCell ref="D59:V59"/>
    <mergeCell ref="D60:V60"/>
    <mergeCell ref="D2:V2"/>
    <mergeCell ref="D3:V3"/>
    <mergeCell ref="D4:V4"/>
    <mergeCell ref="D57:V57"/>
    <mergeCell ref="D58:V58"/>
  </mergeCells>
  <pageMargins left="0.74803149606299213" right="0.74803149606299213" top="0.98425196850393704" bottom="0.98425196850393704" header="0.51181102362204722" footer="0.51181102362204722"/>
  <pageSetup paperSize="9" scale="5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60"/>
  <sheetViews>
    <sheetView showGridLines="0" view="pageBreakPreview" topLeftCell="I1" zoomScaleNormal="100" zoomScaleSheetLayoutView="100" workbookViewId="0">
      <selection activeCell="R21" sqref="R21"/>
    </sheetView>
  </sheetViews>
  <sheetFormatPr defaultColWidth="9.140625" defaultRowHeight="15" x14ac:dyDescent="0.2"/>
  <cols>
    <col min="1" max="1" width="3.7109375" style="2126" customWidth="1"/>
    <col min="2" max="2" width="14.42578125" style="866" customWidth="1"/>
    <col min="3" max="3" width="3.7109375" style="866" customWidth="1"/>
    <col min="4" max="4" width="22.7109375" style="865" customWidth="1"/>
    <col min="5" max="24" width="7.28515625" style="865" customWidth="1"/>
    <col min="25" max="25" width="7.5703125" style="865" bestFit="1" customWidth="1"/>
    <col min="26" max="26" width="10.85546875" style="865" bestFit="1" customWidth="1"/>
    <col min="27" max="257" width="9.140625" style="865"/>
    <col min="258" max="258" width="3.7109375" style="865" customWidth="1"/>
    <col min="259" max="259" width="14.42578125" style="865" customWidth="1"/>
    <col min="260" max="260" width="3.7109375" style="865" customWidth="1"/>
    <col min="261" max="261" width="22.7109375" style="865" customWidth="1"/>
    <col min="262" max="279" width="7.28515625" style="865" customWidth="1"/>
    <col min="280" max="513" width="9.140625" style="865"/>
    <col min="514" max="514" width="3.7109375" style="865" customWidth="1"/>
    <col min="515" max="515" width="14.42578125" style="865" customWidth="1"/>
    <col min="516" max="516" width="3.7109375" style="865" customWidth="1"/>
    <col min="517" max="517" width="22.7109375" style="865" customWidth="1"/>
    <col min="518" max="535" width="7.28515625" style="865" customWidth="1"/>
    <col min="536" max="769" width="9.140625" style="865"/>
    <col min="770" max="770" width="3.7109375" style="865" customWidth="1"/>
    <col min="771" max="771" width="14.42578125" style="865" customWidth="1"/>
    <col min="772" max="772" width="3.7109375" style="865" customWidth="1"/>
    <col min="773" max="773" width="22.7109375" style="865" customWidth="1"/>
    <col min="774" max="791" width="7.28515625" style="865" customWidth="1"/>
    <col min="792" max="1025" width="9.140625" style="865"/>
    <col min="1026" max="1026" width="3.7109375" style="865" customWidth="1"/>
    <col min="1027" max="1027" width="14.42578125" style="865" customWidth="1"/>
    <col min="1028" max="1028" width="3.7109375" style="865" customWidth="1"/>
    <col min="1029" max="1029" width="22.7109375" style="865" customWidth="1"/>
    <col min="1030" max="1047" width="7.28515625" style="865" customWidth="1"/>
    <col min="1048" max="1281" width="9.140625" style="865"/>
    <col min="1282" max="1282" width="3.7109375" style="865" customWidth="1"/>
    <col min="1283" max="1283" width="14.42578125" style="865" customWidth="1"/>
    <col min="1284" max="1284" width="3.7109375" style="865" customWidth="1"/>
    <col min="1285" max="1285" width="22.7109375" style="865" customWidth="1"/>
    <col min="1286" max="1303" width="7.28515625" style="865" customWidth="1"/>
    <col min="1304" max="1537" width="9.140625" style="865"/>
    <col min="1538" max="1538" width="3.7109375" style="865" customWidth="1"/>
    <col min="1539" max="1539" width="14.42578125" style="865" customWidth="1"/>
    <col min="1540" max="1540" width="3.7109375" style="865" customWidth="1"/>
    <col min="1541" max="1541" width="22.7109375" style="865" customWidth="1"/>
    <col min="1542" max="1559" width="7.28515625" style="865" customWidth="1"/>
    <col min="1560" max="1793" width="9.140625" style="865"/>
    <col min="1794" max="1794" width="3.7109375" style="865" customWidth="1"/>
    <col min="1795" max="1795" width="14.42578125" style="865" customWidth="1"/>
    <col min="1796" max="1796" width="3.7109375" style="865" customWidth="1"/>
    <col min="1797" max="1797" width="22.7109375" style="865" customWidth="1"/>
    <col min="1798" max="1815" width="7.28515625" style="865" customWidth="1"/>
    <col min="1816" max="2049" width="9.140625" style="865"/>
    <col min="2050" max="2050" width="3.7109375" style="865" customWidth="1"/>
    <col min="2051" max="2051" width="14.42578125" style="865" customWidth="1"/>
    <col min="2052" max="2052" width="3.7109375" style="865" customWidth="1"/>
    <col min="2053" max="2053" width="22.7109375" style="865" customWidth="1"/>
    <col min="2054" max="2071" width="7.28515625" style="865" customWidth="1"/>
    <col min="2072" max="2305" width="9.140625" style="865"/>
    <col min="2306" max="2306" width="3.7109375" style="865" customWidth="1"/>
    <col min="2307" max="2307" width="14.42578125" style="865" customWidth="1"/>
    <col min="2308" max="2308" width="3.7109375" style="865" customWidth="1"/>
    <col min="2309" max="2309" width="22.7109375" style="865" customWidth="1"/>
    <col min="2310" max="2327" width="7.28515625" style="865" customWidth="1"/>
    <col min="2328" max="2561" width="9.140625" style="865"/>
    <col min="2562" max="2562" width="3.7109375" style="865" customWidth="1"/>
    <col min="2563" max="2563" width="14.42578125" style="865" customWidth="1"/>
    <col min="2564" max="2564" width="3.7109375" style="865" customWidth="1"/>
    <col min="2565" max="2565" width="22.7109375" style="865" customWidth="1"/>
    <col min="2566" max="2583" width="7.28515625" style="865" customWidth="1"/>
    <col min="2584" max="2817" width="9.140625" style="865"/>
    <col min="2818" max="2818" width="3.7109375" style="865" customWidth="1"/>
    <col min="2819" max="2819" width="14.42578125" style="865" customWidth="1"/>
    <col min="2820" max="2820" width="3.7109375" style="865" customWidth="1"/>
    <col min="2821" max="2821" width="22.7109375" style="865" customWidth="1"/>
    <col min="2822" max="2839" width="7.28515625" style="865" customWidth="1"/>
    <col min="2840" max="3073" width="9.140625" style="865"/>
    <col min="3074" max="3074" width="3.7109375" style="865" customWidth="1"/>
    <col min="3075" max="3075" width="14.42578125" style="865" customWidth="1"/>
    <col min="3076" max="3076" width="3.7109375" style="865" customWidth="1"/>
    <col min="3077" max="3077" width="22.7109375" style="865" customWidth="1"/>
    <col min="3078" max="3095" width="7.28515625" style="865" customWidth="1"/>
    <col min="3096" max="3329" width="9.140625" style="865"/>
    <col min="3330" max="3330" width="3.7109375" style="865" customWidth="1"/>
    <col min="3331" max="3331" width="14.42578125" style="865" customWidth="1"/>
    <col min="3332" max="3332" width="3.7109375" style="865" customWidth="1"/>
    <col min="3333" max="3333" width="22.7109375" style="865" customWidth="1"/>
    <col min="3334" max="3351" width="7.28515625" style="865" customWidth="1"/>
    <col min="3352" max="3585" width="9.140625" style="865"/>
    <col min="3586" max="3586" width="3.7109375" style="865" customWidth="1"/>
    <col min="3587" max="3587" width="14.42578125" style="865" customWidth="1"/>
    <col min="3588" max="3588" width="3.7109375" style="865" customWidth="1"/>
    <col min="3589" max="3589" width="22.7109375" style="865" customWidth="1"/>
    <col min="3590" max="3607" width="7.28515625" style="865" customWidth="1"/>
    <col min="3608" max="3841" width="9.140625" style="865"/>
    <col min="3842" max="3842" width="3.7109375" style="865" customWidth="1"/>
    <col min="3843" max="3843" width="14.42578125" style="865" customWidth="1"/>
    <col min="3844" max="3844" width="3.7109375" style="865" customWidth="1"/>
    <col min="3845" max="3845" width="22.7109375" style="865" customWidth="1"/>
    <col min="3846" max="3863" width="7.28515625" style="865" customWidth="1"/>
    <col min="3864" max="4097" width="9.140625" style="865"/>
    <col min="4098" max="4098" width="3.7109375" style="865" customWidth="1"/>
    <col min="4099" max="4099" width="14.42578125" style="865" customWidth="1"/>
    <col min="4100" max="4100" width="3.7109375" style="865" customWidth="1"/>
    <col min="4101" max="4101" width="22.7109375" style="865" customWidth="1"/>
    <col min="4102" max="4119" width="7.28515625" style="865" customWidth="1"/>
    <col min="4120" max="4353" width="9.140625" style="865"/>
    <col min="4354" max="4354" width="3.7109375" style="865" customWidth="1"/>
    <col min="4355" max="4355" width="14.42578125" style="865" customWidth="1"/>
    <col min="4356" max="4356" width="3.7109375" style="865" customWidth="1"/>
    <col min="4357" max="4357" width="22.7109375" style="865" customWidth="1"/>
    <col min="4358" max="4375" width="7.28515625" style="865" customWidth="1"/>
    <col min="4376" max="4609" width="9.140625" style="865"/>
    <col min="4610" max="4610" width="3.7109375" style="865" customWidth="1"/>
    <col min="4611" max="4611" width="14.42578125" style="865" customWidth="1"/>
    <col min="4612" max="4612" width="3.7109375" style="865" customWidth="1"/>
    <col min="4613" max="4613" width="22.7109375" style="865" customWidth="1"/>
    <col min="4614" max="4631" width="7.28515625" style="865" customWidth="1"/>
    <col min="4632" max="4865" width="9.140625" style="865"/>
    <col min="4866" max="4866" width="3.7109375" style="865" customWidth="1"/>
    <col min="4867" max="4867" width="14.42578125" style="865" customWidth="1"/>
    <col min="4868" max="4868" width="3.7109375" style="865" customWidth="1"/>
    <col min="4869" max="4869" width="22.7109375" style="865" customWidth="1"/>
    <col min="4870" max="4887" width="7.28515625" style="865" customWidth="1"/>
    <col min="4888" max="5121" width="9.140625" style="865"/>
    <col min="5122" max="5122" width="3.7109375" style="865" customWidth="1"/>
    <col min="5123" max="5123" width="14.42578125" style="865" customWidth="1"/>
    <col min="5124" max="5124" width="3.7109375" style="865" customWidth="1"/>
    <col min="5125" max="5125" width="22.7109375" style="865" customWidth="1"/>
    <col min="5126" max="5143" width="7.28515625" style="865" customWidth="1"/>
    <col min="5144" max="5377" width="9.140625" style="865"/>
    <col min="5378" max="5378" width="3.7109375" style="865" customWidth="1"/>
    <col min="5379" max="5379" width="14.42578125" style="865" customWidth="1"/>
    <col min="5380" max="5380" width="3.7109375" style="865" customWidth="1"/>
    <col min="5381" max="5381" width="22.7109375" style="865" customWidth="1"/>
    <col min="5382" max="5399" width="7.28515625" style="865" customWidth="1"/>
    <col min="5400" max="5633" width="9.140625" style="865"/>
    <col min="5634" max="5634" width="3.7109375" style="865" customWidth="1"/>
    <col min="5635" max="5635" width="14.42578125" style="865" customWidth="1"/>
    <col min="5636" max="5636" width="3.7109375" style="865" customWidth="1"/>
    <col min="5637" max="5637" width="22.7109375" style="865" customWidth="1"/>
    <col min="5638" max="5655" width="7.28515625" style="865" customWidth="1"/>
    <col min="5656" max="5889" width="9.140625" style="865"/>
    <col min="5890" max="5890" width="3.7109375" style="865" customWidth="1"/>
    <col min="5891" max="5891" width="14.42578125" style="865" customWidth="1"/>
    <col min="5892" max="5892" width="3.7109375" style="865" customWidth="1"/>
    <col min="5893" max="5893" width="22.7109375" style="865" customWidth="1"/>
    <col min="5894" max="5911" width="7.28515625" style="865" customWidth="1"/>
    <col min="5912" max="6145" width="9.140625" style="865"/>
    <col min="6146" max="6146" width="3.7109375" style="865" customWidth="1"/>
    <col min="6147" max="6147" width="14.42578125" style="865" customWidth="1"/>
    <col min="6148" max="6148" width="3.7109375" style="865" customWidth="1"/>
    <col min="6149" max="6149" width="22.7109375" style="865" customWidth="1"/>
    <col min="6150" max="6167" width="7.28515625" style="865" customWidth="1"/>
    <col min="6168" max="6401" width="9.140625" style="865"/>
    <col min="6402" max="6402" width="3.7109375" style="865" customWidth="1"/>
    <col min="6403" max="6403" width="14.42578125" style="865" customWidth="1"/>
    <col min="6404" max="6404" width="3.7109375" style="865" customWidth="1"/>
    <col min="6405" max="6405" width="22.7109375" style="865" customWidth="1"/>
    <col min="6406" max="6423" width="7.28515625" style="865" customWidth="1"/>
    <col min="6424" max="6657" width="9.140625" style="865"/>
    <col min="6658" max="6658" width="3.7109375" style="865" customWidth="1"/>
    <col min="6659" max="6659" width="14.42578125" style="865" customWidth="1"/>
    <col min="6660" max="6660" width="3.7109375" style="865" customWidth="1"/>
    <col min="6661" max="6661" width="22.7109375" style="865" customWidth="1"/>
    <col min="6662" max="6679" width="7.28515625" style="865" customWidth="1"/>
    <col min="6680" max="6913" width="9.140625" style="865"/>
    <col min="6914" max="6914" width="3.7109375" style="865" customWidth="1"/>
    <col min="6915" max="6915" width="14.42578125" style="865" customWidth="1"/>
    <col min="6916" max="6916" width="3.7109375" style="865" customWidth="1"/>
    <col min="6917" max="6917" width="22.7109375" style="865" customWidth="1"/>
    <col min="6918" max="6935" width="7.28515625" style="865" customWidth="1"/>
    <col min="6936" max="7169" width="9.140625" style="865"/>
    <col min="7170" max="7170" width="3.7109375" style="865" customWidth="1"/>
    <col min="7171" max="7171" width="14.42578125" style="865" customWidth="1"/>
    <col min="7172" max="7172" width="3.7109375" style="865" customWidth="1"/>
    <col min="7173" max="7173" width="22.7109375" style="865" customWidth="1"/>
    <col min="7174" max="7191" width="7.28515625" style="865" customWidth="1"/>
    <col min="7192" max="7425" width="9.140625" style="865"/>
    <col min="7426" max="7426" width="3.7109375" style="865" customWidth="1"/>
    <col min="7427" max="7427" width="14.42578125" style="865" customWidth="1"/>
    <col min="7428" max="7428" width="3.7109375" style="865" customWidth="1"/>
    <col min="7429" max="7429" width="22.7109375" style="865" customWidth="1"/>
    <col min="7430" max="7447" width="7.28515625" style="865" customWidth="1"/>
    <col min="7448" max="7681" width="9.140625" style="865"/>
    <col min="7682" max="7682" width="3.7109375" style="865" customWidth="1"/>
    <col min="7683" max="7683" width="14.42578125" style="865" customWidth="1"/>
    <col min="7684" max="7684" width="3.7109375" style="865" customWidth="1"/>
    <col min="7685" max="7685" width="22.7109375" style="865" customWidth="1"/>
    <col min="7686" max="7703" width="7.28515625" style="865" customWidth="1"/>
    <col min="7704" max="7937" width="9.140625" style="865"/>
    <col min="7938" max="7938" width="3.7109375" style="865" customWidth="1"/>
    <col min="7939" max="7939" width="14.42578125" style="865" customWidth="1"/>
    <col min="7940" max="7940" width="3.7109375" style="865" customWidth="1"/>
    <col min="7941" max="7941" width="22.7109375" style="865" customWidth="1"/>
    <col min="7942" max="7959" width="7.28515625" style="865" customWidth="1"/>
    <col min="7960" max="8193" width="9.140625" style="865"/>
    <col min="8194" max="8194" width="3.7109375" style="865" customWidth="1"/>
    <col min="8195" max="8195" width="14.42578125" style="865" customWidth="1"/>
    <col min="8196" max="8196" width="3.7109375" style="865" customWidth="1"/>
    <col min="8197" max="8197" width="22.7109375" style="865" customWidth="1"/>
    <col min="8198" max="8215" width="7.28515625" style="865" customWidth="1"/>
    <col min="8216" max="8449" width="9.140625" style="865"/>
    <col min="8450" max="8450" width="3.7109375" style="865" customWidth="1"/>
    <col min="8451" max="8451" width="14.42578125" style="865" customWidth="1"/>
    <col min="8452" max="8452" width="3.7109375" style="865" customWidth="1"/>
    <col min="8453" max="8453" width="22.7109375" style="865" customWidth="1"/>
    <col min="8454" max="8471" width="7.28515625" style="865" customWidth="1"/>
    <col min="8472" max="8705" width="9.140625" style="865"/>
    <col min="8706" max="8706" width="3.7109375" style="865" customWidth="1"/>
    <col min="8707" max="8707" width="14.42578125" style="865" customWidth="1"/>
    <col min="8708" max="8708" width="3.7109375" style="865" customWidth="1"/>
    <col min="8709" max="8709" width="22.7109375" style="865" customWidth="1"/>
    <col min="8710" max="8727" width="7.28515625" style="865" customWidth="1"/>
    <col min="8728" max="8961" width="9.140625" style="865"/>
    <col min="8962" max="8962" width="3.7109375" style="865" customWidth="1"/>
    <col min="8963" max="8963" width="14.42578125" style="865" customWidth="1"/>
    <col min="8964" max="8964" width="3.7109375" style="865" customWidth="1"/>
    <col min="8965" max="8965" width="22.7109375" style="865" customWidth="1"/>
    <col min="8966" max="8983" width="7.28515625" style="865" customWidth="1"/>
    <col min="8984" max="9217" width="9.140625" style="865"/>
    <col min="9218" max="9218" width="3.7109375" style="865" customWidth="1"/>
    <col min="9219" max="9219" width="14.42578125" style="865" customWidth="1"/>
    <col min="9220" max="9220" width="3.7109375" style="865" customWidth="1"/>
    <col min="9221" max="9221" width="22.7109375" style="865" customWidth="1"/>
    <col min="9222" max="9239" width="7.28515625" style="865" customWidth="1"/>
    <col min="9240" max="9473" width="9.140625" style="865"/>
    <col min="9474" max="9474" width="3.7109375" style="865" customWidth="1"/>
    <col min="9475" max="9475" width="14.42578125" style="865" customWidth="1"/>
    <col min="9476" max="9476" width="3.7109375" style="865" customWidth="1"/>
    <col min="9477" max="9477" width="22.7109375" style="865" customWidth="1"/>
    <col min="9478" max="9495" width="7.28515625" style="865" customWidth="1"/>
    <col min="9496" max="9729" width="9.140625" style="865"/>
    <col min="9730" max="9730" width="3.7109375" style="865" customWidth="1"/>
    <col min="9731" max="9731" width="14.42578125" style="865" customWidth="1"/>
    <col min="9732" max="9732" width="3.7109375" style="865" customWidth="1"/>
    <col min="9733" max="9733" width="22.7109375" style="865" customWidth="1"/>
    <col min="9734" max="9751" width="7.28515625" style="865" customWidth="1"/>
    <col min="9752" max="9985" width="9.140625" style="865"/>
    <col min="9986" max="9986" width="3.7109375" style="865" customWidth="1"/>
    <col min="9987" max="9987" width="14.42578125" style="865" customWidth="1"/>
    <col min="9988" max="9988" width="3.7109375" style="865" customWidth="1"/>
    <col min="9989" max="9989" width="22.7109375" style="865" customWidth="1"/>
    <col min="9990" max="10007" width="7.28515625" style="865" customWidth="1"/>
    <col min="10008" max="10241" width="9.140625" style="865"/>
    <col min="10242" max="10242" width="3.7109375" style="865" customWidth="1"/>
    <col min="10243" max="10243" width="14.42578125" style="865" customWidth="1"/>
    <col min="10244" max="10244" width="3.7109375" style="865" customWidth="1"/>
    <col min="10245" max="10245" width="22.7109375" style="865" customWidth="1"/>
    <col min="10246" max="10263" width="7.28515625" style="865" customWidth="1"/>
    <col min="10264" max="10497" width="9.140625" style="865"/>
    <col min="10498" max="10498" width="3.7109375" style="865" customWidth="1"/>
    <col min="10499" max="10499" width="14.42578125" style="865" customWidth="1"/>
    <col min="10500" max="10500" width="3.7109375" style="865" customWidth="1"/>
    <col min="10501" max="10501" width="22.7109375" style="865" customWidth="1"/>
    <col min="10502" max="10519" width="7.28515625" style="865" customWidth="1"/>
    <col min="10520" max="10753" width="9.140625" style="865"/>
    <col min="10754" max="10754" width="3.7109375" style="865" customWidth="1"/>
    <col min="10755" max="10755" width="14.42578125" style="865" customWidth="1"/>
    <col min="10756" max="10756" width="3.7109375" style="865" customWidth="1"/>
    <col min="10757" max="10757" width="22.7109375" style="865" customWidth="1"/>
    <col min="10758" max="10775" width="7.28515625" style="865" customWidth="1"/>
    <col min="10776" max="11009" width="9.140625" style="865"/>
    <col min="11010" max="11010" width="3.7109375" style="865" customWidth="1"/>
    <col min="11011" max="11011" width="14.42578125" style="865" customWidth="1"/>
    <col min="11012" max="11012" width="3.7109375" style="865" customWidth="1"/>
    <col min="11013" max="11013" width="22.7109375" style="865" customWidth="1"/>
    <col min="11014" max="11031" width="7.28515625" style="865" customWidth="1"/>
    <col min="11032" max="11265" width="9.140625" style="865"/>
    <col min="11266" max="11266" width="3.7109375" style="865" customWidth="1"/>
    <col min="11267" max="11267" width="14.42578125" style="865" customWidth="1"/>
    <col min="11268" max="11268" width="3.7109375" style="865" customWidth="1"/>
    <col min="11269" max="11269" width="22.7109375" style="865" customWidth="1"/>
    <col min="11270" max="11287" width="7.28515625" style="865" customWidth="1"/>
    <col min="11288" max="11521" width="9.140625" style="865"/>
    <col min="11522" max="11522" width="3.7109375" style="865" customWidth="1"/>
    <col min="11523" max="11523" width="14.42578125" style="865" customWidth="1"/>
    <col min="11524" max="11524" width="3.7109375" style="865" customWidth="1"/>
    <col min="11525" max="11525" width="22.7109375" style="865" customWidth="1"/>
    <col min="11526" max="11543" width="7.28515625" style="865" customWidth="1"/>
    <col min="11544" max="11777" width="9.140625" style="865"/>
    <col min="11778" max="11778" width="3.7109375" style="865" customWidth="1"/>
    <col min="11779" max="11779" width="14.42578125" style="865" customWidth="1"/>
    <col min="11780" max="11780" width="3.7109375" style="865" customWidth="1"/>
    <col min="11781" max="11781" width="22.7109375" style="865" customWidth="1"/>
    <col min="11782" max="11799" width="7.28515625" style="865" customWidth="1"/>
    <col min="11800" max="12033" width="9.140625" style="865"/>
    <col min="12034" max="12034" width="3.7109375" style="865" customWidth="1"/>
    <col min="12035" max="12035" width="14.42578125" style="865" customWidth="1"/>
    <col min="12036" max="12036" width="3.7109375" style="865" customWidth="1"/>
    <col min="12037" max="12037" width="22.7109375" style="865" customWidth="1"/>
    <col min="12038" max="12055" width="7.28515625" style="865" customWidth="1"/>
    <col min="12056" max="12289" width="9.140625" style="865"/>
    <col min="12290" max="12290" width="3.7109375" style="865" customWidth="1"/>
    <col min="12291" max="12291" width="14.42578125" style="865" customWidth="1"/>
    <col min="12292" max="12292" width="3.7109375" style="865" customWidth="1"/>
    <col min="12293" max="12293" width="22.7109375" style="865" customWidth="1"/>
    <col min="12294" max="12311" width="7.28515625" style="865" customWidth="1"/>
    <col min="12312" max="12545" width="9.140625" style="865"/>
    <col min="12546" max="12546" width="3.7109375" style="865" customWidth="1"/>
    <col min="12547" max="12547" width="14.42578125" style="865" customWidth="1"/>
    <col min="12548" max="12548" width="3.7109375" style="865" customWidth="1"/>
    <col min="12549" max="12549" width="22.7109375" style="865" customWidth="1"/>
    <col min="12550" max="12567" width="7.28515625" style="865" customWidth="1"/>
    <col min="12568" max="12801" width="9.140625" style="865"/>
    <col min="12802" max="12802" width="3.7109375" style="865" customWidth="1"/>
    <col min="12803" max="12803" width="14.42578125" style="865" customWidth="1"/>
    <col min="12804" max="12804" width="3.7109375" style="865" customWidth="1"/>
    <col min="12805" max="12805" width="22.7109375" style="865" customWidth="1"/>
    <col min="12806" max="12823" width="7.28515625" style="865" customWidth="1"/>
    <col min="12824" max="13057" width="9.140625" style="865"/>
    <col min="13058" max="13058" width="3.7109375" style="865" customWidth="1"/>
    <col min="13059" max="13059" width="14.42578125" style="865" customWidth="1"/>
    <col min="13060" max="13060" width="3.7109375" style="865" customWidth="1"/>
    <col min="13061" max="13061" width="22.7109375" style="865" customWidth="1"/>
    <col min="13062" max="13079" width="7.28515625" style="865" customWidth="1"/>
    <col min="13080" max="13313" width="9.140625" style="865"/>
    <col min="13314" max="13314" width="3.7109375" style="865" customWidth="1"/>
    <col min="13315" max="13315" width="14.42578125" style="865" customWidth="1"/>
    <col min="13316" max="13316" width="3.7109375" style="865" customWidth="1"/>
    <col min="13317" max="13317" width="22.7109375" style="865" customWidth="1"/>
    <col min="13318" max="13335" width="7.28515625" style="865" customWidth="1"/>
    <col min="13336" max="13569" width="9.140625" style="865"/>
    <col min="13570" max="13570" width="3.7109375" style="865" customWidth="1"/>
    <col min="13571" max="13571" width="14.42578125" style="865" customWidth="1"/>
    <col min="13572" max="13572" width="3.7109375" style="865" customWidth="1"/>
    <col min="13573" max="13573" width="22.7109375" style="865" customWidth="1"/>
    <col min="13574" max="13591" width="7.28515625" style="865" customWidth="1"/>
    <col min="13592" max="13825" width="9.140625" style="865"/>
    <col min="13826" max="13826" width="3.7109375" style="865" customWidth="1"/>
    <col min="13827" max="13827" width="14.42578125" style="865" customWidth="1"/>
    <col min="13828" max="13828" width="3.7109375" style="865" customWidth="1"/>
    <col min="13829" max="13829" width="22.7109375" style="865" customWidth="1"/>
    <col min="13830" max="13847" width="7.28515625" style="865" customWidth="1"/>
    <col min="13848" max="14081" width="9.140625" style="865"/>
    <col min="14082" max="14082" width="3.7109375" style="865" customWidth="1"/>
    <col min="14083" max="14083" width="14.42578125" style="865" customWidth="1"/>
    <col min="14084" max="14084" width="3.7109375" style="865" customWidth="1"/>
    <col min="14085" max="14085" width="22.7109375" style="865" customWidth="1"/>
    <col min="14086" max="14103" width="7.28515625" style="865" customWidth="1"/>
    <col min="14104" max="14337" width="9.140625" style="865"/>
    <col min="14338" max="14338" width="3.7109375" style="865" customWidth="1"/>
    <col min="14339" max="14339" width="14.42578125" style="865" customWidth="1"/>
    <col min="14340" max="14340" width="3.7109375" style="865" customWidth="1"/>
    <col min="14341" max="14341" width="22.7109375" style="865" customWidth="1"/>
    <col min="14342" max="14359" width="7.28515625" style="865" customWidth="1"/>
    <col min="14360" max="14593" width="9.140625" style="865"/>
    <col min="14594" max="14594" width="3.7109375" style="865" customWidth="1"/>
    <col min="14595" max="14595" width="14.42578125" style="865" customWidth="1"/>
    <col min="14596" max="14596" width="3.7109375" style="865" customWidth="1"/>
    <col min="14597" max="14597" width="22.7109375" style="865" customWidth="1"/>
    <col min="14598" max="14615" width="7.28515625" style="865" customWidth="1"/>
    <col min="14616" max="14849" width="9.140625" style="865"/>
    <col min="14850" max="14850" width="3.7109375" style="865" customWidth="1"/>
    <col min="14851" max="14851" width="14.42578125" style="865" customWidth="1"/>
    <col min="14852" max="14852" width="3.7109375" style="865" customWidth="1"/>
    <col min="14853" max="14853" width="22.7109375" style="865" customWidth="1"/>
    <col min="14854" max="14871" width="7.28515625" style="865" customWidth="1"/>
    <col min="14872" max="15105" width="9.140625" style="865"/>
    <col min="15106" max="15106" width="3.7109375" style="865" customWidth="1"/>
    <col min="15107" max="15107" width="14.42578125" style="865" customWidth="1"/>
    <col min="15108" max="15108" width="3.7109375" style="865" customWidth="1"/>
    <col min="15109" max="15109" width="22.7109375" style="865" customWidth="1"/>
    <col min="15110" max="15127" width="7.28515625" style="865" customWidth="1"/>
    <col min="15128" max="15361" width="9.140625" style="865"/>
    <col min="15362" max="15362" width="3.7109375" style="865" customWidth="1"/>
    <col min="15363" max="15363" width="14.42578125" style="865" customWidth="1"/>
    <col min="15364" max="15364" width="3.7109375" style="865" customWidth="1"/>
    <col min="15365" max="15365" width="22.7109375" style="865" customWidth="1"/>
    <col min="15366" max="15383" width="7.28515625" style="865" customWidth="1"/>
    <col min="15384" max="15617" width="9.140625" style="865"/>
    <col min="15618" max="15618" width="3.7109375" style="865" customWidth="1"/>
    <col min="15619" max="15619" width="14.42578125" style="865" customWidth="1"/>
    <col min="15620" max="15620" width="3.7109375" style="865" customWidth="1"/>
    <col min="15621" max="15621" width="22.7109375" style="865" customWidth="1"/>
    <col min="15622" max="15639" width="7.28515625" style="865" customWidth="1"/>
    <col min="15640" max="15873" width="9.140625" style="865"/>
    <col min="15874" max="15874" width="3.7109375" style="865" customWidth="1"/>
    <col min="15875" max="15875" width="14.42578125" style="865" customWidth="1"/>
    <col min="15876" max="15876" width="3.7109375" style="865" customWidth="1"/>
    <col min="15877" max="15877" width="22.7109375" style="865" customWidth="1"/>
    <col min="15878" max="15895" width="7.28515625" style="865" customWidth="1"/>
    <col min="15896" max="16129" width="9.140625" style="865"/>
    <col min="16130" max="16130" width="3.7109375" style="865" customWidth="1"/>
    <col min="16131" max="16131" width="14.42578125" style="865" customWidth="1"/>
    <col min="16132" max="16132" width="3.7109375" style="865" customWidth="1"/>
    <col min="16133" max="16133" width="22.7109375" style="865" customWidth="1"/>
    <col min="16134" max="16151" width="7.28515625" style="865" customWidth="1"/>
    <col min="16152" max="16384" width="9.140625" style="865"/>
  </cols>
  <sheetData>
    <row r="1" spans="1:28" x14ac:dyDescent="0.2">
      <c r="A1" s="1170"/>
      <c r="B1" s="886"/>
      <c r="C1" s="886"/>
      <c r="D1" s="885"/>
      <c r="E1" s="885"/>
      <c r="F1" s="885"/>
      <c r="G1" s="885"/>
      <c r="H1" s="885"/>
      <c r="I1" s="885"/>
      <c r="J1" s="885"/>
      <c r="K1" s="885"/>
      <c r="L1" s="885"/>
      <c r="M1" s="885"/>
      <c r="N1" s="885"/>
      <c r="O1" s="885"/>
      <c r="P1" s="885"/>
      <c r="Q1" s="885"/>
      <c r="R1" s="885"/>
      <c r="S1" s="885"/>
      <c r="T1" s="885"/>
      <c r="U1" s="885"/>
    </row>
    <row r="2" spans="1:28" ht="14.25" customHeight="1" x14ac:dyDescent="0.2">
      <c r="A2" s="453">
        <v>1</v>
      </c>
      <c r="B2" s="453" t="s">
        <v>24</v>
      </c>
      <c r="C2" s="453">
        <f>1+'Gender parity index'!C2</f>
        <v>46</v>
      </c>
      <c r="D2" s="3556" t="s">
        <v>920</v>
      </c>
      <c r="E2" s="3557"/>
      <c r="F2" s="3557"/>
      <c r="G2" s="3557"/>
      <c r="H2" s="3557"/>
      <c r="I2" s="3557"/>
      <c r="J2" s="3557"/>
      <c r="K2" s="3557"/>
      <c r="L2" s="3557"/>
      <c r="M2" s="3557"/>
      <c r="N2" s="3557"/>
      <c r="O2" s="3557"/>
      <c r="P2" s="3557"/>
      <c r="Q2" s="3557"/>
      <c r="R2" s="3557"/>
      <c r="S2" s="3557"/>
      <c r="T2" s="3557"/>
      <c r="U2" s="3557"/>
      <c r="V2" s="3557"/>
      <c r="W2" s="3557"/>
      <c r="X2" s="3557"/>
      <c r="Y2" s="3557"/>
      <c r="Z2" s="3557"/>
      <c r="AA2" s="3557"/>
      <c r="AB2" s="3558"/>
    </row>
    <row r="3" spans="1:28" ht="15" customHeight="1" x14ac:dyDescent="0.2">
      <c r="A3" s="453">
        <v>2</v>
      </c>
      <c r="B3" s="453" t="s">
        <v>26</v>
      </c>
      <c r="C3" s="453"/>
      <c r="D3" s="3553" t="s">
        <v>860</v>
      </c>
      <c r="E3" s="3554"/>
      <c r="F3" s="3554"/>
      <c r="G3" s="3554"/>
      <c r="H3" s="3554"/>
      <c r="I3" s="3554"/>
      <c r="J3" s="3554"/>
      <c r="K3" s="3554"/>
      <c r="L3" s="3554"/>
      <c r="M3" s="3554"/>
      <c r="N3" s="3554"/>
      <c r="O3" s="3554"/>
      <c r="P3" s="3554"/>
      <c r="Q3" s="3554"/>
      <c r="R3" s="3554"/>
      <c r="S3" s="3554"/>
      <c r="T3" s="3554"/>
      <c r="U3" s="3554"/>
      <c r="V3" s="3554"/>
      <c r="W3" s="3554"/>
      <c r="X3" s="3554"/>
      <c r="Y3" s="3554"/>
      <c r="Z3" s="3554"/>
      <c r="AA3" s="3554"/>
      <c r="AB3" s="3555"/>
    </row>
    <row r="4" spans="1:28" ht="14.25" customHeight="1" x14ac:dyDescent="0.2">
      <c r="A4" s="453">
        <v>3</v>
      </c>
      <c r="B4" s="453" t="s">
        <v>28</v>
      </c>
      <c r="C4" s="453"/>
      <c r="D4" s="3553" t="s">
        <v>919</v>
      </c>
      <c r="E4" s="3554"/>
      <c r="F4" s="3554"/>
      <c r="G4" s="3554"/>
      <c r="H4" s="3554"/>
      <c r="I4" s="3554"/>
      <c r="J4" s="3554"/>
      <c r="K4" s="3554"/>
      <c r="L4" s="3554"/>
      <c r="M4" s="3554"/>
      <c r="N4" s="3554"/>
      <c r="O4" s="3554"/>
      <c r="P4" s="3554"/>
      <c r="Q4" s="3554"/>
      <c r="R4" s="3554"/>
      <c r="S4" s="3554"/>
      <c r="T4" s="3554"/>
      <c r="U4" s="3554"/>
      <c r="V4" s="3554"/>
      <c r="W4" s="3554"/>
      <c r="X4" s="3554"/>
      <c r="Y4" s="3554"/>
      <c r="Z4" s="3554"/>
      <c r="AA4" s="3554"/>
      <c r="AB4" s="3555"/>
    </row>
    <row r="5" spans="1:28" ht="15.75" customHeight="1" x14ac:dyDescent="0.2">
      <c r="A5" s="866"/>
      <c r="B5" s="886"/>
      <c r="C5" s="650"/>
      <c r="D5" s="2156"/>
      <c r="E5" s="179"/>
      <c r="F5" s="179"/>
      <c r="G5" s="179"/>
      <c r="H5" s="179"/>
      <c r="I5" s="179"/>
      <c r="J5" s="179"/>
      <c r="K5" s="179"/>
      <c r="L5" s="179"/>
      <c r="M5" s="179"/>
      <c r="N5" s="179"/>
      <c r="O5" s="179"/>
      <c r="P5" s="179"/>
    </row>
    <row r="6" spans="1:28" s="77" customFormat="1" ht="12.75" x14ac:dyDescent="0.2">
      <c r="A6" s="453">
        <v>4</v>
      </c>
      <c r="B6" s="650" t="s">
        <v>1</v>
      </c>
      <c r="C6" s="1173"/>
      <c r="D6" s="119" t="s">
        <v>103</v>
      </c>
      <c r="E6" s="119" t="str">
        <f>D2</f>
        <v>National Senior Certificate Examinations pass rate</v>
      </c>
      <c r="F6" s="119"/>
      <c r="G6" s="119"/>
      <c r="H6" s="119"/>
      <c r="I6" s="119"/>
      <c r="J6" s="119"/>
      <c r="K6" s="119"/>
      <c r="L6" s="119"/>
      <c r="M6" s="133"/>
      <c r="N6" s="133"/>
      <c r="O6" s="133"/>
      <c r="P6" s="133"/>
      <c r="Q6" s="133"/>
      <c r="R6" s="117"/>
      <c r="S6" s="117"/>
      <c r="T6" s="117"/>
      <c r="U6" s="117"/>
    </row>
    <row r="7" spans="1:28" s="77" customFormat="1" ht="11.25" x14ac:dyDescent="0.2">
      <c r="A7" s="1174"/>
      <c r="B7" s="1173"/>
      <c r="C7" s="1173"/>
      <c r="D7" s="2157"/>
      <c r="E7" s="171">
        <v>1994</v>
      </c>
      <c r="F7" s="171">
        <v>1995</v>
      </c>
      <c r="G7" s="171">
        <v>1996</v>
      </c>
      <c r="H7" s="171">
        <v>1997</v>
      </c>
      <c r="I7" s="171">
        <v>1998</v>
      </c>
      <c r="J7" s="171">
        <v>1999</v>
      </c>
      <c r="K7" s="171">
        <v>2000</v>
      </c>
      <c r="L7" s="171">
        <v>2001</v>
      </c>
      <c r="M7" s="171">
        <v>2002</v>
      </c>
      <c r="N7" s="171">
        <v>2003</v>
      </c>
      <c r="O7" s="171">
        <v>2004</v>
      </c>
      <c r="P7" s="171">
        <v>2005</v>
      </c>
      <c r="Q7" s="171">
        <v>2006</v>
      </c>
      <c r="R7" s="171">
        <v>2007</v>
      </c>
      <c r="S7" s="171">
        <v>2008</v>
      </c>
      <c r="T7" s="171">
        <v>2009</v>
      </c>
      <c r="U7" s="171">
        <v>2010</v>
      </c>
      <c r="V7" s="171">
        <v>2011</v>
      </c>
      <c r="W7" s="171">
        <v>2012</v>
      </c>
      <c r="X7" s="171">
        <v>2013</v>
      </c>
      <c r="Y7" s="2158">
        <v>2014</v>
      </c>
      <c r="Z7" s="2158">
        <v>2015</v>
      </c>
      <c r="AA7" s="2825">
        <v>2016</v>
      </c>
    </row>
    <row r="8" spans="1:28" x14ac:dyDescent="0.2">
      <c r="A8" s="1170"/>
      <c r="B8" s="886"/>
      <c r="C8" s="886"/>
      <c r="D8" s="1042" t="s">
        <v>916</v>
      </c>
      <c r="E8" s="1044"/>
      <c r="F8" s="1030">
        <v>531453</v>
      </c>
      <c r="G8" s="1030">
        <v>513868</v>
      </c>
      <c r="H8" s="1030">
        <v>558970</v>
      </c>
      <c r="I8" s="1030">
        <v>552384</v>
      </c>
      <c r="J8" s="1030">
        <v>511159</v>
      </c>
      <c r="K8" s="1030">
        <v>489298</v>
      </c>
      <c r="L8" s="1030">
        <v>449332</v>
      </c>
      <c r="M8" s="1030">
        <v>443765</v>
      </c>
      <c r="N8" s="1030">
        <v>440096</v>
      </c>
      <c r="O8" s="1030">
        <v>467890</v>
      </c>
      <c r="P8" s="1030">
        <v>508180</v>
      </c>
      <c r="Q8" s="1030">
        <v>527950</v>
      </c>
      <c r="R8" s="1030">
        <v>564381</v>
      </c>
      <c r="S8" s="1491">
        <v>554664</v>
      </c>
      <c r="T8" s="1491">
        <v>552073</v>
      </c>
      <c r="U8" s="1491">
        <v>537543</v>
      </c>
      <c r="V8" s="1491">
        <v>496090</v>
      </c>
      <c r="W8" s="1491">
        <v>511152</v>
      </c>
      <c r="X8" s="1491">
        <v>562116</v>
      </c>
      <c r="Y8" s="1488">
        <v>532860</v>
      </c>
      <c r="Z8" s="1488">
        <v>644536</v>
      </c>
      <c r="AA8" s="2826">
        <v>610178</v>
      </c>
    </row>
    <row r="9" spans="1:28" x14ac:dyDescent="0.2">
      <c r="A9" s="1170"/>
      <c r="B9" s="886"/>
      <c r="C9" s="886"/>
      <c r="D9" s="1042" t="s">
        <v>915</v>
      </c>
      <c r="E9" s="1044"/>
      <c r="F9" s="1490">
        <v>283742</v>
      </c>
      <c r="G9" s="1490">
        <v>279487</v>
      </c>
      <c r="H9" s="1490">
        <v>264795</v>
      </c>
      <c r="I9" s="1490">
        <v>272488</v>
      </c>
      <c r="J9" s="1490">
        <v>249831</v>
      </c>
      <c r="K9" s="1490">
        <v>283294</v>
      </c>
      <c r="L9" s="1490">
        <v>277206</v>
      </c>
      <c r="M9" s="1490">
        <v>305774</v>
      </c>
      <c r="N9" s="1490">
        <v>322492</v>
      </c>
      <c r="O9" s="1490">
        <v>330717</v>
      </c>
      <c r="P9" s="1490">
        <v>347184</v>
      </c>
      <c r="Q9" s="1490">
        <v>351503</v>
      </c>
      <c r="R9" s="1030">
        <v>368217</v>
      </c>
      <c r="S9" s="1030">
        <v>344794</v>
      </c>
      <c r="T9" s="1030">
        <v>334716</v>
      </c>
      <c r="U9" s="1491">
        <v>364147</v>
      </c>
      <c r="V9" s="1491">
        <v>348117</v>
      </c>
      <c r="W9" s="1491">
        <v>377829</v>
      </c>
      <c r="X9" s="1491">
        <v>439779</v>
      </c>
      <c r="Y9" s="1488">
        <v>403874</v>
      </c>
      <c r="Z9" s="1488">
        <v>455825</v>
      </c>
      <c r="AA9" s="2826">
        <v>442672</v>
      </c>
    </row>
    <row r="10" spans="1:28" x14ac:dyDescent="0.2">
      <c r="A10" s="1170"/>
      <c r="B10" s="886"/>
      <c r="C10" s="886"/>
      <c r="D10" s="1042" t="s">
        <v>918</v>
      </c>
      <c r="E10" s="1044"/>
      <c r="F10" s="1490"/>
      <c r="G10" s="1490"/>
      <c r="H10" s="1490"/>
      <c r="I10" s="1490"/>
      <c r="J10" s="1490"/>
      <c r="K10" s="1490"/>
      <c r="L10" s="1490"/>
      <c r="M10" s="1490"/>
      <c r="N10" s="1490"/>
      <c r="O10" s="1490"/>
      <c r="P10" s="1490"/>
      <c r="Q10" s="1490"/>
      <c r="R10" s="1030"/>
      <c r="S10" s="1030"/>
      <c r="T10" s="1030">
        <v>109697</v>
      </c>
      <c r="U10" s="1491">
        <v>126371</v>
      </c>
      <c r="V10" s="1491">
        <v>120767</v>
      </c>
      <c r="W10" s="1491">
        <v>136047</v>
      </c>
      <c r="X10" s="1491">
        <v>171755</v>
      </c>
      <c r="Y10" s="1488">
        <v>150752</v>
      </c>
      <c r="Z10" s="1488">
        <v>166263</v>
      </c>
      <c r="AA10" s="2826">
        <v>162374</v>
      </c>
    </row>
    <row r="11" spans="1:28" s="77" customFormat="1" ht="11.25" x14ac:dyDescent="0.2">
      <c r="A11" s="1174"/>
      <c r="B11" s="1173"/>
      <c r="C11" s="1173"/>
      <c r="D11" s="1043" t="s">
        <v>668</v>
      </c>
      <c r="E11" s="1074">
        <v>0.57999999999999996</v>
      </c>
      <c r="F11" s="1074">
        <v>0.53389857616760095</v>
      </c>
      <c r="G11" s="1074">
        <v>0.54388870293538416</v>
      </c>
      <c r="H11" s="1074">
        <v>0.47371951983111793</v>
      </c>
      <c r="I11" s="1074">
        <v>0.49329451975437377</v>
      </c>
      <c r="J11" s="1074">
        <v>0.48875398848499196</v>
      </c>
      <c r="K11" s="1074">
        <v>0.57898049859186018</v>
      </c>
      <c r="L11" s="1074">
        <v>0.6169291303535025</v>
      </c>
      <c r="M11" s="1074">
        <v>0.68904487735625841</v>
      </c>
      <c r="N11" s="1074">
        <v>0.73277648513051696</v>
      </c>
      <c r="O11" s="1074">
        <v>0.70682639081835474</v>
      </c>
      <c r="P11" s="1074">
        <v>0.68319099531662009</v>
      </c>
      <c r="Q11" s="1074">
        <v>0.66578842693436879</v>
      </c>
      <c r="R11" s="1074">
        <v>0.65242628649795087</v>
      </c>
      <c r="S11" s="1074">
        <v>0.62162678666724358</v>
      </c>
      <c r="T11" s="1074">
        <v>0.60628938564284074</v>
      </c>
      <c r="U11" s="1074">
        <v>0.67800000000000005</v>
      </c>
      <c r="V11" s="1074">
        <v>0.70199999999999996</v>
      </c>
      <c r="W11" s="1074">
        <v>0.73917151845243689</v>
      </c>
      <c r="X11" s="1074">
        <v>0.78200000000000003</v>
      </c>
      <c r="Y11" s="1489">
        <v>0.75800000000000001</v>
      </c>
      <c r="Z11" s="1489">
        <v>0.70699999999999996</v>
      </c>
      <c r="AA11" s="2827">
        <v>0.72499999999999998</v>
      </c>
    </row>
    <row r="12" spans="1:28" s="77" customFormat="1" ht="11.25" x14ac:dyDescent="0.2">
      <c r="A12" s="1174"/>
      <c r="B12" s="1173"/>
      <c r="C12" s="1173"/>
      <c r="D12" s="1042"/>
      <c r="E12" s="1029"/>
      <c r="F12" s="1029"/>
      <c r="G12" s="1029"/>
      <c r="H12" s="1029"/>
      <c r="I12" s="1029"/>
      <c r="J12" s="1029"/>
      <c r="K12" s="1029"/>
      <c r="L12" s="1029"/>
      <c r="M12" s="1029"/>
      <c r="N12" s="1029"/>
      <c r="O12" s="1029"/>
      <c r="P12" s="1029"/>
      <c r="Q12" s="1029"/>
      <c r="R12" s="1029"/>
      <c r="S12" s="1029"/>
      <c r="T12" s="1029"/>
      <c r="U12" s="1029"/>
    </row>
    <row r="13" spans="1:28" s="77" customFormat="1" ht="11.25" x14ac:dyDescent="0.2">
      <c r="A13" s="1174"/>
      <c r="B13" s="1173"/>
      <c r="C13" s="1173"/>
      <c r="D13" s="1041" t="s">
        <v>93</v>
      </c>
      <c r="E13" s="3835" t="s">
        <v>917</v>
      </c>
      <c r="F13" s="3836"/>
      <c r="G13" s="3836"/>
      <c r="H13" s="3836"/>
      <c r="I13" s="3836"/>
      <c r="J13" s="3836"/>
      <c r="K13" s="1029"/>
      <c r="L13" s="2159"/>
      <c r="M13" s="1029"/>
      <c r="N13" s="2160"/>
      <c r="O13" s="1029"/>
      <c r="P13" s="2160"/>
      <c r="Q13" s="1029"/>
      <c r="R13" s="2160"/>
      <c r="S13" s="1029"/>
      <c r="T13" s="2160"/>
      <c r="U13" s="1029"/>
      <c r="V13" s="2160"/>
    </row>
    <row r="14" spans="1:28" ht="13.9" customHeight="1" x14ac:dyDescent="0.2">
      <c r="A14" s="1170"/>
      <c r="B14" s="1170"/>
      <c r="C14" s="1170"/>
      <c r="D14" s="1040"/>
      <c r="E14" s="3834">
        <v>2009</v>
      </c>
      <c r="F14" s="3834"/>
      <c r="G14" s="3657"/>
      <c r="H14" s="3834">
        <v>2010</v>
      </c>
      <c r="I14" s="3834"/>
      <c r="J14" s="3657"/>
      <c r="K14" s="3834">
        <v>2011</v>
      </c>
      <c r="L14" s="3834"/>
      <c r="M14" s="3657"/>
      <c r="N14" s="3834">
        <v>2012</v>
      </c>
      <c r="O14" s="3834"/>
      <c r="P14" s="3657"/>
      <c r="Q14" s="3834">
        <v>2013</v>
      </c>
      <c r="R14" s="3834"/>
      <c r="S14" s="3657"/>
      <c r="T14" s="3832">
        <v>2014</v>
      </c>
      <c r="U14" s="3832"/>
      <c r="V14" s="3833"/>
      <c r="W14" s="3831">
        <v>2015</v>
      </c>
      <c r="X14" s="3832"/>
      <c r="Y14" s="3833"/>
      <c r="Z14" s="3831">
        <v>2016</v>
      </c>
      <c r="AA14" s="3832"/>
      <c r="AB14" s="3833"/>
    </row>
    <row r="15" spans="1:28" ht="28.15" customHeight="1" x14ac:dyDescent="0.2">
      <c r="A15" s="1170"/>
      <c r="B15" s="1170"/>
      <c r="C15" s="1170"/>
      <c r="D15" s="1039" t="s">
        <v>413</v>
      </c>
      <c r="E15" s="2161" t="s">
        <v>916</v>
      </c>
      <c r="F15" s="2161" t="s">
        <v>915</v>
      </c>
      <c r="G15" s="2162" t="s">
        <v>668</v>
      </c>
      <c r="H15" s="2161" t="s">
        <v>916</v>
      </c>
      <c r="I15" s="2161" t="s">
        <v>915</v>
      </c>
      <c r="J15" s="2162" t="s">
        <v>668</v>
      </c>
      <c r="K15" s="2161" t="s">
        <v>916</v>
      </c>
      <c r="L15" s="2161" t="s">
        <v>915</v>
      </c>
      <c r="M15" s="2162" t="s">
        <v>668</v>
      </c>
      <c r="N15" s="2161" t="s">
        <v>916</v>
      </c>
      <c r="O15" s="2161" t="s">
        <v>915</v>
      </c>
      <c r="P15" s="2162" t="s">
        <v>668</v>
      </c>
      <c r="Q15" s="2161" t="s">
        <v>916</v>
      </c>
      <c r="R15" s="2161" t="s">
        <v>915</v>
      </c>
      <c r="S15" s="2162" t="s">
        <v>668</v>
      </c>
      <c r="T15" s="2163" t="s">
        <v>916</v>
      </c>
      <c r="U15" s="2163" t="s">
        <v>915</v>
      </c>
      <c r="V15" s="2164" t="s">
        <v>668</v>
      </c>
      <c r="W15" s="2163" t="s">
        <v>916</v>
      </c>
      <c r="X15" s="2163" t="s">
        <v>915</v>
      </c>
      <c r="Y15" s="2164" t="s">
        <v>668</v>
      </c>
      <c r="Z15" s="2163" t="s">
        <v>916</v>
      </c>
      <c r="AA15" s="2163" t="s">
        <v>915</v>
      </c>
      <c r="AB15" s="2164" t="s">
        <v>668</v>
      </c>
    </row>
    <row r="16" spans="1:28" ht="15" customHeight="1" x14ac:dyDescent="0.2">
      <c r="A16" s="1170"/>
      <c r="B16" s="1170"/>
      <c r="C16" s="1170"/>
      <c r="D16" s="1008" t="s">
        <v>415</v>
      </c>
      <c r="E16" s="1490">
        <v>68129</v>
      </c>
      <c r="F16" s="2165">
        <v>34731</v>
      </c>
      <c r="G16" s="1494">
        <f t="shared" ref="G16:G25" si="0">+F16/E16</f>
        <v>0.50978291182903024</v>
      </c>
      <c r="H16" s="1490">
        <v>64090</v>
      </c>
      <c r="I16" s="2165">
        <v>37345</v>
      </c>
      <c r="J16" s="1494">
        <f t="shared" ref="J16:J24" si="1">+I16/H16</f>
        <v>0.58269620845685755</v>
      </c>
      <c r="K16" s="1490">
        <v>65359</v>
      </c>
      <c r="L16" s="2165">
        <v>37997</v>
      </c>
      <c r="M16" s="1494">
        <f t="shared" ref="M16:M25" si="2">+L16/K16</f>
        <v>0.58135834391591057</v>
      </c>
      <c r="N16" s="1490">
        <v>63989</v>
      </c>
      <c r="O16" s="2165">
        <v>39443</v>
      </c>
      <c r="P16" s="1494">
        <f t="shared" ref="P16:P25" si="3">+O16/N16</f>
        <v>0.61640281923455598</v>
      </c>
      <c r="Q16" s="1490">
        <v>72138</v>
      </c>
      <c r="R16" s="2165">
        <v>46840</v>
      </c>
      <c r="S16" s="1494">
        <v>0.64900000000000002</v>
      </c>
      <c r="T16" s="1492">
        <v>66935</v>
      </c>
      <c r="U16" s="1493">
        <v>43777</v>
      </c>
      <c r="V16" s="2166">
        <v>0.65400000000000003</v>
      </c>
      <c r="W16" s="1492">
        <v>87090</v>
      </c>
      <c r="X16" s="1493">
        <v>49475</v>
      </c>
      <c r="Y16" s="1494">
        <v>0.56799999999999995</v>
      </c>
      <c r="Z16" s="1492">
        <v>82902</v>
      </c>
      <c r="AA16" s="1493">
        <v>49168</v>
      </c>
      <c r="AB16" s="1494">
        <f t="shared" ref="AB16:AB25" si="4">AA16/Z16</f>
        <v>0.59308581216375966</v>
      </c>
    </row>
    <row r="17" spans="1:28" ht="15" customHeight="1" x14ac:dyDescent="0.2">
      <c r="A17" s="1170"/>
      <c r="B17" s="1170"/>
      <c r="C17" s="1170"/>
      <c r="D17" s="1008" t="s">
        <v>417</v>
      </c>
      <c r="E17" s="1490">
        <v>29808</v>
      </c>
      <c r="F17" s="2165">
        <v>20680</v>
      </c>
      <c r="G17" s="1494">
        <f t="shared" si="0"/>
        <v>0.69377348362855606</v>
      </c>
      <c r="H17" s="1490">
        <v>27586</v>
      </c>
      <c r="I17" s="2165">
        <v>19484</v>
      </c>
      <c r="J17" s="1494">
        <f t="shared" si="1"/>
        <v>0.70630029725222943</v>
      </c>
      <c r="K17" s="1490">
        <v>25932</v>
      </c>
      <c r="L17" s="2165">
        <v>19618</v>
      </c>
      <c r="M17" s="1494">
        <f t="shared" si="2"/>
        <v>0.75651704457812741</v>
      </c>
      <c r="N17" s="1490">
        <v>24265</v>
      </c>
      <c r="O17" s="2165">
        <v>19676</v>
      </c>
      <c r="P17" s="1494">
        <f t="shared" si="3"/>
        <v>0.81087986812281065</v>
      </c>
      <c r="Q17" s="1490">
        <v>27105</v>
      </c>
      <c r="R17" s="2165">
        <v>23689</v>
      </c>
      <c r="S17" s="1494">
        <v>0.874</v>
      </c>
      <c r="T17" s="1492">
        <v>26440</v>
      </c>
      <c r="U17" s="1493">
        <v>21899</v>
      </c>
      <c r="V17" s="2166">
        <v>0.82799999999999996</v>
      </c>
      <c r="W17" s="1492">
        <v>31161</v>
      </c>
      <c r="X17" s="1493">
        <v>25416</v>
      </c>
      <c r="Y17" s="1494">
        <v>0.81599999999999995</v>
      </c>
      <c r="Z17" s="1492">
        <v>26786</v>
      </c>
      <c r="AA17" s="1493">
        <v>23629</v>
      </c>
      <c r="AB17" s="1494">
        <f t="shared" si="4"/>
        <v>0.88213992384081241</v>
      </c>
    </row>
    <row r="18" spans="1:28" ht="15" customHeight="1" x14ac:dyDescent="0.2">
      <c r="A18" s="1170"/>
      <c r="B18" s="1170"/>
      <c r="C18" s="1170"/>
      <c r="D18" s="1008" t="s">
        <v>420</v>
      </c>
      <c r="E18" s="1490">
        <v>98659</v>
      </c>
      <c r="F18" s="2165">
        <v>70871</v>
      </c>
      <c r="G18" s="1494">
        <f t="shared" si="0"/>
        <v>0.71834297935312541</v>
      </c>
      <c r="H18" s="1490">
        <v>92241</v>
      </c>
      <c r="I18" s="2165">
        <v>72538</v>
      </c>
      <c r="J18" s="1494">
        <f t="shared" si="1"/>
        <v>0.78639650480805712</v>
      </c>
      <c r="K18" s="1490">
        <v>85367</v>
      </c>
      <c r="L18" s="2165">
        <v>69216</v>
      </c>
      <c r="M18" s="1494">
        <f t="shared" si="2"/>
        <v>0.81080511204563821</v>
      </c>
      <c r="N18" s="1490">
        <v>89627</v>
      </c>
      <c r="O18" s="2165">
        <v>75214</v>
      </c>
      <c r="P18" s="1494">
        <f t="shared" si="3"/>
        <v>0.839189083646669</v>
      </c>
      <c r="Q18" s="1490">
        <v>97897</v>
      </c>
      <c r="R18" s="2165">
        <v>85122</v>
      </c>
      <c r="S18" s="1494">
        <v>0.87</v>
      </c>
      <c r="T18" s="1492">
        <v>99478</v>
      </c>
      <c r="U18" s="1493">
        <v>84247</v>
      </c>
      <c r="V18" s="2166">
        <v>0.84699999999999998</v>
      </c>
      <c r="W18" s="1492">
        <v>108442</v>
      </c>
      <c r="X18" s="1493">
        <v>91327</v>
      </c>
      <c r="Y18" s="1494">
        <v>0.84199999999999997</v>
      </c>
      <c r="Z18" s="1492">
        <v>103829</v>
      </c>
      <c r="AA18" s="1493">
        <v>88381</v>
      </c>
      <c r="AB18" s="1494">
        <f t="shared" si="4"/>
        <v>0.851216904718335</v>
      </c>
    </row>
    <row r="19" spans="1:28" ht="15" customHeight="1" x14ac:dyDescent="0.2">
      <c r="A19" s="1170"/>
      <c r="B19" s="1170"/>
      <c r="C19" s="1170"/>
      <c r="D19" s="1008" t="s">
        <v>418</v>
      </c>
      <c r="E19" s="1490">
        <v>132176</v>
      </c>
      <c r="F19" s="2165">
        <v>80733</v>
      </c>
      <c r="G19" s="1494">
        <f t="shared" si="0"/>
        <v>0.61079923738046238</v>
      </c>
      <c r="H19" s="1490">
        <v>122444</v>
      </c>
      <c r="I19" s="2165">
        <v>86556</v>
      </c>
      <c r="J19" s="1494">
        <f t="shared" si="1"/>
        <v>0.70690274737839343</v>
      </c>
      <c r="K19" s="1490">
        <v>122126</v>
      </c>
      <c r="L19" s="2165">
        <v>83204</v>
      </c>
      <c r="M19" s="1494">
        <f t="shared" si="2"/>
        <v>0.68129636604817978</v>
      </c>
      <c r="N19" s="1490">
        <v>127253</v>
      </c>
      <c r="O19" s="2165">
        <v>93003</v>
      </c>
      <c r="P19" s="1494">
        <f t="shared" si="3"/>
        <v>0.7308511390694129</v>
      </c>
      <c r="Q19" s="1490">
        <v>145278</v>
      </c>
      <c r="R19" s="2165">
        <v>112403</v>
      </c>
      <c r="S19" s="1494">
        <v>0.77400000000000002</v>
      </c>
      <c r="T19" s="1492">
        <v>139367</v>
      </c>
      <c r="U19" s="1493">
        <v>97144</v>
      </c>
      <c r="V19" s="2166">
        <v>0.69699999999999995</v>
      </c>
      <c r="W19" s="1492">
        <v>162658</v>
      </c>
      <c r="X19" s="1493">
        <v>98761</v>
      </c>
      <c r="Y19" s="1494">
        <v>0.60699999999999998</v>
      </c>
      <c r="Z19" s="1492">
        <v>147648</v>
      </c>
      <c r="AA19" s="1493">
        <v>98032</v>
      </c>
      <c r="AB19" s="1494">
        <f t="shared" si="4"/>
        <v>0.66395752058951019</v>
      </c>
    </row>
    <row r="20" spans="1:28" ht="15" customHeight="1" x14ac:dyDescent="0.2">
      <c r="A20" s="1170"/>
      <c r="B20" s="1170"/>
      <c r="C20" s="1170"/>
      <c r="D20" s="1008" t="s">
        <v>422</v>
      </c>
      <c r="E20" s="1490">
        <v>83350</v>
      </c>
      <c r="F20" s="2165">
        <v>40776</v>
      </c>
      <c r="G20" s="1494">
        <f t="shared" si="0"/>
        <v>0.48921415716856631</v>
      </c>
      <c r="H20" s="1490">
        <v>94632</v>
      </c>
      <c r="I20" s="2165">
        <v>54771</v>
      </c>
      <c r="J20" s="1494">
        <f t="shared" si="1"/>
        <v>0.57877884859244233</v>
      </c>
      <c r="K20" s="1490">
        <v>73731</v>
      </c>
      <c r="L20" s="2165">
        <v>47091</v>
      </c>
      <c r="M20" s="1494">
        <f t="shared" si="2"/>
        <v>0.63868657688082353</v>
      </c>
      <c r="N20" s="1490">
        <v>77360</v>
      </c>
      <c r="O20" s="2165">
        <v>51745</v>
      </c>
      <c r="P20" s="1494">
        <f t="shared" si="3"/>
        <v>0.66888572905894517</v>
      </c>
      <c r="Q20" s="1490">
        <v>82483</v>
      </c>
      <c r="R20" s="2165">
        <v>59184</v>
      </c>
      <c r="S20" s="1494">
        <v>0.71799999999999997</v>
      </c>
      <c r="T20" s="1492">
        <v>72990</v>
      </c>
      <c r="U20" s="1493">
        <v>53179</v>
      </c>
      <c r="V20" s="2166">
        <v>0.72899999999999998</v>
      </c>
      <c r="W20" s="1492">
        <v>101575</v>
      </c>
      <c r="X20" s="1493">
        <v>66946</v>
      </c>
      <c r="Y20" s="1494">
        <v>0.65900000000000003</v>
      </c>
      <c r="Z20" s="1492">
        <v>101807</v>
      </c>
      <c r="AA20" s="1493">
        <v>63595</v>
      </c>
      <c r="AB20" s="1494">
        <f t="shared" si="4"/>
        <v>0.62466235131179582</v>
      </c>
    </row>
    <row r="21" spans="1:28" ht="15" customHeight="1" x14ac:dyDescent="0.2">
      <c r="A21" s="1170"/>
      <c r="B21" s="1170"/>
      <c r="C21" s="1170"/>
      <c r="D21" s="1008" t="s">
        <v>421</v>
      </c>
      <c r="E21" s="1490">
        <v>53978</v>
      </c>
      <c r="F21" s="2165">
        <v>25852</v>
      </c>
      <c r="G21" s="1494">
        <f t="shared" si="0"/>
        <v>0.47893586275890176</v>
      </c>
      <c r="H21" s="1490">
        <v>51695</v>
      </c>
      <c r="I21" s="2165">
        <v>29382</v>
      </c>
      <c r="J21" s="1494">
        <f t="shared" si="1"/>
        <v>0.56837218299642134</v>
      </c>
      <c r="K21" s="1490">
        <v>48135</v>
      </c>
      <c r="L21" s="2165">
        <v>31187</v>
      </c>
      <c r="M21" s="1494">
        <f t="shared" si="2"/>
        <v>0.64790692843045605</v>
      </c>
      <c r="N21" s="1490">
        <v>47889</v>
      </c>
      <c r="O21" s="2165">
        <v>33504</v>
      </c>
      <c r="P21" s="1494">
        <f t="shared" si="3"/>
        <v>0.69961786631585543</v>
      </c>
      <c r="Q21" s="1490">
        <v>50053</v>
      </c>
      <c r="R21" s="2165">
        <v>38836</v>
      </c>
      <c r="S21" s="1494">
        <v>0.77600000000000002</v>
      </c>
      <c r="T21" s="1492">
        <v>45081</v>
      </c>
      <c r="U21" s="1493">
        <v>35615</v>
      </c>
      <c r="V21" s="2166">
        <v>0.79</v>
      </c>
      <c r="W21" s="1492">
        <v>54980</v>
      </c>
      <c r="X21" s="1493">
        <v>43229</v>
      </c>
      <c r="Y21" s="1494">
        <v>0.78600000000000003</v>
      </c>
      <c r="Z21" s="1492">
        <v>54251</v>
      </c>
      <c r="AA21" s="1493">
        <v>41801</v>
      </c>
      <c r="AB21" s="1494">
        <f t="shared" si="4"/>
        <v>0.77051114265174836</v>
      </c>
    </row>
    <row r="22" spans="1:28" ht="15" customHeight="1" x14ac:dyDescent="0.2">
      <c r="A22" s="1170"/>
      <c r="B22" s="1170"/>
      <c r="C22" s="1170"/>
      <c r="D22" s="1008" t="s">
        <v>419</v>
      </c>
      <c r="E22" s="1490">
        <v>30665</v>
      </c>
      <c r="F22" s="2165">
        <v>20700</v>
      </c>
      <c r="G22" s="1494">
        <f t="shared" si="0"/>
        <v>0.67503668677645523</v>
      </c>
      <c r="H22" s="1490">
        <v>28909</v>
      </c>
      <c r="I22" s="2165">
        <v>21874</v>
      </c>
      <c r="J22" s="1494">
        <f t="shared" si="1"/>
        <v>0.75665017814521429</v>
      </c>
      <c r="K22" s="1490">
        <v>25364</v>
      </c>
      <c r="L22" s="2165">
        <v>19737</v>
      </c>
      <c r="M22" s="1494">
        <f t="shared" si="2"/>
        <v>0.77815013404825739</v>
      </c>
      <c r="N22" s="1490">
        <v>27174</v>
      </c>
      <c r="O22" s="2165">
        <v>21609</v>
      </c>
      <c r="P22" s="1494">
        <f t="shared" si="3"/>
        <v>0.79520865533230289</v>
      </c>
      <c r="Q22" s="1490">
        <v>29140</v>
      </c>
      <c r="R22" s="2165">
        <v>25414</v>
      </c>
      <c r="S22" s="1494">
        <v>0.872</v>
      </c>
      <c r="T22" s="1492">
        <v>26066</v>
      </c>
      <c r="U22" s="1493">
        <v>22061</v>
      </c>
      <c r="V22" s="2166">
        <v>0.84599999999999997</v>
      </c>
      <c r="W22" s="1492">
        <v>33286</v>
      </c>
      <c r="X22" s="1493">
        <v>27118</v>
      </c>
      <c r="Y22" s="1494">
        <v>0.81499999999999995</v>
      </c>
      <c r="Z22" s="1492">
        <v>32045</v>
      </c>
      <c r="AA22" s="1493">
        <v>26448</v>
      </c>
      <c r="AB22" s="1494">
        <f t="shared" si="4"/>
        <v>0.82533936651583706</v>
      </c>
    </row>
    <row r="23" spans="1:28" ht="15" customHeight="1" x14ac:dyDescent="0.2">
      <c r="A23" s="1170"/>
      <c r="B23" s="1170"/>
      <c r="C23" s="1170"/>
      <c r="D23" s="1008" t="s">
        <v>416</v>
      </c>
      <c r="E23" s="1490">
        <v>10377</v>
      </c>
      <c r="F23" s="2165">
        <v>6356</v>
      </c>
      <c r="G23" s="1494">
        <f t="shared" si="0"/>
        <v>0.61250843210947292</v>
      </c>
      <c r="H23" s="1490">
        <v>10182</v>
      </c>
      <c r="I23" s="2165">
        <v>7366</v>
      </c>
      <c r="J23" s="1494">
        <f t="shared" si="1"/>
        <v>0.72343351011589074</v>
      </c>
      <c r="K23" s="1490">
        <v>10116</v>
      </c>
      <c r="L23" s="2165">
        <v>6957</v>
      </c>
      <c r="M23" s="1494">
        <f t="shared" si="2"/>
        <v>0.68772241992882566</v>
      </c>
      <c r="N23" s="1490">
        <v>8925</v>
      </c>
      <c r="O23" s="2165">
        <v>6661</v>
      </c>
      <c r="P23" s="1494">
        <f t="shared" si="3"/>
        <v>0.74633053221288514</v>
      </c>
      <c r="Q23" s="1490">
        <v>10403</v>
      </c>
      <c r="R23" s="2165">
        <v>7749</v>
      </c>
      <c r="S23" s="1494">
        <v>0.745</v>
      </c>
      <c r="T23" s="1492">
        <v>8794</v>
      </c>
      <c r="U23" s="1493">
        <v>6715</v>
      </c>
      <c r="V23" s="2166">
        <v>0.76400000000000001</v>
      </c>
      <c r="W23" s="1492">
        <v>11623</v>
      </c>
      <c r="X23" s="1493">
        <v>8064</v>
      </c>
      <c r="Y23" s="1494">
        <v>0.69399999999999995</v>
      </c>
      <c r="Z23" s="1492">
        <v>10041</v>
      </c>
      <c r="AA23" s="1493">
        <v>7902</v>
      </c>
      <c r="AB23" s="1494">
        <f t="shared" si="4"/>
        <v>0.78697340902300572</v>
      </c>
    </row>
    <row r="24" spans="1:28" ht="15" customHeight="1" x14ac:dyDescent="0.2">
      <c r="A24" s="1170"/>
      <c r="B24" s="1170"/>
      <c r="C24" s="1170"/>
      <c r="D24" s="1038" t="s">
        <v>414</v>
      </c>
      <c r="E24" s="2167">
        <v>44931</v>
      </c>
      <c r="F24" s="2168">
        <v>34017</v>
      </c>
      <c r="G24" s="2162">
        <f t="shared" si="0"/>
        <v>0.75709421112372299</v>
      </c>
      <c r="H24" s="2167">
        <v>45764</v>
      </c>
      <c r="I24" s="2168">
        <v>34831</v>
      </c>
      <c r="J24" s="2162">
        <f t="shared" si="1"/>
        <v>0.76110042828424085</v>
      </c>
      <c r="K24" s="2167">
        <v>39960</v>
      </c>
      <c r="L24" s="2168">
        <v>33110</v>
      </c>
      <c r="M24" s="2162">
        <f t="shared" si="2"/>
        <v>0.82857857857857853</v>
      </c>
      <c r="N24" s="2167">
        <v>44670</v>
      </c>
      <c r="O24" s="2168">
        <v>36974</v>
      </c>
      <c r="P24" s="2162">
        <f t="shared" si="3"/>
        <v>0.82771434967539737</v>
      </c>
      <c r="Q24" s="2167">
        <v>47615</v>
      </c>
      <c r="R24" s="2168">
        <v>40542</v>
      </c>
      <c r="S24" s="2162">
        <v>0.85099999999999998</v>
      </c>
      <c r="T24" s="1495">
        <v>47709</v>
      </c>
      <c r="U24" s="1496">
        <v>39237</v>
      </c>
      <c r="V24" s="2164">
        <v>0.82199999999999995</v>
      </c>
      <c r="W24" s="1495">
        <v>53721</v>
      </c>
      <c r="X24" s="1496">
        <v>45489</v>
      </c>
      <c r="Y24" s="1494">
        <v>0.84699999999999998</v>
      </c>
      <c r="Z24" s="1495">
        <v>50869</v>
      </c>
      <c r="AA24" s="1496">
        <v>43716</v>
      </c>
      <c r="AB24" s="1494">
        <f t="shared" si="4"/>
        <v>0.85938390768444439</v>
      </c>
    </row>
    <row r="25" spans="1:28" ht="15" customHeight="1" x14ac:dyDescent="0.2">
      <c r="A25" s="1170"/>
      <c r="B25" s="1170"/>
      <c r="C25" s="1170"/>
      <c r="D25" s="1037" t="s">
        <v>914</v>
      </c>
      <c r="E25" s="1034">
        <f>SUM(E16:E24)</f>
        <v>552073</v>
      </c>
      <c r="F25" s="1034">
        <f>SUM(F16:F24)</f>
        <v>334716</v>
      </c>
      <c r="G25" s="1035">
        <f t="shared" si="0"/>
        <v>0.60628938564284074</v>
      </c>
      <c r="H25" s="1036">
        <f>SUM(H16:H24)</f>
        <v>537543</v>
      </c>
      <c r="I25" s="1034">
        <f>SUM(I16:I24)</f>
        <v>364147</v>
      </c>
      <c r="J25" s="1035">
        <v>0.67800000000000005</v>
      </c>
      <c r="K25" s="1036">
        <f>SUM(K16:K24)</f>
        <v>496090</v>
      </c>
      <c r="L25" s="1034">
        <f>SUM(L16:L24)</f>
        <v>348117</v>
      </c>
      <c r="M25" s="1035">
        <f t="shared" si="2"/>
        <v>0.70172146183152251</v>
      </c>
      <c r="N25" s="1036">
        <v>511152</v>
      </c>
      <c r="O25" s="1034">
        <v>377829</v>
      </c>
      <c r="P25" s="1035">
        <f t="shared" si="3"/>
        <v>0.73917151845243689</v>
      </c>
      <c r="Q25" s="1034">
        <v>562112</v>
      </c>
      <c r="R25" s="1034">
        <v>439779</v>
      </c>
      <c r="S25" s="1033">
        <v>0.78200000000000003</v>
      </c>
      <c r="T25" s="1032">
        <f>SUM(T16:T24)</f>
        <v>532860</v>
      </c>
      <c r="U25" s="1032">
        <f>SUM(U16:U24)</f>
        <v>403874</v>
      </c>
      <c r="V25" s="1031">
        <v>0.75800000000000001</v>
      </c>
      <c r="W25" s="1032">
        <v>644536</v>
      </c>
      <c r="X25" s="1032">
        <v>455825</v>
      </c>
      <c r="Y25" s="1031">
        <v>0.70699999999999996</v>
      </c>
      <c r="Z25" s="1032">
        <v>610178</v>
      </c>
      <c r="AA25" s="1032">
        <v>442672</v>
      </c>
      <c r="AB25" s="1031">
        <f t="shared" si="4"/>
        <v>0.72548010580519129</v>
      </c>
    </row>
    <row r="26" spans="1:28" x14ac:dyDescent="0.2">
      <c r="A26" s="1170"/>
      <c r="B26" s="1170"/>
      <c r="C26" s="1170"/>
      <c r="D26" s="1008"/>
      <c r="E26" s="1030"/>
      <c r="F26" s="1030"/>
      <c r="G26" s="1029"/>
      <c r="H26" s="1008"/>
      <c r="I26" s="1030"/>
      <c r="J26" s="1029"/>
      <c r="K26" s="885"/>
      <c r="L26" s="885"/>
      <c r="M26" s="885"/>
      <c r="N26" s="885"/>
      <c r="O26" s="885"/>
      <c r="P26" s="885"/>
      <c r="Q26" s="885"/>
      <c r="R26" s="885"/>
      <c r="S26" s="885"/>
      <c r="T26" s="885"/>
      <c r="U26" s="885"/>
      <c r="V26" s="885"/>
      <c r="W26" s="885"/>
      <c r="X26" s="885"/>
    </row>
    <row r="27" spans="1:28" x14ac:dyDescent="0.2">
      <c r="A27" s="1170"/>
      <c r="B27" s="1170"/>
      <c r="C27" s="1170"/>
      <c r="D27" s="1008"/>
      <c r="E27" s="1030"/>
      <c r="F27" s="1030"/>
      <c r="G27" s="1029"/>
      <c r="H27" s="1008"/>
      <c r="I27" s="1030"/>
      <c r="J27" s="1029"/>
      <c r="K27" s="885"/>
      <c r="L27" s="885"/>
      <c r="M27" s="885"/>
      <c r="N27" s="885"/>
      <c r="O27" s="885"/>
      <c r="P27" s="885"/>
      <c r="Q27" s="885"/>
      <c r="R27" s="885"/>
      <c r="S27" s="885"/>
      <c r="T27" s="885"/>
      <c r="U27" s="885"/>
      <c r="V27" s="885"/>
      <c r="W27" s="885"/>
      <c r="X27" s="885"/>
    </row>
    <row r="28" spans="1:28" x14ac:dyDescent="0.2">
      <c r="A28" s="1170"/>
      <c r="B28" s="1170"/>
      <c r="C28" s="1170"/>
      <c r="D28" s="1008"/>
      <c r="E28" s="1030"/>
      <c r="F28" s="1030"/>
      <c r="G28" s="1029"/>
      <c r="H28" s="1008"/>
      <c r="I28" s="1030"/>
      <c r="J28" s="1029"/>
      <c r="K28" s="885"/>
      <c r="L28" s="885"/>
      <c r="M28" s="885"/>
      <c r="N28" s="885"/>
      <c r="O28" s="885"/>
      <c r="P28" s="885"/>
      <c r="Q28" s="885"/>
      <c r="R28" s="885"/>
      <c r="S28" s="885"/>
      <c r="T28" s="885"/>
      <c r="U28" s="885"/>
      <c r="V28" s="885"/>
      <c r="W28" s="885"/>
      <c r="X28" s="885"/>
    </row>
    <row r="29" spans="1:28" x14ac:dyDescent="0.2">
      <c r="A29" s="1170"/>
      <c r="B29" s="1170"/>
      <c r="C29" s="1170"/>
      <c r="D29" s="1008"/>
      <c r="E29" s="1030"/>
      <c r="F29" s="1030"/>
      <c r="G29" s="1029"/>
      <c r="H29" s="1008"/>
      <c r="I29" s="1030"/>
      <c r="J29" s="1029"/>
      <c r="K29" s="885"/>
      <c r="L29" s="885"/>
      <c r="M29" s="885"/>
      <c r="N29" s="885"/>
      <c r="O29" s="885"/>
      <c r="P29" s="885"/>
      <c r="Q29" s="885"/>
      <c r="R29" s="885"/>
      <c r="S29" s="885"/>
      <c r="T29" s="885"/>
      <c r="U29" s="885"/>
      <c r="V29" s="885"/>
      <c r="W29" s="885"/>
      <c r="X29" s="885"/>
    </row>
    <row r="30" spans="1:28" x14ac:dyDescent="0.2">
      <c r="A30" s="1170"/>
      <c r="B30" s="1170"/>
      <c r="C30" s="1170"/>
      <c r="D30" s="1008"/>
      <c r="E30" s="1030"/>
      <c r="F30" s="1030"/>
      <c r="G30" s="1029"/>
      <c r="H30" s="1008"/>
      <c r="I30" s="1030"/>
      <c r="J30" s="1029"/>
      <c r="K30" s="885"/>
      <c r="L30" s="885"/>
      <c r="M30" s="885"/>
      <c r="N30" s="885"/>
      <c r="O30" s="885"/>
      <c r="P30" s="885"/>
      <c r="Q30" s="885"/>
      <c r="R30" s="885"/>
      <c r="S30" s="885"/>
      <c r="T30" s="885"/>
      <c r="U30" s="885"/>
      <c r="V30" s="885"/>
      <c r="W30" s="885"/>
      <c r="X30" s="885"/>
    </row>
    <row r="31" spans="1:28" x14ac:dyDescent="0.2">
      <c r="A31" s="1170"/>
      <c r="B31" s="1170"/>
      <c r="C31" s="1170"/>
      <c r="D31" s="1008"/>
      <c r="E31" s="1030"/>
      <c r="F31" s="1030"/>
      <c r="G31" s="1029"/>
      <c r="H31" s="1008"/>
      <c r="I31" s="1030"/>
      <c r="J31" s="1029"/>
      <c r="K31" s="885"/>
      <c r="L31" s="885"/>
      <c r="M31" s="885"/>
      <c r="N31" s="885"/>
      <c r="O31" s="885"/>
      <c r="P31" s="885"/>
      <c r="Q31" s="885"/>
      <c r="R31" s="885"/>
      <c r="S31" s="885"/>
      <c r="T31" s="885"/>
      <c r="U31" s="885"/>
      <c r="V31" s="885"/>
      <c r="W31" s="885"/>
      <c r="X31" s="885"/>
    </row>
    <row r="32" spans="1:28" x14ac:dyDescent="0.2">
      <c r="A32" s="1170"/>
      <c r="B32" s="1170"/>
      <c r="C32" s="1170"/>
      <c r="D32" s="1008"/>
      <c r="E32" s="1030"/>
      <c r="F32" s="1030"/>
      <c r="G32" s="1029"/>
      <c r="H32" s="1008"/>
      <c r="I32" s="1030"/>
      <c r="J32" s="1029"/>
      <c r="K32" s="885"/>
      <c r="L32" s="885"/>
      <c r="M32" s="885"/>
      <c r="N32" s="885"/>
      <c r="O32" s="885"/>
      <c r="P32" s="885"/>
      <c r="Q32" s="885"/>
      <c r="R32" s="885"/>
      <c r="S32" s="885"/>
      <c r="T32" s="885"/>
      <c r="U32" s="885"/>
      <c r="V32" s="885"/>
      <c r="W32" s="885"/>
      <c r="X32" s="885"/>
    </row>
    <row r="33" spans="1:28" x14ac:dyDescent="0.2">
      <c r="A33" s="1170"/>
      <c r="B33" s="1170"/>
      <c r="C33" s="1170"/>
      <c r="D33" s="1008"/>
      <c r="E33" s="1030"/>
      <c r="F33" s="1030"/>
      <c r="G33" s="1029"/>
      <c r="H33" s="1008"/>
      <c r="I33" s="1030"/>
      <c r="J33" s="1029"/>
      <c r="K33" s="885"/>
      <c r="L33" s="885"/>
      <c r="M33" s="885"/>
      <c r="N33" s="885"/>
      <c r="O33" s="885"/>
      <c r="P33" s="885"/>
      <c r="Q33" s="885"/>
      <c r="R33" s="885"/>
      <c r="S33" s="885"/>
      <c r="T33" s="885"/>
      <c r="U33" s="885"/>
      <c r="V33" s="885"/>
      <c r="W33" s="885"/>
      <c r="X33" s="885"/>
    </row>
    <row r="34" spans="1:28" x14ac:dyDescent="0.2">
      <c r="A34" s="1170"/>
      <c r="B34" s="1170"/>
      <c r="C34" s="1170"/>
      <c r="D34" s="1008"/>
      <c r="E34" s="1030"/>
      <c r="F34" s="1030"/>
      <c r="G34" s="1029"/>
      <c r="H34" s="1008"/>
      <c r="I34" s="1030"/>
      <c r="J34" s="1029"/>
      <c r="K34" s="885"/>
      <c r="L34" s="885"/>
      <c r="M34" s="885"/>
      <c r="N34" s="885"/>
      <c r="O34" s="885"/>
      <c r="P34" s="885"/>
      <c r="Q34" s="885"/>
      <c r="R34" s="885"/>
      <c r="S34" s="885"/>
      <c r="T34" s="885"/>
      <c r="U34" s="885"/>
      <c r="V34" s="885"/>
      <c r="W34" s="885"/>
      <c r="X34" s="885"/>
    </row>
    <row r="35" spans="1:28" x14ac:dyDescent="0.2">
      <c r="A35" s="1170"/>
      <c r="B35" s="1170"/>
      <c r="C35" s="1170"/>
      <c r="D35" s="1008"/>
      <c r="E35" s="1030"/>
      <c r="F35" s="1030"/>
      <c r="G35" s="1029"/>
      <c r="H35" s="1008"/>
      <c r="I35" s="1030"/>
      <c r="J35" s="1029"/>
      <c r="K35" s="885"/>
      <c r="L35" s="885"/>
      <c r="M35" s="885"/>
      <c r="N35" s="885"/>
      <c r="O35" s="885"/>
      <c r="P35" s="885"/>
      <c r="Q35" s="885"/>
      <c r="R35" s="885"/>
      <c r="S35" s="885"/>
      <c r="T35" s="885"/>
      <c r="U35" s="885"/>
      <c r="V35" s="885"/>
      <c r="W35" s="885"/>
      <c r="X35" s="885"/>
    </row>
    <row r="36" spans="1:28" x14ac:dyDescent="0.2">
      <c r="A36" s="1170"/>
      <c r="B36" s="1170"/>
      <c r="C36" s="1170"/>
      <c r="D36" s="1008"/>
      <c r="E36" s="1030"/>
      <c r="F36" s="1030"/>
      <c r="G36" s="1029"/>
      <c r="H36" s="1008"/>
      <c r="I36" s="1030"/>
      <c r="J36" s="1029"/>
      <c r="K36" s="885"/>
      <c r="L36" s="885"/>
      <c r="M36" s="885"/>
      <c r="N36" s="885"/>
      <c r="O36" s="885"/>
      <c r="P36" s="885"/>
      <c r="Q36" s="885"/>
      <c r="R36" s="885"/>
      <c r="S36" s="885"/>
      <c r="T36" s="885"/>
      <c r="U36" s="885"/>
      <c r="V36" s="885"/>
      <c r="W36" s="885"/>
      <c r="X36" s="885"/>
    </row>
    <row r="37" spans="1:28" x14ac:dyDescent="0.2">
      <c r="A37" s="1170"/>
      <c r="B37" s="1170"/>
      <c r="C37" s="1170"/>
      <c r="D37" s="1008"/>
      <c r="E37" s="1030"/>
      <c r="F37" s="1030"/>
      <c r="G37" s="1029"/>
      <c r="H37" s="1008"/>
      <c r="I37" s="1030"/>
      <c r="J37" s="1029"/>
      <c r="K37" s="885"/>
      <c r="L37" s="885"/>
      <c r="M37" s="885"/>
      <c r="N37" s="885"/>
      <c r="O37" s="885"/>
      <c r="P37" s="885"/>
      <c r="Q37" s="885"/>
      <c r="R37" s="885"/>
      <c r="S37" s="885"/>
      <c r="T37" s="885"/>
      <c r="U37" s="885"/>
      <c r="V37" s="885"/>
      <c r="W37" s="885"/>
      <c r="X37" s="885"/>
    </row>
    <row r="38" spans="1:28" x14ac:dyDescent="0.2">
      <c r="A38" s="1170"/>
      <c r="B38" s="1170"/>
      <c r="C38" s="1170"/>
      <c r="D38" s="1008"/>
      <c r="E38" s="1030"/>
      <c r="F38" s="1030"/>
      <c r="G38" s="1029"/>
      <c r="H38" s="1008"/>
      <c r="I38" s="1030"/>
      <c r="J38" s="1029"/>
      <c r="K38" s="885"/>
      <c r="L38" s="885"/>
      <c r="M38" s="885"/>
      <c r="N38" s="885"/>
      <c r="O38" s="885"/>
      <c r="P38" s="885"/>
      <c r="Q38" s="885"/>
      <c r="R38" s="885"/>
      <c r="S38" s="885"/>
      <c r="T38" s="885"/>
      <c r="U38" s="885"/>
      <c r="V38" s="885"/>
      <c r="W38" s="885"/>
      <c r="X38" s="885"/>
    </row>
    <row r="39" spans="1:28" x14ac:dyDescent="0.2">
      <c r="A39" s="1170"/>
      <c r="B39" s="1170"/>
      <c r="C39" s="1170"/>
      <c r="D39" s="1008"/>
      <c r="E39" s="1030"/>
      <c r="F39" s="1030"/>
      <c r="G39" s="1029"/>
      <c r="H39" s="1008"/>
      <c r="I39" s="1030"/>
      <c r="J39" s="1029"/>
      <c r="K39" s="885"/>
      <c r="L39" s="885"/>
      <c r="M39" s="885"/>
      <c r="N39" s="885"/>
      <c r="O39" s="885"/>
      <c r="P39" s="885"/>
      <c r="Q39" s="885"/>
      <c r="R39" s="885"/>
      <c r="S39" s="885"/>
      <c r="T39" s="885"/>
      <c r="U39" s="885"/>
      <c r="V39" s="885"/>
      <c r="W39" s="885"/>
      <c r="X39" s="885"/>
    </row>
    <row r="40" spans="1:28" x14ac:dyDescent="0.2">
      <c r="A40" s="1170"/>
      <c r="B40" s="1170"/>
      <c r="C40" s="1170"/>
      <c r="D40" s="1008"/>
      <c r="E40" s="1030"/>
      <c r="F40" s="1030"/>
      <c r="G40" s="1029"/>
      <c r="H40" s="1008"/>
      <c r="I40" s="1030"/>
      <c r="J40" s="1029"/>
      <c r="K40" s="885"/>
      <c r="L40" s="885"/>
      <c r="M40" s="885"/>
      <c r="N40" s="885"/>
      <c r="O40" s="885"/>
      <c r="P40" s="885"/>
      <c r="Q40" s="885"/>
      <c r="R40" s="885"/>
      <c r="S40" s="885"/>
      <c r="T40" s="885"/>
      <c r="U40" s="885"/>
      <c r="V40" s="885"/>
      <c r="W40" s="885"/>
      <c r="X40" s="885"/>
    </row>
    <row r="41" spans="1:28" x14ac:dyDescent="0.2">
      <c r="A41" s="1170"/>
      <c r="B41" s="1170"/>
      <c r="C41" s="1170"/>
      <c r="D41" s="1008"/>
      <c r="E41" s="1030"/>
      <c r="F41" s="1007"/>
      <c r="G41" s="1029"/>
      <c r="H41" s="1008"/>
      <c r="I41" s="1007"/>
      <c r="J41" s="1029"/>
      <c r="K41" s="885"/>
      <c r="L41" s="885"/>
      <c r="M41" s="885"/>
      <c r="N41" s="885"/>
      <c r="O41" s="885"/>
      <c r="P41" s="885"/>
      <c r="Q41" s="885"/>
      <c r="R41" s="885"/>
      <c r="S41" s="885"/>
      <c r="T41" s="885"/>
      <c r="U41" s="885"/>
      <c r="V41" s="885"/>
      <c r="W41" s="885"/>
      <c r="X41" s="885"/>
    </row>
    <row r="42" spans="1:28" x14ac:dyDescent="0.2">
      <c r="A42" s="1170"/>
      <c r="B42" s="1170"/>
      <c r="C42" s="1170"/>
      <c r="D42" s="885"/>
      <c r="E42" s="885"/>
      <c r="F42" s="885"/>
      <c r="G42" s="885"/>
      <c r="H42" s="885"/>
      <c r="I42" s="885"/>
      <c r="J42" s="885"/>
      <c r="K42" s="885"/>
      <c r="L42" s="885"/>
      <c r="M42" s="885"/>
      <c r="N42" s="885"/>
      <c r="O42" s="885"/>
      <c r="P42" s="885"/>
      <c r="Q42" s="885"/>
      <c r="R42" s="885"/>
      <c r="S42" s="885"/>
      <c r="T42" s="885"/>
      <c r="U42" s="885"/>
    </row>
    <row r="43" spans="1:28" x14ac:dyDescent="0.2">
      <c r="A43" s="1170"/>
      <c r="B43" s="1170"/>
      <c r="C43" s="1170"/>
      <c r="D43" s="885"/>
      <c r="E43" s="885"/>
      <c r="F43" s="885"/>
      <c r="G43" s="885"/>
      <c r="H43" s="885"/>
      <c r="I43" s="885"/>
      <c r="J43" s="885"/>
      <c r="K43" s="885"/>
      <c r="L43" s="885"/>
      <c r="M43" s="885"/>
      <c r="N43" s="885"/>
      <c r="O43" s="885"/>
      <c r="P43" s="885"/>
      <c r="Q43" s="885"/>
      <c r="R43" s="885"/>
      <c r="S43" s="885"/>
      <c r="T43" s="885"/>
      <c r="U43" s="885"/>
    </row>
    <row r="44" spans="1:28" ht="14.25" customHeight="1" x14ac:dyDescent="0.2">
      <c r="A44" s="453">
        <v>5</v>
      </c>
      <c r="B44" s="453" t="s">
        <v>78</v>
      </c>
      <c r="C44" s="453"/>
      <c r="D44" s="3553" t="s">
        <v>913</v>
      </c>
      <c r="E44" s="3554"/>
      <c r="F44" s="3554"/>
      <c r="G44" s="3554"/>
      <c r="H44" s="3554"/>
      <c r="I44" s="3554"/>
      <c r="J44" s="3554"/>
      <c r="K44" s="3554"/>
      <c r="L44" s="3554"/>
      <c r="M44" s="3554"/>
      <c r="N44" s="3554"/>
      <c r="O44" s="3554"/>
      <c r="P44" s="3554"/>
      <c r="Q44" s="3554"/>
      <c r="R44" s="3554"/>
      <c r="S44" s="3554"/>
      <c r="T44" s="3554"/>
      <c r="U44" s="3554"/>
      <c r="V44" s="3554"/>
      <c r="W44" s="3554"/>
      <c r="X44" s="3554"/>
      <c r="Y44" s="3554"/>
      <c r="Z44" s="3554"/>
      <c r="AA44" s="3554"/>
      <c r="AB44" s="3555"/>
    </row>
    <row r="45" spans="1:28" ht="15" customHeight="1" x14ac:dyDescent="0.2">
      <c r="A45" s="472">
        <v>6</v>
      </c>
      <c r="B45" s="472" t="s">
        <v>80</v>
      </c>
      <c r="C45" s="472"/>
      <c r="D45" s="3578" t="s">
        <v>912</v>
      </c>
      <c r="E45" s="3579"/>
      <c r="F45" s="3579"/>
      <c r="G45" s="3579"/>
      <c r="H45" s="3579"/>
      <c r="I45" s="3579"/>
      <c r="J45" s="3579"/>
      <c r="K45" s="3579"/>
      <c r="L45" s="3579"/>
      <c r="M45" s="3579"/>
      <c r="N45" s="3579"/>
      <c r="O45" s="3579"/>
      <c r="P45" s="3579"/>
      <c r="Q45" s="3579"/>
      <c r="R45" s="3579"/>
      <c r="S45" s="3579"/>
      <c r="T45" s="3579"/>
      <c r="U45" s="3579"/>
      <c r="V45" s="3579"/>
      <c r="W45" s="3579"/>
      <c r="X45" s="3579"/>
      <c r="Y45" s="3579"/>
      <c r="Z45" s="3579"/>
      <c r="AA45" s="3579"/>
      <c r="AB45" s="3580"/>
    </row>
    <row r="46" spans="1:28" ht="14.25" customHeight="1" x14ac:dyDescent="0.2">
      <c r="A46" s="453">
        <v>7</v>
      </c>
      <c r="B46" s="453" t="s">
        <v>20</v>
      </c>
      <c r="C46" s="453"/>
      <c r="D46" s="3553" t="s">
        <v>911</v>
      </c>
      <c r="E46" s="3554"/>
      <c r="F46" s="3554"/>
      <c r="G46" s="3554"/>
      <c r="H46" s="3554"/>
      <c r="I46" s="3554"/>
      <c r="J46" s="3554"/>
      <c r="K46" s="3554"/>
      <c r="L46" s="3554"/>
      <c r="M46" s="3554"/>
      <c r="N46" s="3554"/>
      <c r="O46" s="3554"/>
      <c r="P46" s="3554"/>
      <c r="Q46" s="3554"/>
      <c r="R46" s="3554"/>
      <c r="S46" s="3554"/>
      <c r="T46" s="3554"/>
      <c r="U46" s="3554"/>
      <c r="V46" s="3554"/>
      <c r="W46" s="3554"/>
      <c r="X46" s="3554"/>
      <c r="Y46" s="3554"/>
      <c r="Z46" s="3554"/>
      <c r="AA46" s="3554"/>
      <c r="AB46" s="3555"/>
    </row>
    <row r="47" spans="1:28" ht="14.25" customHeight="1" x14ac:dyDescent="0.2">
      <c r="A47" s="453">
        <v>8</v>
      </c>
      <c r="B47" s="453" t="s">
        <v>157</v>
      </c>
      <c r="D47" s="3553" t="s">
        <v>910</v>
      </c>
      <c r="E47" s="3554"/>
      <c r="F47" s="3554"/>
      <c r="G47" s="3554"/>
      <c r="H47" s="3554"/>
      <c r="I47" s="3554"/>
      <c r="J47" s="3554"/>
      <c r="K47" s="3554"/>
      <c r="L47" s="3554"/>
      <c r="M47" s="3554"/>
      <c r="N47" s="3554"/>
      <c r="O47" s="3554"/>
      <c r="P47" s="3554"/>
      <c r="Q47" s="3554"/>
      <c r="R47" s="3554"/>
      <c r="S47" s="3554"/>
      <c r="T47" s="3554"/>
      <c r="U47" s="3554"/>
      <c r="V47" s="3554"/>
      <c r="W47" s="3554"/>
      <c r="X47" s="3554"/>
      <c r="Y47" s="3554"/>
      <c r="Z47" s="3554"/>
      <c r="AA47" s="3554"/>
      <c r="AB47" s="3555"/>
    </row>
    <row r="48" spans="1:28" x14ac:dyDescent="0.2">
      <c r="A48" s="2169"/>
      <c r="B48" s="886"/>
      <c r="C48" s="886"/>
    </row>
    <row r="49" spans="2:16" x14ac:dyDescent="0.2">
      <c r="B49" s="268"/>
      <c r="C49" s="268"/>
      <c r="D49" s="959"/>
      <c r="E49" s="959"/>
      <c r="F49" s="959"/>
      <c r="G49" s="959"/>
      <c r="H49" s="959"/>
      <c r="I49" s="959"/>
      <c r="J49" s="959"/>
      <c r="K49" s="959"/>
      <c r="L49" s="959"/>
      <c r="M49" s="959"/>
      <c r="N49" s="959"/>
      <c r="O49" s="959"/>
      <c r="P49" s="959"/>
    </row>
    <row r="50" spans="2:16" x14ac:dyDescent="0.2">
      <c r="D50" s="959"/>
      <c r="E50" s="959"/>
      <c r="F50" s="959"/>
      <c r="G50" s="959"/>
      <c r="H50" s="959"/>
      <c r="I50" s="959"/>
      <c r="J50" s="959"/>
      <c r="K50" s="959"/>
      <c r="L50" s="959"/>
      <c r="M50" s="959"/>
      <c r="N50" s="959"/>
      <c r="O50" s="959"/>
      <c r="P50" s="959"/>
    </row>
    <row r="51" spans="2:16" x14ac:dyDescent="0.2">
      <c r="D51" s="959"/>
      <c r="E51" s="959"/>
      <c r="F51" s="959"/>
      <c r="G51" s="959"/>
      <c r="H51" s="959"/>
      <c r="I51" s="959"/>
      <c r="J51" s="959"/>
      <c r="K51" s="959"/>
      <c r="L51" s="959"/>
      <c r="M51" s="959"/>
      <c r="N51" s="959"/>
      <c r="O51" s="959"/>
      <c r="P51" s="959"/>
    </row>
    <row r="52" spans="2:16" x14ac:dyDescent="0.2">
      <c r="D52" s="1008"/>
      <c r="E52" s="1008"/>
      <c r="F52" s="1008"/>
      <c r="G52" s="1008"/>
      <c r="H52" s="1008"/>
      <c r="I52" s="1008"/>
      <c r="J52" s="1008"/>
      <c r="K52" s="1008"/>
      <c r="L52" s="1008"/>
      <c r="M52" s="1008"/>
      <c r="N52" s="1008"/>
      <c r="O52" s="1008"/>
      <c r="P52" s="959"/>
    </row>
    <row r="53" spans="2:16" x14ac:dyDescent="0.2">
      <c r="D53" s="3830"/>
      <c r="E53" s="1008"/>
      <c r="F53" s="1030"/>
      <c r="G53" s="1030"/>
      <c r="H53" s="1030"/>
      <c r="I53" s="1030"/>
      <c r="J53" s="1030"/>
      <c r="K53" s="1030"/>
      <c r="L53" s="1030"/>
      <c r="M53" s="1030"/>
      <c r="N53" s="1030"/>
      <c r="O53" s="1030"/>
      <c r="P53" s="959"/>
    </row>
    <row r="54" spans="2:16" x14ac:dyDescent="0.2">
      <c r="D54" s="3830"/>
      <c r="E54" s="1008"/>
      <c r="F54" s="1030"/>
      <c r="G54" s="1030"/>
      <c r="H54" s="1030"/>
      <c r="I54" s="1030"/>
      <c r="J54" s="1030"/>
      <c r="K54" s="1030"/>
      <c r="L54" s="1030"/>
      <c r="M54" s="1030"/>
      <c r="N54" s="1030"/>
      <c r="O54" s="1007"/>
      <c r="P54" s="959"/>
    </row>
    <row r="55" spans="2:16" x14ac:dyDescent="0.2">
      <c r="D55" s="3830"/>
      <c r="E55" s="1008"/>
      <c r="F55" s="1029"/>
      <c r="G55" s="1029"/>
      <c r="H55" s="1029"/>
      <c r="I55" s="1029"/>
      <c r="J55" s="1029"/>
      <c r="K55" s="1029"/>
      <c r="L55" s="1029"/>
      <c r="M55" s="1029"/>
      <c r="N55" s="1029"/>
      <c r="O55" s="1029"/>
      <c r="P55" s="959"/>
    </row>
    <row r="56" spans="2:16" x14ac:dyDescent="0.2">
      <c r="D56" s="3830"/>
      <c r="E56" s="1008"/>
      <c r="F56" s="1008"/>
      <c r="G56" s="1008"/>
      <c r="H56" s="1008"/>
      <c r="I56" s="1008"/>
      <c r="J56" s="1008"/>
      <c r="K56" s="1008"/>
      <c r="L56" s="1008"/>
      <c r="M56" s="1008"/>
      <c r="N56" s="1008"/>
      <c r="O56" s="1008"/>
      <c r="P56" s="959"/>
    </row>
    <row r="57" spans="2:16" x14ac:dyDescent="0.2">
      <c r="D57" s="3830"/>
      <c r="E57" s="1008"/>
      <c r="F57" s="1030"/>
      <c r="G57" s="1030"/>
      <c r="H57" s="1030"/>
      <c r="I57" s="1030"/>
      <c r="J57" s="1030"/>
      <c r="K57" s="1030"/>
      <c r="L57" s="1030"/>
      <c r="M57" s="1030"/>
      <c r="N57" s="1030"/>
      <c r="O57" s="1007"/>
      <c r="P57" s="959"/>
    </row>
    <row r="58" spans="2:16" x14ac:dyDescent="0.2">
      <c r="D58" s="3830"/>
      <c r="E58" s="1008"/>
      <c r="F58" s="1029"/>
      <c r="G58" s="1029"/>
      <c r="H58" s="1029"/>
      <c r="I58" s="1029"/>
      <c r="J58" s="1029"/>
      <c r="K58" s="1029"/>
      <c r="L58" s="1029"/>
      <c r="M58" s="1029"/>
      <c r="N58" s="1029"/>
      <c r="O58" s="1029"/>
      <c r="P58" s="959"/>
    </row>
    <row r="59" spans="2:16" x14ac:dyDescent="0.2">
      <c r="D59" s="959"/>
      <c r="E59" s="959"/>
      <c r="F59" s="959"/>
      <c r="G59" s="959"/>
      <c r="H59" s="959"/>
      <c r="I59" s="959"/>
      <c r="J59" s="959"/>
      <c r="K59" s="959"/>
      <c r="L59" s="959"/>
      <c r="M59" s="959"/>
      <c r="N59" s="959"/>
      <c r="O59" s="959"/>
      <c r="P59" s="959"/>
    </row>
    <row r="60" spans="2:16" x14ac:dyDescent="0.2">
      <c r="D60" s="959"/>
      <c r="E60" s="959"/>
      <c r="F60" s="959"/>
      <c r="G60" s="959"/>
      <c r="H60" s="959"/>
      <c r="I60" s="959"/>
      <c r="J60" s="959"/>
      <c r="K60" s="959"/>
      <c r="L60" s="959"/>
      <c r="M60" s="959"/>
      <c r="N60" s="959"/>
      <c r="O60" s="959"/>
      <c r="P60" s="959"/>
    </row>
  </sheetData>
  <mergeCells count="18">
    <mergeCell ref="D2:AB2"/>
    <mergeCell ref="D3:AB3"/>
    <mergeCell ref="D4:AB4"/>
    <mergeCell ref="D44:AB44"/>
    <mergeCell ref="D45:AB45"/>
    <mergeCell ref="Z14:AB14"/>
    <mergeCell ref="E13:J13"/>
    <mergeCell ref="D53:D55"/>
    <mergeCell ref="D56:D58"/>
    <mergeCell ref="W14:Y14"/>
    <mergeCell ref="T14:V14"/>
    <mergeCell ref="D46:AB46"/>
    <mergeCell ref="D47:AB47"/>
    <mergeCell ref="E14:G14"/>
    <mergeCell ref="H14:J14"/>
    <mergeCell ref="K14:M14"/>
    <mergeCell ref="N14:P14"/>
    <mergeCell ref="Q14:S14"/>
  </mergeCells>
  <pageMargins left="0.74803149606299213" right="0.74803149606299213" top="0.98425196850393704" bottom="0.98425196850393704" header="0.51181102362204722" footer="0.51181102362204722"/>
  <pageSetup paperSize="9" scale="55"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36"/>
  <sheetViews>
    <sheetView showGridLines="0" view="pageBreakPreview" topLeftCell="J1" zoomScaleNormal="100" zoomScaleSheetLayoutView="100" workbookViewId="0">
      <selection activeCell="D33" sqref="D33:Z33"/>
    </sheetView>
  </sheetViews>
  <sheetFormatPr defaultColWidth="9.140625" defaultRowHeight="15" x14ac:dyDescent="0.2"/>
  <cols>
    <col min="1" max="1" width="3.7109375" style="2126" customWidth="1"/>
    <col min="2" max="2" width="14.42578125" style="866" customWidth="1"/>
    <col min="3" max="3" width="3.28515625" style="866" customWidth="1"/>
    <col min="4" max="4" width="41" style="865" customWidth="1"/>
    <col min="5" max="13" width="9.28515625" style="865" customWidth="1"/>
    <col min="14" max="19" width="9.28515625" style="865" hidden="1" customWidth="1"/>
    <col min="20" max="20" width="9.28515625" style="865" customWidth="1"/>
    <col min="21" max="258" width="9.140625" style="865"/>
    <col min="259" max="259" width="3.7109375" style="865" customWidth="1"/>
    <col min="260" max="260" width="14.42578125" style="865" customWidth="1"/>
    <col min="261" max="261" width="3.7109375" style="865" customWidth="1"/>
    <col min="262" max="262" width="20.85546875" style="865" customWidth="1"/>
    <col min="263" max="278" width="9.28515625" style="865" customWidth="1"/>
    <col min="279" max="514" width="9.140625" style="865"/>
    <col min="515" max="515" width="3.7109375" style="865" customWidth="1"/>
    <col min="516" max="516" width="14.42578125" style="865" customWidth="1"/>
    <col min="517" max="517" width="3.7109375" style="865" customWidth="1"/>
    <col min="518" max="518" width="20.85546875" style="865" customWidth="1"/>
    <col min="519" max="534" width="9.28515625" style="865" customWidth="1"/>
    <col min="535" max="770" width="9.140625" style="865"/>
    <col min="771" max="771" width="3.7109375" style="865" customWidth="1"/>
    <col min="772" max="772" width="14.42578125" style="865" customWidth="1"/>
    <col min="773" max="773" width="3.7109375" style="865" customWidth="1"/>
    <col min="774" max="774" width="20.85546875" style="865" customWidth="1"/>
    <col min="775" max="790" width="9.28515625" style="865" customWidth="1"/>
    <col min="791" max="1026" width="9.140625" style="865"/>
    <col min="1027" max="1027" width="3.7109375" style="865" customWidth="1"/>
    <col min="1028" max="1028" width="14.42578125" style="865" customWidth="1"/>
    <col min="1029" max="1029" width="3.7109375" style="865" customWidth="1"/>
    <col min="1030" max="1030" width="20.85546875" style="865" customWidth="1"/>
    <col min="1031" max="1046" width="9.28515625" style="865" customWidth="1"/>
    <col min="1047" max="1282" width="9.140625" style="865"/>
    <col min="1283" max="1283" width="3.7109375" style="865" customWidth="1"/>
    <col min="1284" max="1284" width="14.42578125" style="865" customWidth="1"/>
    <col min="1285" max="1285" width="3.7109375" style="865" customWidth="1"/>
    <col min="1286" max="1286" width="20.85546875" style="865" customWidth="1"/>
    <col min="1287" max="1302" width="9.28515625" style="865" customWidth="1"/>
    <col min="1303" max="1538" width="9.140625" style="865"/>
    <col min="1539" max="1539" width="3.7109375" style="865" customWidth="1"/>
    <col min="1540" max="1540" width="14.42578125" style="865" customWidth="1"/>
    <col min="1541" max="1541" width="3.7109375" style="865" customWidth="1"/>
    <col min="1542" max="1542" width="20.85546875" style="865" customWidth="1"/>
    <col min="1543" max="1558" width="9.28515625" style="865" customWidth="1"/>
    <col min="1559" max="1794" width="9.140625" style="865"/>
    <col min="1795" max="1795" width="3.7109375" style="865" customWidth="1"/>
    <col min="1796" max="1796" width="14.42578125" style="865" customWidth="1"/>
    <col min="1797" max="1797" width="3.7109375" style="865" customWidth="1"/>
    <col min="1798" max="1798" width="20.85546875" style="865" customWidth="1"/>
    <col min="1799" max="1814" width="9.28515625" style="865" customWidth="1"/>
    <col min="1815" max="2050" width="9.140625" style="865"/>
    <col min="2051" max="2051" width="3.7109375" style="865" customWidth="1"/>
    <col min="2052" max="2052" width="14.42578125" style="865" customWidth="1"/>
    <col min="2053" max="2053" width="3.7109375" style="865" customWidth="1"/>
    <col min="2054" max="2054" width="20.85546875" style="865" customWidth="1"/>
    <col min="2055" max="2070" width="9.28515625" style="865" customWidth="1"/>
    <col min="2071" max="2306" width="9.140625" style="865"/>
    <col min="2307" max="2307" width="3.7109375" style="865" customWidth="1"/>
    <col min="2308" max="2308" width="14.42578125" style="865" customWidth="1"/>
    <col min="2309" max="2309" width="3.7109375" style="865" customWidth="1"/>
    <col min="2310" max="2310" width="20.85546875" style="865" customWidth="1"/>
    <col min="2311" max="2326" width="9.28515625" style="865" customWidth="1"/>
    <col min="2327" max="2562" width="9.140625" style="865"/>
    <col min="2563" max="2563" width="3.7109375" style="865" customWidth="1"/>
    <col min="2564" max="2564" width="14.42578125" style="865" customWidth="1"/>
    <col min="2565" max="2565" width="3.7109375" style="865" customWidth="1"/>
    <col min="2566" max="2566" width="20.85546875" style="865" customWidth="1"/>
    <col min="2567" max="2582" width="9.28515625" style="865" customWidth="1"/>
    <col min="2583" max="2818" width="9.140625" style="865"/>
    <col min="2819" max="2819" width="3.7109375" style="865" customWidth="1"/>
    <col min="2820" max="2820" width="14.42578125" style="865" customWidth="1"/>
    <col min="2821" max="2821" width="3.7109375" style="865" customWidth="1"/>
    <col min="2822" max="2822" width="20.85546875" style="865" customWidth="1"/>
    <col min="2823" max="2838" width="9.28515625" style="865" customWidth="1"/>
    <col min="2839" max="3074" width="9.140625" style="865"/>
    <col min="3075" max="3075" width="3.7109375" style="865" customWidth="1"/>
    <col min="3076" max="3076" width="14.42578125" style="865" customWidth="1"/>
    <col min="3077" max="3077" width="3.7109375" style="865" customWidth="1"/>
    <col min="3078" max="3078" width="20.85546875" style="865" customWidth="1"/>
    <col min="3079" max="3094" width="9.28515625" style="865" customWidth="1"/>
    <col min="3095" max="3330" width="9.140625" style="865"/>
    <col min="3331" max="3331" width="3.7109375" style="865" customWidth="1"/>
    <col min="3332" max="3332" width="14.42578125" style="865" customWidth="1"/>
    <col min="3333" max="3333" width="3.7109375" style="865" customWidth="1"/>
    <col min="3334" max="3334" width="20.85546875" style="865" customWidth="1"/>
    <col min="3335" max="3350" width="9.28515625" style="865" customWidth="1"/>
    <col min="3351" max="3586" width="9.140625" style="865"/>
    <col min="3587" max="3587" width="3.7109375" style="865" customWidth="1"/>
    <col min="3588" max="3588" width="14.42578125" style="865" customWidth="1"/>
    <col min="3589" max="3589" width="3.7109375" style="865" customWidth="1"/>
    <col min="3590" max="3590" width="20.85546875" style="865" customWidth="1"/>
    <col min="3591" max="3606" width="9.28515625" style="865" customWidth="1"/>
    <col min="3607" max="3842" width="9.140625" style="865"/>
    <col min="3843" max="3843" width="3.7109375" style="865" customWidth="1"/>
    <col min="3844" max="3844" width="14.42578125" style="865" customWidth="1"/>
    <col min="3845" max="3845" width="3.7109375" style="865" customWidth="1"/>
    <col min="3846" max="3846" width="20.85546875" style="865" customWidth="1"/>
    <col min="3847" max="3862" width="9.28515625" style="865" customWidth="1"/>
    <col min="3863" max="4098" width="9.140625" style="865"/>
    <col min="4099" max="4099" width="3.7109375" style="865" customWidth="1"/>
    <col min="4100" max="4100" width="14.42578125" style="865" customWidth="1"/>
    <col min="4101" max="4101" width="3.7109375" style="865" customWidth="1"/>
    <col min="4102" max="4102" width="20.85546875" style="865" customWidth="1"/>
    <col min="4103" max="4118" width="9.28515625" style="865" customWidth="1"/>
    <col min="4119" max="4354" width="9.140625" style="865"/>
    <col min="4355" max="4355" width="3.7109375" style="865" customWidth="1"/>
    <col min="4356" max="4356" width="14.42578125" style="865" customWidth="1"/>
    <col min="4357" max="4357" width="3.7109375" style="865" customWidth="1"/>
    <col min="4358" max="4358" width="20.85546875" style="865" customWidth="1"/>
    <col min="4359" max="4374" width="9.28515625" style="865" customWidth="1"/>
    <col min="4375" max="4610" width="9.140625" style="865"/>
    <col min="4611" max="4611" width="3.7109375" style="865" customWidth="1"/>
    <col min="4612" max="4612" width="14.42578125" style="865" customWidth="1"/>
    <col min="4613" max="4613" width="3.7109375" style="865" customWidth="1"/>
    <col min="4614" max="4614" width="20.85546875" style="865" customWidth="1"/>
    <col min="4615" max="4630" width="9.28515625" style="865" customWidth="1"/>
    <col min="4631" max="4866" width="9.140625" style="865"/>
    <col min="4867" max="4867" width="3.7109375" style="865" customWidth="1"/>
    <col min="4868" max="4868" width="14.42578125" style="865" customWidth="1"/>
    <col min="4869" max="4869" width="3.7109375" style="865" customWidth="1"/>
    <col min="4870" max="4870" width="20.85546875" style="865" customWidth="1"/>
    <col min="4871" max="4886" width="9.28515625" style="865" customWidth="1"/>
    <col min="4887" max="5122" width="9.140625" style="865"/>
    <col min="5123" max="5123" width="3.7109375" style="865" customWidth="1"/>
    <col min="5124" max="5124" width="14.42578125" style="865" customWidth="1"/>
    <col min="5125" max="5125" width="3.7109375" style="865" customWidth="1"/>
    <col min="5126" max="5126" width="20.85546875" style="865" customWidth="1"/>
    <col min="5127" max="5142" width="9.28515625" style="865" customWidth="1"/>
    <col min="5143" max="5378" width="9.140625" style="865"/>
    <col min="5379" max="5379" width="3.7109375" style="865" customWidth="1"/>
    <col min="5380" max="5380" width="14.42578125" style="865" customWidth="1"/>
    <col min="5381" max="5381" width="3.7109375" style="865" customWidth="1"/>
    <col min="5382" max="5382" width="20.85546875" style="865" customWidth="1"/>
    <col min="5383" max="5398" width="9.28515625" style="865" customWidth="1"/>
    <col min="5399" max="5634" width="9.140625" style="865"/>
    <col min="5635" max="5635" width="3.7109375" style="865" customWidth="1"/>
    <col min="5636" max="5636" width="14.42578125" style="865" customWidth="1"/>
    <col min="5637" max="5637" width="3.7109375" style="865" customWidth="1"/>
    <col min="5638" max="5638" width="20.85546875" style="865" customWidth="1"/>
    <col min="5639" max="5654" width="9.28515625" style="865" customWidth="1"/>
    <col min="5655" max="5890" width="9.140625" style="865"/>
    <col min="5891" max="5891" width="3.7109375" style="865" customWidth="1"/>
    <col min="5892" max="5892" width="14.42578125" style="865" customWidth="1"/>
    <col min="5893" max="5893" width="3.7109375" style="865" customWidth="1"/>
    <col min="5894" max="5894" width="20.85546875" style="865" customWidth="1"/>
    <col min="5895" max="5910" width="9.28515625" style="865" customWidth="1"/>
    <col min="5911" max="6146" width="9.140625" style="865"/>
    <col min="6147" max="6147" width="3.7109375" style="865" customWidth="1"/>
    <col min="6148" max="6148" width="14.42578125" style="865" customWidth="1"/>
    <col min="6149" max="6149" width="3.7109375" style="865" customWidth="1"/>
    <col min="6150" max="6150" width="20.85546875" style="865" customWidth="1"/>
    <col min="6151" max="6166" width="9.28515625" style="865" customWidth="1"/>
    <col min="6167" max="6402" width="9.140625" style="865"/>
    <col min="6403" max="6403" width="3.7109375" style="865" customWidth="1"/>
    <col min="6404" max="6404" width="14.42578125" style="865" customWidth="1"/>
    <col min="6405" max="6405" width="3.7109375" style="865" customWidth="1"/>
    <col min="6406" max="6406" width="20.85546875" style="865" customWidth="1"/>
    <col min="6407" max="6422" width="9.28515625" style="865" customWidth="1"/>
    <col min="6423" max="6658" width="9.140625" style="865"/>
    <col min="6659" max="6659" width="3.7109375" style="865" customWidth="1"/>
    <col min="6660" max="6660" width="14.42578125" style="865" customWidth="1"/>
    <col min="6661" max="6661" width="3.7109375" style="865" customWidth="1"/>
    <col min="6662" max="6662" width="20.85546875" style="865" customWidth="1"/>
    <col min="6663" max="6678" width="9.28515625" style="865" customWidth="1"/>
    <col min="6679" max="6914" width="9.140625" style="865"/>
    <col min="6915" max="6915" width="3.7109375" style="865" customWidth="1"/>
    <col min="6916" max="6916" width="14.42578125" style="865" customWidth="1"/>
    <col min="6917" max="6917" width="3.7109375" style="865" customWidth="1"/>
    <col min="6918" max="6918" width="20.85546875" style="865" customWidth="1"/>
    <col min="6919" max="6934" width="9.28515625" style="865" customWidth="1"/>
    <col min="6935" max="7170" width="9.140625" style="865"/>
    <col min="7171" max="7171" width="3.7109375" style="865" customWidth="1"/>
    <col min="7172" max="7172" width="14.42578125" style="865" customWidth="1"/>
    <col min="7173" max="7173" width="3.7109375" style="865" customWidth="1"/>
    <col min="7174" max="7174" width="20.85546875" style="865" customWidth="1"/>
    <col min="7175" max="7190" width="9.28515625" style="865" customWidth="1"/>
    <col min="7191" max="7426" width="9.140625" style="865"/>
    <col min="7427" max="7427" width="3.7109375" style="865" customWidth="1"/>
    <col min="7428" max="7428" width="14.42578125" style="865" customWidth="1"/>
    <col min="7429" max="7429" width="3.7109375" style="865" customWidth="1"/>
    <col min="7430" max="7430" width="20.85546875" style="865" customWidth="1"/>
    <col min="7431" max="7446" width="9.28515625" style="865" customWidth="1"/>
    <col min="7447" max="7682" width="9.140625" style="865"/>
    <col min="7683" max="7683" width="3.7109375" style="865" customWidth="1"/>
    <col min="7684" max="7684" width="14.42578125" style="865" customWidth="1"/>
    <col min="7685" max="7685" width="3.7109375" style="865" customWidth="1"/>
    <col min="7686" max="7686" width="20.85546875" style="865" customWidth="1"/>
    <col min="7687" max="7702" width="9.28515625" style="865" customWidth="1"/>
    <col min="7703" max="7938" width="9.140625" style="865"/>
    <col min="7939" max="7939" width="3.7109375" style="865" customWidth="1"/>
    <col min="7940" max="7940" width="14.42578125" style="865" customWidth="1"/>
    <col min="7941" max="7941" width="3.7109375" style="865" customWidth="1"/>
    <col min="7942" max="7942" width="20.85546875" style="865" customWidth="1"/>
    <col min="7943" max="7958" width="9.28515625" style="865" customWidth="1"/>
    <col min="7959" max="8194" width="9.140625" style="865"/>
    <col min="8195" max="8195" width="3.7109375" style="865" customWidth="1"/>
    <col min="8196" max="8196" width="14.42578125" style="865" customWidth="1"/>
    <col min="8197" max="8197" width="3.7109375" style="865" customWidth="1"/>
    <col min="8198" max="8198" width="20.85546875" style="865" customWidth="1"/>
    <col min="8199" max="8214" width="9.28515625" style="865" customWidth="1"/>
    <col min="8215" max="8450" width="9.140625" style="865"/>
    <col min="8451" max="8451" width="3.7109375" style="865" customWidth="1"/>
    <col min="8452" max="8452" width="14.42578125" style="865" customWidth="1"/>
    <col min="8453" max="8453" width="3.7109375" style="865" customWidth="1"/>
    <col min="8454" max="8454" width="20.85546875" style="865" customWidth="1"/>
    <col min="8455" max="8470" width="9.28515625" style="865" customWidth="1"/>
    <col min="8471" max="8706" width="9.140625" style="865"/>
    <col min="8707" max="8707" width="3.7109375" style="865" customWidth="1"/>
    <col min="8708" max="8708" width="14.42578125" style="865" customWidth="1"/>
    <col min="8709" max="8709" width="3.7109375" style="865" customWidth="1"/>
    <col min="8710" max="8710" width="20.85546875" style="865" customWidth="1"/>
    <col min="8711" max="8726" width="9.28515625" style="865" customWidth="1"/>
    <col min="8727" max="8962" width="9.140625" style="865"/>
    <col min="8963" max="8963" width="3.7109375" style="865" customWidth="1"/>
    <col min="8964" max="8964" width="14.42578125" style="865" customWidth="1"/>
    <col min="8965" max="8965" width="3.7109375" style="865" customWidth="1"/>
    <col min="8966" max="8966" width="20.85546875" style="865" customWidth="1"/>
    <col min="8967" max="8982" width="9.28515625" style="865" customWidth="1"/>
    <col min="8983" max="9218" width="9.140625" style="865"/>
    <col min="9219" max="9219" width="3.7109375" style="865" customWidth="1"/>
    <col min="9220" max="9220" width="14.42578125" style="865" customWidth="1"/>
    <col min="9221" max="9221" width="3.7109375" style="865" customWidth="1"/>
    <col min="9222" max="9222" width="20.85546875" style="865" customWidth="1"/>
    <col min="9223" max="9238" width="9.28515625" style="865" customWidth="1"/>
    <col min="9239" max="9474" width="9.140625" style="865"/>
    <col min="9475" max="9475" width="3.7109375" style="865" customWidth="1"/>
    <col min="9476" max="9476" width="14.42578125" style="865" customWidth="1"/>
    <col min="9477" max="9477" width="3.7109375" style="865" customWidth="1"/>
    <col min="9478" max="9478" width="20.85546875" style="865" customWidth="1"/>
    <col min="9479" max="9494" width="9.28515625" style="865" customWidth="1"/>
    <col min="9495" max="9730" width="9.140625" style="865"/>
    <col min="9731" max="9731" width="3.7109375" style="865" customWidth="1"/>
    <col min="9732" max="9732" width="14.42578125" style="865" customWidth="1"/>
    <col min="9733" max="9733" width="3.7109375" style="865" customWidth="1"/>
    <col min="9734" max="9734" width="20.85546875" style="865" customWidth="1"/>
    <col min="9735" max="9750" width="9.28515625" style="865" customWidth="1"/>
    <col min="9751" max="9986" width="9.140625" style="865"/>
    <col min="9987" max="9987" width="3.7109375" style="865" customWidth="1"/>
    <col min="9988" max="9988" width="14.42578125" style="865" customWidth="1"/>
    <col min="9989" max="9989" width="3.7109375" style="865" customWidth="1"/>
    <col min="9990" max="9990" width="20.85546875" style="865" customWidth="1"/>
    <col min="9991" max="10006" width="9.28515625" style="865" customWidth="1"/>
    <col min="10007" max="10242" width="9.140625" style="865"/>
    <col min="10243" max="10243" width="3.7109375" style="865" customWidth="1"/>
    <col min="10244" max="10244" width="14.42578125" style="865" customWidth="1"/>
    <col min="10245" max="10245" width="3.7109375" style="865" customWidth="1"/>
    <col min="10246" max="10246" width="20.85546875" style="865" customWidth="1"/>
    <col min="10247" max="10262" width="9.28515625" style="865" customWidth="1"/>
    <col min="10263" max="10498" width="9.140625" style="865"/>
    <col min="10499" max="10499" width="3.7109375" style="865" customWidth="1"/>
    <col min="10500" max="10500" width="14.42578125" style="865" customWidth="1"/>
    <col min="10501" max="10501" width="3.7109375" style="865" customWidth="1"/>
    <col min="10502" max="10502" width="20.85546875" style="865" customWidth="1"/>
    <col min="10503" max="10518" width="9.28515625" style="865" customWidth="1"/>
    <col min="10519" max="10754" width="9.140625" style="865"/>
    <col min="10755" max="10755" width="3.7109375" style="865" customWidth="1"/>
    <col min="10756" max="10756" width="14.42578125" style="865" customWidth="1"/>
    <col min="10757" max="10757" width="3.7109375" style="865" customWidth="1"/>
    <col min="10758" max="10758" width="20.85546875" style="865" customWidth="1"/>
    <col min="10759" max="10774" width="9.28515625" style="865" customWidth="1"/>
    <col min="10775" max="11010" width="9.140625" style="865"/>
    <col min="11011" max="11011" width="3.7109375" style="865" customWidth="1"/>
    <col min="11012" max="11012" width="14.42578125" style="865" customWidth="1"/>
    <col min="11013" max="11013" width="3.7109375" style="865" customWidth="1"/>
    <col min="11014" max="11014" width="20.85546875" style="865" customWidth="1"/>
    <col min="11015" max="11030" width="9.28515625" style="865" customWidth="1"/>
    <col min="11031" max="11266" width="9.140625" style="865"/>
    <col min="11267" max="11267" width="3.7109375" style="865" customWidth="1"/>
    <col min="11268" max="11268" width="14.42578125" style="865" customWidth="1"/>
    <col min="11269" max="11269" width="3.7109375" style="865" customWidth="1"/>
    <col min="11270" max="11270" width="20.85546875" style="865" customWidth="1"/>
    <col min="11271" max="11286" width="9.28515625" style="865" customWidth="1"/>
    <col min="11287" max="11522" width="9.140625" style="865"/>
    <col min="11523" max="11523" width="3.7109375" style="865" customWidth="1"/>
    <col min="11524" max="11524" width="14.42578125" style="865" customWidth="1"/>
    <col min="11525" max="11525" width="3.7109375" style="865" customWidth="1"/>
    <col min="11526" max="11526" width="20.85546875" style="865" customWidth="1"/>
    <col min="11527" max="11542" width="9.28515625" style="865" customWidth="1"/>
    <col min="11543" max="11778" width="9.140625" style="865"/>
    <col min="11779" max="11779" width="3.7109375" style="865" customWidth="1"/>
    <col min="11780" max="11780" width="14.42578125" style="865" customWidth="1"/>
    <col min="11781" max="11781" width="3.7109375" style="865" customWidth="1"/>
    <col min="11782" max="11782" width="20.85546875" style="865" customWidth="1"/>
    <col min="11783" max="11798" width="9.28515625" style="865" customWidth="1"/>
    <col min="11799" max="12034" width="9.140625" style="865"/>
    <col min="12035" max="12035" width="3.7109375" style="865" customWidth="1"/>
    <col min="12036" max="12036" width="14.42578125" style="865" customWidth="1"/>
    <col min="12037" max="12037" width="3.7109375" style="865" customWidth="1"/>
    <col min="12038" max="12038" width="20.85546875" style="865" customWidth="1"/>
    <col min="12039" max="12054" width="9.28515625" style="865" customWidth="1"/>
    <col min="12055" max="12290" width="9.140625" style="865"/>
    <col min="12291" max="12291" width="3.7109375" style="865" customWidth="1"/>
    <col min="12292" max="12292" width="14.42578125" style="865" customWidth="1"/>
    <col min="12293" max="12293" width="3.7109375" style="865" customWidth="1"/>
    <col min="12294" max="12294" width="20.85546875" style="865" customWidth="1"/>
    <col min="12295" max="12310" width="9.28515625" style="865" customWidth="1"/>
    <col min="12311" max="12546" width="9.140625" style="865"/>
    <col min="12547" max="12547" width="3.7109375" style="865" customWidth="1"/>
    <col min="12548" max="12548" width="14.42578125" style="865" customWidth="1"/>
    <col min="12549" max="12549" width="3.7109375" style="865" customWidth="1"/>
    <col min="12550" max="12550" width="20.85546875" style="865" customWidth="1"/>
    <col min="12551" max="12566" width="9.28515625" style="865" customWidth="1"/>
    <col min="12567" max="12802" width="9.140625" style="865"/>
    <col min="12803" max="12803" width="3.7109375" style="865" customWidth="1"/>
    <col min="12804" max="12804" width="14.42578125" style="865" customWidth="1"/>
    <col min="12805" max="12805" width="3.7109375" style="865" customWidth="1"/>
    <col min="12806" max="12806" width="20.85546875" style="865" customWidth="1"/>
    <col min="12807" max="12822" width="9.28515625" style="865" customWidth="1"/>
    <col min="12823" max="13058" width="9.140625" style="865"/>
    <col min="13059" max="13059" width="3.7109375" style="865" customWidth="1"/>
    <col min="13060" max="13060" width="14.42578125" style="865" customWidth="1"/>
    <col min="13061" max="13061" width="3.7109375" style="865" customWidth="1"/>
    <col min="13062" max="13062" width="20.85546875" style="865" customWidth="1"/>
    <col min="13063" max="13078" width="9.28515625" style="865" customWidth="1"/>
    <col min="13079" max="13314" width="9.140625" style="865"/>
    <col min="13315" max="13315" width="3.7109375" style="865" customWidth="1"/>
    <col min="13316" max="13316" width="14.42578125" style="865" customWidth="1"/>
    <col min="13317" max="13317" width="3.7109375" style="865" customWidth="1"/>
    <col min="13318" max="13318" width="20.85546875" style="865" customWidth="1"/>
    <col min="13319" max="13334" width="9.28515625" style="865" customWidth="1"/>
    <col min="13335" max="13570" width="9.140625" style="865"/>
    <col min="13571" max="13571" width="3.7109375" style="865" customWidth="1"/>
    <col min="13572" max="13572" width="14.42578125" style="865" customWidth="1"/>
    <col min="13573" max="13573" width="3.7109375" style="865" customWidth="1"/>
    <col min="13574" max="13574" width="20.85546875" style="865" customWidth="1"/>
    <col min="13575" max="13590" width="9.28515625" style="865" customWidth="1"/>
    <col min="13591" max="13826" width="9.140625" style="865"/>
    <col min="13827" max="13827" width="3.7109375" style="865" customWidth="1"/>
    <col min="13828" max="13828" width="14.42578125" style="865" customWidth="1"/>
    <col min="13829" max="13829" width="3.7109375" style="865" customWidth="1"/>
    <col min="13830" max="13830" width="20.85546875" style="865" customWidth="1"/>
    <col min="13831" max="13846" width="9.28515625" style="865" customWidth="1"/>
    <col min="13847" max="14082" width="9.140625" style="865"/>
    <col min="14083" max="14083" width="3.7109375" style="865" customWidth="1"/>
    <col min="14084" max="14084" width="14.42578125" style="865" customWidth="1"/>
    <col min="14085" max="14085" width="3.7109375" style="865" customWidth="1"/>
    <col min="14086" max="14086" width="20.85546875" style="865" customWidth="1"/>
    <col min="14087" max="14102" width="9.28515625" style="865" customWidth="1"/>
    <col min="14103" max="14338" width="9.140625" style="865"/>
    <col min="14339" max="14339" width="3.7109375" style="865" customWidth="1"/>
    <col min="14340" max="14340" width="14.42578125" style="865" customWidth="1"/>
    <col min="14341" max="14341" width="3.7109375" style="865" customWidth="1"/>
    <col min="14342" max="14342" width="20.85546875" style="865" customWidth="1"/>
    <col min="14343" max="14358" width="9.28515625" style="865" customWidth="1"/>
    <col min="14359" max="14594" width="9.140625" style="865"/>
    <col min="14595" max="14595" width="3.7109375" style="865" customWidth="1"/>
    <col min="14596" max="14596" width="14.42578125" style="865" customWidth="1"/>
    <col min="14597" max="14597" width="3.7109375" style="865" customWidth="1"/>
    <col min="14598" max="14598" width="20.85546875" style="865" customWidth="1"/>
    <col min="14599" max="14614" width="9.28515625" style="865" customWidth="1"/>
    <col min="14615" max="14850" width="9.140625" style="865"/>
    <col min="14851" max="14851" width="3.7109375" style="865" customWidth="1"/>
    <col min="14852" max="14852" width="14.42578125" style="865" customWidth="1"/>
    <col min="14853" max="14853" width="3.7109375" style="865" customWidth="1"/>
    <col min="14854" max="14854" width="20.85546875" style="865" customWidth="1"/>
    <col min="14855" max="14870" width="9.28515625" style="865" customWidth="1"/>
    <col min="14871" max="15106" width="9.140625" style="865"/>
    <col min="15107" max="15107" width="3.7109375" style="865" customWidth="1"/>
    <col min="15108" max="15108" width="14.42578125" style="865" customWidth="1"/>
    <col min="15109" max="15109" width="3.7109375" style="865" customWidth="1"/>
    <col min="15110" max="15110" width="20.85546875" style="865" customWidth="1"/>
    <col min="15111" max="15126" width="9.28515625" style="865" customWidth="1"/>
    <col min="15127" max="15362" width="9.140625" style="865"/>
    <col min="15363" max="15363" width="3.7109375" style="865" customWidth="1"/>
    <col min="15364" max="15364" width="14.42578125" style="865" customWidth="1"/>
    <col min="15365" max="15365" width="3.7109375" style="865" customWidth="1"/>
    <col min="15366" max="15366" width="20.85546875" style="865" customWidth="1"/>
    <col min="15367" max="15382" width="9.28515625" style="865" customWidth="1"/>
    <col min="15383" max="15618" width="9.140625" style="865"/>
    <col min="15619" max="15619" width="3.7109375" style="865" customWidth="1"/>
    <col min="15620" max="15620" width="14.42578125" style="865" customWidth="1"/>
    <col min="15621" max="15621" width="3.7109375" style="865" customWidth="1"/>
    <col min="15622" max="15622" width="20.85546875" style="865" customWidth="1"/>
    <col min="15623" max="15638" width="9.28515625" style="865" customWidth="1"/>
    <col min="15639" max="15874" width="9.140625" style="865"/>
    <col min="15875" max="15875" width="3.7109375" style="865" customWidth="1"/>
    <col min="15876" max="15876" width="14.42578125" style="865" customWidth="1"/>
    <col min="15877" max="15877" width="3.7109375" style="865" customWidth="1"/>
    <col min="15878" max="15878" width="20.85546875" style="865" customWidth="1"/>
    <col min="15879" max="15894" width="9.28515625" style="865" customWidth="1"/>
    <col min="15895" max="16130" width="9.140625" style="865"/>
    <col min="16131" max="16131" width="3.7109375" style="865" customWidth="1"/>
    <col min="16132" max="16132" width="14.42578125" style="865" customWidth="1"/>
    <col min="16133" max="16133" width="3.7109375" style="865" customWidth="1"/>
    <col min="16134" max="16134" width="20.85546875" style="865" customWidth="1"/>
    <col min="16135" max="16150" width="9.28515625" style="865" customWidth="1"/>
    <col min="16151" max="16384" width="9.140625" style="865"/>
  </cols>
  <sheetData>
    <row r="1" spans="1:27" ht="14.25" customHeight="1" x14ac:dyDescent="0.2">
      <c r="A1" s="453"/>
      <c r="B1" s="1950"/>
      <c r="C1" s="1950"/>
      <c r="D1" s="1177"/>
      <c r="E1" s="1177"/>
      <c r="F1" s="1177"/>
      <c r="G1" s="1177"/>
      <c r="H1" s="1177"/>
      <c r="I1" s="1177"/>
      <c r="J1" s="1177"/>
      <c r="K1" s="1177"/>
      <c r="L1" s="1177"/>
      <c r="M1" s="1177"/>
      <c r="N1" s="1177"/>
      <c r="O1" s="1177"/>
      <c r="P1" s="1177"/>
      <c r="Q1" s="885"/>
      <c r="R1" s="885"/>
    </row>
    <row r="2" spans="1:27" ht="14.25" customHeight="1" x14ac:dyDescent="0.2">
      <c r="A2" s="453">
        <v>1</v>
      </c>
      <c r="B2" s="453" t="s">
        <v>24</v>
      </c>
      <c r="C2" s="453">
        <f>1+'Matric pass rate'!C2</f>
        <v>47</v>
      </c>
      <c r="D2" s="3825" t="s">
        <v>927</v>
      </c>
      <c r="E2" s="3826"/>
      <c r="F2" s="3826"/>
      <c r="G2" s="3826"/>
      <c r="H2" s="3826"/>
      <c r="I2" s="3826"/>
      <c r="J2" s="3826"/>
      <c r="K2" s="3826"/>
      <c r="L2" s="3826"/>
      <c r="M2" s="3826"/>
      <c r="N2" s="3826"/>
      <c r="O2" s="3826"/>
      <c r="P2" s="3826"/>
      <c r="Q2" s="3826"/>
      <c r="R2" s="3826"/>
      <c r="S2" s="3826"/>
      <c r="T2" s="3826"/>
      <c r="U2" s="3826"/>
      <c r="V2" s="3826"/>
      <c r="W2" s="3826"/>
      <c r="X2" s="3826"/>
      <c r="Y2" s="3826"/>
      <c r="Z2" s="3827"/>
    </row>
    <row r="3" spans="1:27" ht="14.25" customHeight="1" x14ac:dyDescent="0.2">
      <c r="A3" s="453">
        <v>2</v>
      </c>
      <c r="B3" s="453" t="s">
        <v>26</v>
      </c>
      <c r="C3" s="453"/>
      <c r="D3" s="3553" t="s">
        <v>860</v>
      </c>
      <c r="E3" s="3554"/>
      <c r="F3" s="3554"/>
      <c r="G3" s="3554"/>
      <c r="H3" s="3554"/>
      <c r="I3" s="3554"/>
      <c r="J3" s="3554"/>
      <c r="K3" s="3554"/>
      <c r="L3" s="3554"/>
      <c r="M3" s="3554"/>
      <c r="N3" s="3554"/>
      <c r="O3" s="3554"/>
      <c r="P3" s="3554"/>
      <c r="Q3" s="3554"/>
      <c r="R3" s="3554"/>
      <c r="S3" s="3554"/>
      <c r="T3" s="3554"/>
      <c r="U3" s="3554"/>
      <c r="V3" s="3554"/>
      <c r="W3" s="3554"/>
      <c r="X3" s="3554"/>
      <c r="Y3" s="3554"/>
      <c r="Z3" s="3555"/>
    </row>
    <row r="4" spans="1:27" ht="14.25" customHeight="1" x14ac:dyDescent="0.2">
      <c r="A4" s="453">
        <v>3</v>
      </c>
      <c r="B4" s="453" t="s">
        <v>28</v>
      </c>
      <c r="C4" s="453"/>
      <c r="D4" s="3553" t="s">
        <v>926</v>
      </c>
      <c r="E4" s="3554"/>
      <c r="F4" s="3554"/>
      <c r="G4" s="3554"/>
      <c r="H4" s="3554"/>
      <c r="I4" s="3554"/>
      <c r="J4" s="3554"/>
      <c r="K4" s="3554"/>
      <c r="L4" s="3554"/>
      <c r="M4" s="3554"/>
      <c r="N4" s="3554"/>
      <c r="O4" s="3554"/>
      <c r="P4" s="3554"/>
      <c r="Q4" s="3554"/>
      <c r="R4" s="3554"/>
      <c r="S4" s="3554"/>
      <c r="T4" s="3554"/>
      <c r="U4" s="3554"/>
      <c r="V4" s="3554"/>
      <c r="W4" s="3554"/>
      <c r="X4" s="3554"/>
      <c r="Y4" s="3554"/>
      <c r="Z4" s="3555"/>
    </row>
    <row r="5" spans="1:27" ht="14.25" customHeight="1" x14ac:dyDescent="0.2">
      <c r="A5" s="453"/>
      <c r="B5" s="453"/>
      <c r="C5" s="865"/>
    </row>
    <row r="6" spans="1:27" ht="14.25" customHeight="1" x14ac:dyDescent="0.2">
      <c r="A6" s="453">
        <v>4</v>
      </c>
      <c r="B6" s="453" t="s">
        <v>1</v>
      </c>
      <c r="C6" s="453"/>
      <c r="D6" s="179"/>
      <c r="E6" s="179"/>
      <c r="F6" s="179"/>
      <c r="G6" s="179"/>
      <c r="H6" s="179"/>
      <c r="I6" s="179"/>
      <c r="J6" s="179"/>
      <c r="K6" s="179"/>
      <c r="L6" s="179"/>
      <c r="M6" s="179"/>
      <c r="N6" s="179"/>
      <c r="O6" s="84"/>
      <c r="P6" s="84"/>
      <c r="Q6" s="959"/>
      <c r="R6" s="959"/>
    </row>
    <row r="7" spans="1:27" s="77" customFormat="1" ht="11.25" customHeight="1" x14ac:dyDescent="0.2">
      <c r="A7" s="1174"/>
      <c r="B7" s="1173"/>
      <c r="C7" s="1173"/>
      <c r="D7" s="120" t="s">
        <v>103</v>
      </c>
      <c r="E7" s="120" t="str">
        <f>D2</f>
        <v xml:space="preserve">Number of candidates for the National Senior Certficate examinations with mathematics and physical science passes.  </v>
      </c>
      <c r="F7" s="120"/>
      <c r="G7" s="120"/>
      <c r="H7" s="120"/>
      <c r="I7" s="120"/>
      <c r="J7" s="120"/>
      <c r="K7" s="120"/>
      <c r="L7" s="120"/>
      <c r="M7" s="130"/>
      <c r="N7" s="130"/>
      <c r="O7" s="130"/>
      <c r="P7" s="130"/>
      <c r="Q7" s="133"/>
      <c r="R7" s="133"/>
      <c r="S7" s="186"/>
      <c r="T7" s="186"/>
    </row>
    <row r="8" spans="1:27" s="77" customFormat="1" ht="12.75" customHeight="1" x14ac:dyDescent="0.25">
      <c r="A8" s="1174"/>
      <c r="B8" s="1173"/>
      <c r="C8" s="1173"/>
      <c r="D8" s="2131"/>
      <c r="E8" s="2132">
        <v>1995</v>
      </c>
      <c r="F8" s="2132">
        <v>1996</v>
      </c>
      <c r="G8" s="2132">
        <v>1997</v>
      </c>
      <c r="H8" s="2132">
        <v>1998</v>
      </c>
      <c r="I8" s="2132">
        <v>1999</v>
      </c>
      <c r="J8" s="2132">
        <v>2000</v>
      </c>
      <c r="K8" s="2132">
        <v>2001</v>
      </c>
      <c r="L8" s="2132">
        <v>2002</v>
      </c>
      <c r="M8" s="2132">
        <v>2003</v>
      </c>
      <c r="N8" s="2132">
        <v>2004</v>
      </c>
      <c r="O8" s="2132">
        <v>2005</v>
      </c>
      <c r="P8" s="1023">
        <v>2006</v>
      </c>
      <c r="Q8" s="994">
        <v>2007</v>
      </c>
      <c r="R8" s="994">
        <v>2008</v>
      </c>
      <c r="S8" s="994">
        <v>2009</v>
      </c>
      <c r="T8" s="994">
        <v>2010</v>
      </c>
      <c r="U8" s="994">
        <v>2011</v>
      </c>
      <c r="V8" s="994">
        <v>2012</v>
      </c>
      <c r="W8" s="994">
        <v>2013</v>
      </c>
      <c r="X8" s="994">
        <v>2014</v>
      </c>
      <c r="Y8" s="994">
        <v>2015</v>
      </c>
      <c r="Z8" s="2808">
        <v>2016</v>
      </c>
      <c r="AA8" s="1023"/>
    </row>
    <row r="9" spans="1:27" s="77" customFormat="1" ht="13.5" customHeight="1" x14ac:dyDescent="0.25">
      <c r="A9" s="1174"/>
      <c r="B9" s="1173"/>
      <c r="C9" s="1173"/>
      <c r="D9" s="132" t="s">
        <v>925</v>
      </c>
      <c r="E9" s="2133"/>
      <c r="F9" s="2133"/>
      <c r="G9" s="2133"/>
      <c r="H9" s="2133"/>
      <c r="I9" s="2133"/>
      <c r="J9" s="2133"/>
      <c r="K9" s="2133"/>
      <c r="L9" s="2133"/>
      <c r="M9" s="861"/>
      <c r="N9" s="2134"/>
      <c r="O9" s="58"/>
      <c r="P9" s="2135"/>
      <c r="Q9" s="2133"/>
      <c r="R9" s="2136">
        <v>136184</v>
      </c>
      <c r="S9" s="1498">
        <v>133505</v>
      </c>
      <c r="T9" s="1497">
        <v>124749</v>
      </c>
      <c r="U9" s="1497">
        <v>104033</v>
      </c>
      <c r="V9" s="1497">
        <v>121970</v>
      </c>
      <c r="W9" s="1497">
        <v>142666</v>
      </c>
      <c r="X9" s="1497">
        <v>120523</v>
      </c>
      <c r="Y9" s="1497">
        <v>129481</v>
      </c>
      <c r="Z9" s="2828">
        <v>135958</v>
      </c>
      <c r="AA9" s="1497"/>
    </row>
    <row r="10" spans="1:27" s="2145" customFormat="1" ht="13.5" customHeight="1" x14ac:dyDescent="0.25">
      <c r="A10" s="2137"/>
      <c r="B10" s="2138"/>
      <c r="C10" s="2138"/>
      <c r="D10" s="2139" t="s">
        <v>923</v>
      </c>
      <c r="E10" s="2140"/>
      <c r="F10" s="2140"/>
      <c r="G10" s="2140"/>
      <c r="H10" s="2140"/>
      <c r="I10" s="2140"/>
      <c r="J10" s="2140"/>
      <c r="K10" s="2140"/>
      <c r="L10" s="2140"/>
      <c r="M10" s="2141"/>
      <c r="N10" s="2142"/>
      <c r="O10" s="2143"/>
      <c r="P10" s="2144"/>
      <c r="Q10" s="2140"/>
      <c r="R10" s="1498">
        <v>62388</v>
      </c>
      <c r="S10" s="1498">
        <v>52866</v>
      </c>
      <c r="T10" s="1498">
        <v>50195</v>
      </c>
      <c r="U10" s="1498">
        <v>41586</v>
      </c>
      <c r="V10" s="1498">
        <v>51231</v>
      </c>
      <c r="W10" s="1498">
        <v>63151</v>
      </c>
      <c r="X10" s="1498">
        <v>50365</v>
      </c>
      <c r="Y10" s="1498">
        <v>53588</v>
      </c>
      <c r="Z10" s="2828">
        <v>56555</v>
      </c>
      <c r="AA10" s="1497"/>
    </row>
    <row r="11" spans="1:27" s="58" customFormat="1" ht="12" customHeight="1" x14ac:dyDescent="0.25">
      <c r="A11" s="738"/>
      <c r="B11" s="737"/>
      <c r="C11" s="737"/>
      <c r="D11" s="1192" t="s">
        <v>924</v>
      </c>
      <c r="E11" s="1045"/>
      <c r="F11" s="1045"/>
      <c r="G11" s="1045"/>
      <c r="H11" s="1045"/>
      <c r="I11" s="1045"/>
      <c r="J11" s="1045"/>
      <c r="K11" s="1045"/>
      <c r="L11" s="1045"/>
      <c r="M11" s="861"/>
      <c r="N11" s="2134"/>
      <c r="P11" s="2135"/>
      <c r="Q11" s="1045"/>
      <c r="R11" s="2146">
        <v>119206</v>
      </c>
      <c r="S11" s="1498">
        <v>81356</v>
      </c>
      <c r="T11" s="1498">
        <v>98260</v>
      </c>
      <c r="U11" s="1498">
        <v>96441</v>
      </c>
      <c r="V11" s="1498">
        <v>109918</v>
      </c>
      <c r="W11" s="1498">
        <v>124206</v>
      </c>
      <c r="X11" s="1498">
        <v>103348</v>
      </c>
      <c r="Y11" s="1498">
        <v>113121</v>
      </c>
      <c r="Z11" s="2829">
        <v>119427</v>
      </c>
      <c r="AA11" s="1498"/>
    </row>
    <row r="12" spans="1:27" s="2145" customFormat="1" ht="12" customHeight="1" x14ac:dyDescent="0.25">
      <c r="A12" s="2137"/>
      <c r="B12" s="2138"/>
      <c r="C12" s="2138"/>
      <c r="D12" s="2147" t="s">
        <v>923</v>
      </c>
      <c r="E12" s="2148"/>
      <c r="F12" s="2148"/>
      <c r="G12" s="2148"/>
      <c r="H12" s="2148"/>
      <c r="I12" s="2148"/>
      <c r="J12" s="2148"/>
      <c r="K12" s="2148"/>
      <c r="L12" s="2148"/>
      <c r="M12" s="2149"/>
      <c r="N12" s="2150"/>
      <c r="O12" s="2151"/>
      <c r="P12" s="2152"/>
      <c r="Q12" s="2148"/>
      <c r="R12" s="1499">
        <v>32524</v>
      </c>
      <c r="S12" s="1499">
        <v>22329</v>
      </c>
      <c r="T12" s="1499">
        <v>37853</v>
      </c>
      <c r="U12" s="1499">
        <v>37106</v>
      </c>
      <c r="V12" s="1499">
        <v>43639</v>
      </c>
      <c r="W12" s="1499">
        <v>47030</v>
      </c>
      <c r="X12" s="1499">
        <v>37749</v>
      </c>
      <c r="Y12" s="1499">
        <v>42433</v>
      </c>
      <c r="Z12" s="2830">
        <v>47586</v>
      </c>
      <c r="AA12" s="1498"/>
    </row>
    <row r="13" spans="1:27" ht="13.5" customHeight="1" x14ac:dyDescent="0.2">
      <c r="A13" s="1170"/>
      <c r="B13" s="886"/>
      <c r="C13" s="886"/>
      <c r="D13" s="132"/>
      <c r="E13" s="1045"/>
      <c r="F13" s="1045"/>
      <c r="G13" s="1045"/>
      <c r="H13" s="1045"/>
      <c r="I13" s="1045"/>
      <c r="J13" s="1045"/>
      <c r="K13" s="1045"/>
      <c r="L13" s="1045"/>
      <c r="M13" s="1045"/>
      <c r="N13" s="1045"/>
      <c r="O13" s="1045"/>
      <c r="P13" s="1045"/>
      <c r="Q13" s="1045"/>
      <c r="R13" s="1045"/>
      <c r="S13" s="1824"/>
      <c r="T13" s="1824"/>
      <c r="U13" s="1824"/>
      <c r="V13" s="1824"/>
      <c r="W13" s="1824"/>
      <c r="X13" s="1824"/>
    </row>
    <row r="14" spans="1:27" ht="13.5" customHeight="1" x14ac:dyDescent="0.2">
      <c r="A14" s="1170"/>
      <c r="B14" s="886"/>
      <c r="C14" s="886"/>
      <c r="D14" s="132"/>
      <c r="E14" s="1045"/>
      <c r="F14" s="1045"/>
      <c r="G14" s="1045"/>
      <c r="H14" s="1045"/>
      <c r="I14" s="1045"/>
      <c r="J14" s="1045"/>
      <c r="K14" s="1045"/>
      <c r="L14" s="1045"/>
      <c r="M14" s="1045"/>
      <c r="N14" s="1045"/>
      <c r="O14" s="1045"/>
      <c r="P14" s="1045"/>
      <c r="Q14" s="1045"/>
      <c r="R14" s="1045"/>
    </row>
    <row r="15" spans="1:27" x14ac:dyDescent="0.2">
      <c r="C15" s="453"/>
      <c r="D15" s="885"/>
      <c r="E15" s="885"/>
      <c r="F15" s="885"/>
      <c r="G15" s="885"/>
      <c r="H15" s="885"/>
      <c r="I15" s="885"/>
      <c r="J15" s="885"/>
      <c r="K15" s="885"/>
      <c r="L15" s="885"/>
      <c r="M15" s="885"/>
      <c r="N15" s="885"/>
      <c r="O15" s="885"/>
      <c r="P15" s="885"/>
      <c r="Q15" s="885"/>
      <c r="R15" s="885"/>
    </row>
    <row r="16" spans="1:27" x14ac:dyDescent="0.2">
      <c r="A16" s="453">
        <v>5</v>
      </c>
      <c r="B16" s="453" t="s">
        <v>77</v>
      </c>
      <c r="C16" s="1170"/>
      <c r="D16" s="885"/>
      <c r="E16" s="885"/>
      <c r="F16" s="885"/>
      <c r="G16" s="885"/>
      <c r="H16" s="885"/>
      <c r="I16" s="885"/>
      <c r="J16" s="885"/>
      <c r="K16" s="885"/>
      <c r="L16" s="885"/>
      <c r="M16" s="885"/>
      <c r="N16" s="885"/>
      <c r="O16" s="885"/>
      <c r="P16" s="885"/>
      <c r="Q16" s="885"/>
      <c r="R16" s="885"/>
    </row>
    <row r="17" spans="1:27" x14ac:dyDescent="0.2">
      <c r="A17" s="1170"/>
      <c r="B17" s="1170"/>
      <c r="C17" s="1170"/>
      <c r="D17" s="885"/>
      <c r="E17" s="885"/>
      <c r="F17" s="885"/>
      <c r="G17" s="885"/>
      <c r="H17" s="885"/>
      <c r="I17" s="885"/>
      <c r="J17" s="885"/>
      <c r="K17" s="885"/>
      <c r="L17" s="885"/>
      <c r="M17" s="885"/>
      <c r="N17" s="885"/>
      <c r="O17" s="885"/>
      <c r="P17" s="885"/>
      <c r="Q17" s="885"/>
      <c r="R17" s="885"/>
    </row>
    <row r="18" spans="1:27" x14ac:dyDescent="0.2">
      <c r="A18" s="1170"/>
      <c r="B18" s="1170"/>
      <c r="C18" s="1170"/>
      <c r="D18" s="885"/>
      <c r="E18" s="885"/>
      <c r="F18" s="885"/>
      <c r="G18" s="885"/>
      <c r="H18" s="885"/>
      <c r="I18" s="885"/>
      <c r="J18" s="885"/>
      <c r="K18" s="885"/>
      <c r="L18" s="885"/>
      <c r="M18" s="885"/>
      <c r="N18" s="885"/>
      <c r="O18" s="885"/>
      <c r="P18" s="885"/>
      <c r="Q18" s="885"/>
      <c r="R18" s="885"/>
    </row>
    <row r="19" spans="1:27" x14ac:dyDescent="0.2">
      <c r="A19" s="1170"/>
      <c r="B19" s="1170"/>
      <c r="C19" s="1170"/>
      <c r="D19" s="885"/>
      <c r="E19" s="885"/>
      <c r="F19" s="885"/>
      <c r="G19" s="885"/>
      <c r="H19" s="885"/>
      <c r="I19" s="885"/>
      <c r="J19" s="885"/>
      <c r="K19" s="885"/>
      <c r="L19" s="885"/>
      <c r="M19" s="885"/>
      <c r="N19" s="885"/>
      <c r="O19" s="885"/>
      <c r="P19" s="885"/>
      <c r="Q19" s="885"/>
      <c r="R19" s="885"/>
    </row>
    <row r="20" spans="1:27" x14ac:dyDescent="0.2">
      <c r="A20" s="1170"/>
      <c r="B20" s="1170"/>
      <c r="C20" s="1170"/>
      <c r="D20" s="885"/>
      <c r="E20" s="885"/>
      <c r="F20" s="885"/>
      <c r="G20" s="885"/>
      <c r="H20" s="885"/>
      <c r="I20" s="885"/>
      <c r="J20" s="885"/>
      <c r="K20" s="885"/>
      <c r="L20" s="885"/>
      <c r="M20" s="885"/>
      <c r="N20" s="885"/>
      <c r="O20" s="885"/>
      <c r="P20" s="885"/>
      <c r="Q20" s="885"/>
      <c r="R20" s="885"/>
    </row>
    <row r="21" spans="1:27" x14ac:dyDescent="0.2">
      <c r="A21" s="1170"/>
      <c r="B21" s="1170"/>
      <c r="C21" s="1170"/>
      <c r="D21" s="885"/>
      <c r="E21" s="885"/>
      <c r="F21" s="885"/>
      <c r="G21" s="885"/>
      <c r="H21" s="885"/>
      <c r="I21" s="885"/>
      <c r="J21" s="885"/>
      <c r="K21" s="885"/>
      <c r="L21" s="885"/>
      <c r="M21" s="885"/>
      <c r="N21" s="885"/>
      <c r="O21" s="885"/>
      <c r="P21" s="885"/>
      <c r="Q21" s="885"/>
      <c r="R21" s="885"/>
    </row>
    <row r="22" spans="1:27" x14ac:dyDescent="0.2">
      <c r="A22" s="1170"/>
      <c r="B22" s="1170"/>
      <c r="C22" s="1170"/>
      <c r="D22" s="885"/>
      <c r="E22" s="885"/>
      <c r="F22" s="885"/>
      <c r="G22" s="885"/>
      <c r="H22" s="885"/>
      <c r="I22" s="885"/>
      <c r="J22" s="885"/>
      <c r="K22" s="885"/>
      <c r="L22" s="885"/>
      <c r="M22" s="885"/>
      <c r="N22" s="885"/>
      <c r="O22" s="885"/>
      <c r="P22" s="885"/>
      <c r="Q22" s="885"/>
      <c r="R22" s="885"/>
    </row>
    <row r="23" spans="1:27" x14ac:dyDescent="0.2">
      <c r="A23" s="1170"/>
      <c r="B23" s="1170"/>
      <c r="C23" s="1170"/>
      <c r="D23" s="885"/>
      <c r="E23" s="885"/>
      <c r="F23" s="885"/>
      <c r="G23" s="885"/>
      <c r="H23" s="885"/>
      <c r="I23" s="885"/>
      <c r="J23" s="885"/>
      <c r="K23" s="885"/>
      <c r="L23" s="885"/>
      <c r="M23" s="885"/>
      <c r="N23" s="885"/>
      <c r="O23" s="885"/>
      <c r="P23" s="885"/>
      <c r="Q23" s="885"/>
      <c r="R23" s="885"/>
    </row>
    <row r="24" spans="1:27" x14ac:dyDescent="0.2">
      <c r="A24" s="1170"/>
      <c r="B24" s="1170"/>
      <c r="C24" s="1170"/>
      <c r="D24" s="885"/>
      <c r="E24" s="885"/>
      <c r="F24" s="885"/>
      <c r="G24" s="885"/>
      <c r="H24" s="885"/>
      <c r="I24" s="885"/>
      <c r="J24" s="885"/>
      <c r="K24" s="885"/>
      <c r="L24" s="885"/>
      <c r="M24" s="885"/>
      <c r="N24" s="885"/>
      <c r="O24" s="885"/>
      <c r="P24" s="885"/>
      <c r="Q24" s="885"/>
      <c r="R24" s="885"/>
    </row>
    <row r="25" spans="1:27" x14ac:dyDescent="0.2">
      <c r="A25" s="1170"/>
      <c r="B25" s="1170"/>
      <c r="C25" s="1170"/>
      <c r="D25" s="885"/>
      <c r="E25" s="885"/>
      <c r="F25" s="885"/>
      <c r="G25" s="885"/>
      <c r="H25" s="885"/>
      <c r="I25" s="885"/>
      <c r="J25" s="885"/>
      <c r="K25" s="885"/>
      <c r="L25" s="885"/>
      <c r="M25" s="885"/>
      <c r="N25" s="885"/>
      <c r="O25" s="885"/>
      <c r="P25" s="885"/>
      <c r="Q25" s="885"/>
      <c r="R25" s="885"/>
    </row>
    <row r="26" spans="1:27" x14ac:dyDescent="0.2">
      <c r="A26" s="1170"/>
      <c r="B26" s="1170"/>
      <c r="C26" s="1170"/>
      <c r="D26" s="885"/>
      <c r="E26" s="885"/>
      <c r="F26" s="885"/>
      <c r="G26" s="885"/>
      <c r="H26" s="885"/>
      <c r="I26" s="885"/>
      <c r="J26" s="885"/>
      <c r="K26" s="885"/>
      <c r="L26" s="885"/>
      <c r="M26" s="885"/>
      <c r="N26" s="885"/>
      <c r="O26" s="885"/>
      <c r="P26" s="885"/>
      <c r="Q26" s="885"/>
      <c r="R26" s="885"/>
    </row>
    <row r="27" spans="1:27" x14ac:dyDescent="0.2">
      <c r="A27" s="1170"/>
      <c r="B27" s="1170"/>
      <c r="C27" s="1170"/>
      <c r="D27" s="885"/>
      <c r="E27" s="885"/>
      <c r="F27" s="885"/>
      <c r="G27" s="885"/>
      <c r="H27" s="885"/>
      <c r="I27" s="885"/>
      <c r="J27" s="885"/>
      <c r="K27" s="885"/>
      <c r="L27" s="885"/>
      <c r="M27" s="885"/>
      <c r="N27" s="885"/>
      <c r="O27" s="885"/>
      <c r="P27" s="885"/>
      <c r="Q27" s="885"/>
      <c r="R27" s="885"/>
    </row>
    <row r="28" spans="1:27" x14ac:dyDescent="0.2">
      <c r="A28" s="1170"/>
      <c r="B28" s="1170"/>
      <c r="C28" s="1170"/>
      <c r="D28" s="885"/>
      <c r="E28" s="885"/>
      <c r="F28" s="885"/>
      <c r="G28" s="885"/>
      <c r="H28" s="885"/>
      <c r="I28" s="885"/>
      <c r="J28" s="885"/>
      <c r="K28" s="885"/>
      <c r="L28" s="885"/>
      <c r="M28" s="885"/>
      <c r="N28" s="885"/>
      <c r="O28" s="885"/>
      <c r="P28" s="885"/>
      <c r="Q28" s="885"/>
      <c r="R28" s="885"/>
    </row>
    <row r="29" spans="1:27" ht="22.5" customHeight="1" x14ac:dyDescent="0.2">
      <c r="A29" s="1170"/>
      <c r="B29" s="1170"/>
      <c r="C29" s="1170"/>
      <c r="D29" s="885"/>
      <c r="E29" s="885"/>
      <c r="F29" s="885"/>
      <c r="G29" s="885"/>
      <c r="H29" s="885"/>
      <c r="I29" s="885"/>
      <c r="J29" s="885"/>
      <c r="K29" s="885"/>
      <c r="L29" s="885"/>
      <c r="M29" s="885"/>
      <c r="N29" s="885"/>
      <c r="O29" s="885"/>
      <c r="P29" s="885"/>
      <c r="Q29" s="885"/>
      <c r="R29" s="885"/>
    </row>
    <row r="30" spans="1:27" ht="15" customHeight="1" x14ac:dyDescent="0.2">
      <c r="A30" s="453">
        <v>6</v>
      </c>
      <c r="B30" s="453" t="s">
        <v>78</v>
      </c>
      <c r="C30" s="453"/>
      <c r="D30" s="3837" t="s">
        <v>295</v>
      </c>
      <c r="E30" s="3838"/>
      <c r="F30" s="3838"/>
      <c r="G30" s="3838"/>
      <c r="H30" s="3838"/>
      <c r="I30" s="3838"/>
      <c r="J30" s="3838"/>
      <c r="K30" s="3838"/>
      <c r="L30" s="3838"/>
      <c r="M30" s="3838"/>
      <c r="N30" s="3838"/>
      <c r="O30" s="3838"/>
      <c r="P30" s="3838"/>
      <c r="Q30" s="3838"/>
      <c r="R30" s="3838"/>
      <c r="S30" s="3838"/>
      <c r="T30" s="3838"/>
      <c r="U30" s="3838"/>
      <c r="V30" s="3838"/>
      <c r="W30" s="3838"/>
      <c r="X30" s="3838"/>
      <c r="Y30" s="3838"/>
      <c r="Z30" s="3839"/>
      <c r="AA30" s="138"/>
    </row>
    <row r="31" spans="1:27" ht="15.75" customHeight="1" x14ac:dyDescent="0.2">
      <c r="A31" s="472">
        <v>7</v>
      </c>
      <c r="B31" s="472" t="s">
        <v>80</v>
      </c>
      <c r="C31" s="472"/>
      <c r="D31" s="3837" t="s">
        <v>922</v>
      </c>
      <c r="E31" s="3838"/>
      <c r="F31" s="3838"/>
      <c r="G31" s="3838"/>
      <c r="H31" s="3838"/>
      <c r="I31" s="3838"/>
      <c r="J31" s="3838"/>
      <c r="K31" s="3838"/>
      <c r="L31" s="3838"/>
      <c r="M31" s="3838"/>
      <c r="N31" s="3838"/>
      <c r="O31" s="3838"/>
      <c r="P31" s="3838"/>
      <c r="Q31" s="3838"/>
      <c r="R31" s="3838"/>
      <c r="S31" s="3838"/>
      <c r="T31" s="3838"/>
      <c r="U31" s="3838"/>
      <c r="V31" s="3838"/>
      <c r="W31" s="3838"/>
      <c r="X31" s="3838"/>
      <c r="Y31" s="3838"/>
      <c r="Z31" s="3839"/>
      <c r="AA31" s="138"/>
    </row>
    <row r="32" spans="1:27" ht="14.25" customHeight="1" x14ac:dyDescent="0.2">
      <c r="A32" s="453">
        <v>8</v>
      </c>
      <c r="B32" s="453" t="s">
        <v>20</v>
      </c>
      <c r="C32" s="453"/>
      <c r="D32" s="3837" t="s">
        <v>921</v>
      </c>
      <c r="E32" s="3838"/>
      <c r="F32" s="3838"/>
      <c r="G32" s="3838"/>
      <c r="H32" s="3838"/>
      <c r="I32" s="3838"/>
      <c r="J32" s="3838"/>
      <c r="K32" s="3838"/>
      <c r="L32" s="3838"/>
      <c r="M32" s="3838"/>
      <c r="N32" s="3838"/>
      <c r="O32" s="3838"/>
      <c r="P32" s="3838"/>
      <c r="Q32" s="3838"/>
      <c r="R32" s="3838"/>
      <c r="S32" s="3838"/>
      <c r="T32" s="3838"/>
      <c r="U32" s="3838"/>
      <c r="V32" s="3838"/>
      <c r="W32" s="3838"/>
      <c r="X32" s="3838"/>
      <c r="Y32" s="3838"/>
      <c r="Z32" s="3839"/>
      <c r="AA32" s="138"/>
    </row>
    <row r="33" spans="1:27" ht="14.25" customHeight="1" x14ac:dyDescent="0.2">
      <c r="A33" s="453">
        <v>9</v>
      </c>
      <c r="B33" s="453" t="s">
        <v>157</v>
      </c>
      <c r="D33" s="3837" t="s">
        <v>910</v>
      </c>
      <c r="E33" s="3838"/>
      <c r="F33" s="3838"/>
      <c r="G33" s="3838"/>
      <c r="H33" s="3838"/>
      <c r="I33" s="3838"/>
      <c r="J33" s="3838"/>
      <c r="K33" s="3838"/>
      <c r="L33" s="3838"/>
      <c r="M33" s="3838"/>
      <c r="N33" s="3838"/>
      <c r="O33" s="3838"/>
      <c r="P33" s="3838"/>
      <c r="Q33" s="3838"/>
      <c r="R33" s="3838"/>
      <c r="S33" s="3838"/>
      <c r="T33" s="3838"/>
      <c r="U33" s="3838"/>
      <c r="V33" s="3838"/>
      <c r="W33" s="3838"/>
      <c r="X33" s="3838"/>
      <c r="Y33" s="3838"/>
      <c r="Z33" s="3839"/>
      <c r="AA33" s="138"/>
    </row>
    <row r="35" spans="1:27" x14ac:dyDescent="0.25">
      <c r="H35" s="2136"/>
      <c r="I35" s="2136"/>
      <c r="J35" s="2153"/>
      <c r="K35" s="2153"/>
      <c r="L35" s="2153"/>
    </row>
    <row r="36" spans="1:27" x14ac:dyDescent="0.25">
      <c r="H36" s="2154"/>
      <c r="I36" s="2154"/>
      <c r="J36" s="2155"/>
      <c r="K36" s="2155"/>
      <c r="L36" s="2155"/>
    </row>
  </sheetData>
  <mergeCells count="7">
    <mergeCell ref="D33:Z33"/>
    <mergeCell ref="D2:Z2"/>
    <mergeCell ref="D3:Z3"/>
    <mergeCell ref="D4:Z4"/>
    <mergeCell ref="D30:Z30"/>
    <mergeCell ref="D31:Z31"/>
    <mergeCell ref="D32:Z32"/>
  </mergeCells>
  <pageMargins left="0.74803149606299213" right="0.74803149606299213" top="0.98425196850393704" bottom="0.98425196850393704" header="0.51181102362204722" footer="0.51181102362204722"/>
  <pageSetup paperSize="9" scale="5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81"/>
  <sheetViews>
    <sheetView showGridLines="0" view="pageBreakPreview" topLeftCell="I1" zoomScaleNormal="100" zoomScaleSheetLayoutView="100" workbookViewId="0">
      <selection activeCell="Z39" sqref="Z39"/>
    </sheetView>
  </sheetViews>
  <sheetFormatPr defaultColWidth="9.140625" defaultRowHeight="15" x14ac:dyDescent="0.2"/>
  <cols>
    <col min="1" max="1" width="3.7109375" style="2126" customWidth="1"/>
    <col min="2" max="2" width="14.42578125" style="866" customWidth="1"/>
    <col min="3" max="3" width="3.7109375" style="866" customWidth="1"/>
    <col min="4" max="4" width="20" style="865" customWidth="1"/>
    <col min="5" max="16" width="8.7109375" style="865" customWidth="1"/>
    <col min="17" max="17" width="10.42578125" style="865" bestFit="1" customWidth="1"/>
    <col min="18" max="257" width="9.140625" style="865"/>
    <col min="258" max="258" width="3.7109375" style="865" customWidth="1"/>
    <col min="259" max="259" width="14.42578125" style="865" customWidth="1"/>
    <col min="260" max="260" width="3.7109375" style="865" customWidth="1"/>
    <col min="261" max="261" width="20" style="865" customWidth="1"/>
    <col min="262" max="273" width="8.7109375" style="865" customWidth="1"/>
    <col min="274" max="274" width="10.42578125" style="865" bestFit="1" customWidth="1"/>
    <col min="275" max="513" width="9.140625" style="865"/>
    <col min="514" max="514" width="3.7109375" style="865" customWidth="1"/>
    <col min="515" max="515" width="14.42578125" style="865" customWidth="1"/>
    <col min="516" max="516" width="3.7109375" style="865" customWidth="1"/>
    <col min="517" max="517" width="20" style="865" customWidth="1"/>
    <col min="518" max="529" width="8.7109375" style="865" customWidth="1"/>
    <col min="530" max="530" width="10.42578125" style="865" bestFit="1" customWidth="1"/>
    <col min="531" max="769" width="9.140625" style="865"/>
    <col min="770" max="770" width="3.7109375" style="865" customWidth="1"/>
    <col min="771" max="771" width="14.42578125" style="865" customWidth="1"/>
    <col min="772" max="772" width="3.7109375" style="865" customWidth="1"/>
    <col min="773" max="773" width="20" style="865" customWidth="1"/>
    <col min="774" max="785" width="8.7109375" style="865" customWidth="1"/>
    <col min="786" max="786" width="10.42578125" style="865" bestFit="1" customWidth="1"/>
    <col min="787" max="1025" width="9.140625" style="865"/>
    <col min="1026" max="1026" width="3.7109375" style="865" customWidth="1"/>
    <col min="1027" max="1027" width="14.42578125" style="865" customWidth="1"/>
    <col min="1028" max="1028" width="3.7109375" style="865" customWidth="1"/>
    <col min="1029" max="1029" width="20" style="865" customWidth="1"/>
    <col min="1030" max="1041" width="8.7109375" style="865" customWidth="1"/>
    <col min="1042" max="1042" width="10.42578125" style="865" bestFit="1" customWidth="1"/>
    <col min="1043" max="1281" width="9.140625" style="865"/>
    <col min="1282" max="1282" width="3.7109375" style="865" customWidth="1"/>
    <col min="1283" max="1283" width="14.42578125" style="865" customWidth="1"/>
    <col min="1284" max="1284" width="3.7109375" style="865" customWidth="1"/>
    <col min="1285" max="1285" width="20" style="865" customWidth="1"/>
    <col min="1286" max="1297" width="8.7109375" style="865" customWidth="1"/>
    <col min="1298" max="1298" width="10.42578125" style="865" bestFit="1" customWidth="1"/>
    <col min="1299" max="1537" width="9.140625" style="865"/>
    <col min="1538" max="1538" width="3.7109375" style="865" customWidth="1"/>
    <col min="1539" max="1539" width="14.42578125" style="865" customWidth="1"/>
    <col min="1540" max="1540" width="3.7109375" style="865" customWidth="1"/>
    <col min="1541" max="1541" width="20" style="865" customWidth="1"/>
    <col min="1542" max="1553" width="8.7109375" style="865" customWidth="1"/>
    <col min="1554" max="1554" width="10.42578125" style="865" bestFit="1" customWidth="1"/>
    <col min="1555" max="1793" width="9.140625" style="865"/>
    <col min="1794" max="1794" width="3.7109375" style="865" customWidth="1"/>
    <col min="1795" max="1795" width="14.42578125" style="865" customWidth="1"/>
    <col min="1796" max="1796" width="3.7109375" style="865" customWidth="1"/>
    <col min="1797" max="1797" width="20" style="865" customWidth="1"/>
    <col min="1798" max="1809" width="8.7109375" style="865" customWidth="1"/>
    <col min="1810" max="1810" width="10.42578125" style="865" bestFit="1" customWidth="1"/>
    <col min="1811" max="2049" width="9.140625" style="865"/>
    <col min="2050" max="2050" width="3.7109375" style="865" customWidth="1"/>
    <col min="2051" max="2051" width="14.42578125" style="865" customWidth="1"/>
    <col min="2052" max="2052" width="3.7109375" style="865" customWidth="1"/>
    <col min="2053" max="2053" width="20" style="865" customWidth="1"/>
    <col min="2054" max="2065" width="8.7109375" style="865" customWidth="1"/>
    <col min="2066" max="2066" width="10.42578125" style="865" bestFit="1" customWidth="1"/>
    <col min="2067" max="2305" width="9.140625" style="865"/>
    <col min="2306" max="2306" width="3.7109375" style="865" customWidth="1"/>
    <col min="2307" max="2307" width="14.42578125" style="865" customWidth="1"/>
    <col min="2308" max="2308" width="3.7109375" style="865" customWidth="1"/>
    <col min="2309" max="2309" width="20" style="865" customWidth="1"/>
    <col min="2310" max="2321" width="8.7109375" style="865" customWidth="1"/>
    <col min="2322" max="2322" width="10.42578125" style="865" bestFit="1" customWidth="1"/>
    <col min="2323" max="2561" width="9.140625" style="865"/>
    <col min="2562" max="2562" width="3.7109375" style="865" customWidth="1"/>
    <col min="2563" max="2563" width="14.42578125" style="865" customWidth="1"/>
    <col min="2564" max="2564" width="3.7109375" style="865" customWidth="1"/>
    <col min="2565" max="2565" width="20" style="865" customWidth="1"/>
    <col min="2566" max="2577" width="8.7109375" style="865" customWidth="1"/>
    <col min="2578" max="2578" width="10.42578125" style="865" bestFit="1" customWidth="1"/>
    <col min="2579" max="2817" width="9.140625" style="865"/>
    <col min="2818" max="2818" width="3.7109375" style="865" customWidth="1"/>
    <col min="2819" max="2819" width="14.42578125" style="865" customWidth="1"/>
    <col min="2820" max="2820" width="3.7109375" style="865" customWidth="1"/>
    <col min="2821" max="2821" width="20" style="865" customWidth="1"/>
    <col min="2822" max="2833" width="8.7109375" style="865" customWidth="1"/>
    <col min="2834" max="2834" width="10.42578125" style="865" bestFit="1" customWidth="1"/>
    <col min="2835" max="3073" width="9.140625" style="865"/>
    <col min="3074" max="3074" width="3.7109375" style="865" customWidth="1"/>
    <col min="3075" max="3075" width="14.42578125" style="865" customWidth="1"/>
    <col min="3076" max="3076" width="3.7109375" style="865" customWidth="1"/>
    <col min="3077" max="3077" width="20" style="865" customWidth="1"/>
    <col min="3078" max="3089" width="8.7109375" style="865" customWidth="1"/>
    <col min="3090" max="3090" width="10.42578125" style="865" bestFit="1" customWidth="1"/>
    <col min="3091" max="3329" width="9.140625" style="865"/>
    <col min="3330" max="3330" width="3.7109375" style="865" customWidth="1"/>
    <col min="3331" max="3331" width="14.42578125" style="865" customWidth="1"/>
    <col min="3332" max="3332" width="3.7109375" style="865" customWidth="1"/>
    <col min="3333" max="3333" width="20" style="865" customWidth="1"/>
    <col min="3334" max="3345" width="8.7109375" style="865" customWidth="1"/>
    <col min="3346" max="3346" width="10.42578125" style="865" bestFit="1" customWidth="1"/>
    <col min="3347" max="3585" width="9.140625" style="865"/>
    <col min="3586" max="3586" width="3.7109375" style="865" customWidth="1"/>
    <col min="3587" max="3587" width="14.42578125" style="865" customWidth="1"/>
    <col min="3588" max="3588" width="3.7109375" style="865" customWidth="1"/>
    <col min="3589" max="3589" width="20" style="865" customWidth="1"/>
    <col min="3590" max="3601" width="8.7109375" style="865" customWidth="1"/>
    <col min="3602" max="3602" width="10.42578125" style="865" bestFit="1" customWidth="1"/>
    <col min="3603" max="3841" width="9.140625" style="865"/>
    <col min="3842" max="3842" width="3.7109375" style="865" customWidth="1"/>
    <col min="3843" max="3843" width="14.42578125" style="865" customWidth="1"/>
    <col min="3844" max="3844" width="3.7109375" style="865" customWidth="1"/>
    <col min="3845" max="3845" width="20" style="865" customWidth="1"/>
    <col min="3846" max="3857" width="8.7109375" style="865" customWidth="1"/>
    <col min="3858" max="3858" width="10.42578125" style="865" bestFit="1" customWidth="1"/>
    <col min="3859" max="4097" width="9.140625" style="865"/>
    <col min="4098" max="4098" width="3.7109375" style="865" customWidth="1"/>
    <col min="4099" max="4099" width="14.42578125" style="865" customWidth="1"/>
    <col min="4100" max="4100" width="3.7109375" style="865" customWidth="1"/>
    <col min="4101" max="4101" width="20" style="865" customWidth="1"/>
    <col min="4102" max="4113" width="8.7109375" style="865" customWidth="1"/>
    <col min="4114" max="4114" width="10.42578125" style="865" bestFit="1" customWidth="1"/>
    <col min="4115" max="4353" width="9.140625" style="865"/>
    <col min="4354" max="4354" width="3.7109375" style="865" customWidth="1"/>
    <col min="4355" max="4355" width="14.42578125" style="865" customWidth="1"/>
    <col min="4356" max="4356" width="3.7109375" style="865" customWidth="1"/>
    <col min="4357" max="4357" width="20" style="865" customWidth="1"/>
    <col min="4358" max="4369" width="8.7109375" style="865" customWidth="1"/>
    <col min="4370" max="4370" width="10.42578125" style="865" bestFit="1" customWidth="1"/>
    <col min="4371" max="4609" width="9.140625" style="865"/>
    <col min="4610" max="4610" width="3.7109375" style="865" customWidth="1"/>
    <col min="4611" max="4611" width="14.42578125" style="865" customWidth="1"/>
    <col min="4612" max="4612" width="3.7109375" style="865" customWidth="1"/>
    <col min="4613" max="4613" width="20" style="865" customWidth="1"/>
    <col min="4614" max="4625" width="8.7109375" style="865" customWidth="1"/>
    <col min="4626" max="4626" width="10.42578125" style="865" bestFit="1" customWidth="1"/>
    <col min="4627" max="4865" width="9.140625" style="865"/>
    <col min="4866" max="4866" width="3.7109375" style="865" customWidth="1"/>
    <col min="4867" max="4867" width="14.42578125" style="865" customWidth="1"/>
    <col min="4868" max="4868" width="3.7109375" style="865" customWidth="1"/>
    <col min="4869" max="4869" width="20" style="865" customWidth="1"/>
    <col min="4870" max="4881" width="8.7109375" style="865" customWidth="1"/>
    <col min="4882" max="4882" width="10.42578125" style="865" bestFit="1" customWidth="1"/>
    <col min="4883" max="5121" width="9.140625" style="865"/>
    <col min="5122" max="5122" width="3.7109375" style="865" customWidth="1"/>
    <col min="5123" max="5123" width="14.42578125" style="865" customWidth="1"/>
    <col min="5124" max="5124" width="3.7109375" style="865" customWidth="1"/>
    <col min="5125" max="5125" width="20" style="865" customWidth="1"/>
    <col min="5126" max="5137" width="8.7109375" style="865" customWidth="1"/>
    <col min="5138" max="5138" width="10.42578125" style="865" bestFit="1" customWidth="1"/>
    <col min="5139" max="5377" width="9.140625" style="865"/>
    <col min="5378" max="5378" width="3.7109375" style="865" customWidth="1"/>
    <col min="5379" max="5379" width="14.42578125" style="865" customWidth="1"/>
    <col min="5380" max="5380" width="3.7109375" style="865" customWidth="1"/>
    <col min="5381" max="5381" width="20" style="865" customWidth="1"/>
    <col min="5382" max="5393" width="8.7109375" style="865" customWidth="1"/>
    <col min="5394" max="5394" width="10.42578125" style="865" bestFit="1" customWidth="1"/>
    <col min="5395" max="5633" width="9.140625" style="865"/>
    <col min="5634" max="5634" width="3.7109375" style="865" customWidth="1"/>
    <col min="5635" max="5635" width="14.42578125" style="865" customWidth="1"/>
    <col min="5636" max="5636" width="3.7109375" style="865" customWidth="1"/>
    <col min="5637" max="5637" width="20" style="865" customWidth="1"/>
    <col min="5638" max="5649" width="8.7109375" style="865" customWidth="1"/>
    <col min="5650" max="5650" width="10.42578125" style="865" bestFit="1" customWidth="1"/>
    <col min="5651" max="5889" width="9.140625" style="865"/>
    <col min="5890" max="5890" width="3.7109375" style="865" customWidth="1"/>
    <col min="5891" max="5891" width="14.42578125" style="865" customWidth="1"/>
    <col min="5892" max="5892" width="3.7109375" style="865" customWidth="1"/>
    <col min="5893" max="5893" width="20" style="865" customWidth="1"/>
    <col min="5894" max="5905" width="8.7109375" style="865" customWidth="1"/>
    <col min="5906" max="5906" width="10.42578125" style="865" bestFit="1" customWidth="1"/>
    <col min="5907" max="6145" width="9.140625" style="865"/>
    <col min="6146" max="6146" width="3.7109375" style="865" customWidth="1"/>
    <col min="6147" max="6147" width="14.42578125" style="865" customWidth="1"/>
    <col min="6148" max="6148" width="3.7109375" style="865" customWidth="1"/>
    <col min="6149" max="6149" width="20" style="865" customWidth="1"/>
    <col min="6150" max="6161" width="8.7109375" style="865" customWidth="1"/>
    <col min="6162" max="6162" width="10.42578125" style="865" bestFit="1" customWidth="1"/>
    <col min="6163" max="6401" width="9.140625" style="865"/>
    <col min="6402" max="6402" width="3.7109375" style="865" customWidth="1"/>
    <col min="6403" max="6403" width="14.42578125" style="865" customWidth="1"/>
    <col min="6404" max="6404" width="3.7109375" style="865" customWidth="1"/>
    <col min="6405" max="6405" width="20" style="865" customWidth="1"/>
    <col min="6406" max="6417" width="8.7109375" style="865" customWidth="1"/>
    <col min="6418" max="6418" width="10.42578125" style="865" bestFit="1" customWidth="1"/>
    <col min="6419" max="6657" width="9.140625" style="865"/>
    <col min="6658" max="6658" width="3.7109375" style="865" customWidth="1"/>
    <col min="6659" max="6659" width="14.42578125" style="865" customWidth="1"/>
    <col min="6660" max="6660" width="3.7109375" style="865" customWidth="1"/>
    <col min="6661" max="6661" width="20" style="865" customWidth="1"/>
    <col min="6662" max="6673" width="8.7109375" style="865" customWidth="1"/>
    <col min="6674" max="6674" width="10.42578125" style="865" bestFit="1" customWidth="1"/>
    <col min="6675" max="6913" width="9.140625" style="865"/>
    <col min="6914" max="6914" width="3.7109375" style="865" customWidth="1"/>
    <col min="6915" max="6915" width="14.42578125" style="865" customWidth="1"/>
    <col min="6916" max="6916" width="3.7109375" style="865" customWidth="1"/>
    <col min="6917" max="6917" width="20" style="865" customWidth="1"/>
    <col min="6918" max="6929" width="8.7109375" style="865" customWidth="1"/>
    <col min="6930" max="6930" width="10.42578125" style="865" bestFit="1" customWidth="1"/>
    <col min="6931" max="7169" width="9.140625" style="865"/>
    <col min="7170" max="7170" width="3.7109375" style="865" customWidth="1"/>
    <col min="7171" max="7171" width="14.42578125" style="865" customWidth="1"/>
    <col min="7172" max="7172" width="3.7109375" style="865" customWidth="1"/>
    <col min="7173" max="7173" width="20" style="865" customWidth="1"/>
    <col min="7174" max="7185" width="8.7109375" style="865" customWidth="1"/>
    <col min="7186" max="7186" width="10.42578125" style="865" bestFit="1" customWidth="1"/>
    <col min="7187" max="7425" width="9.140625" style="865"/>
    <col min="7426" max="7426" width="3.7109375" style="865" customWidth="1"/>
    <col min="7427" max="7427" width="14.42578125" style="865" customWidth="1"/>
    <col min="7428" max="7428" width="3.7109375" style="865" customWidth="1"/>
    <col min="7429" max="7429" width="20" style="865" customWidth="1"/>
    <col min="7430" max="7441" width="8.7109375" style="865" customWidth="1"/>
    <col min="7442" max="7442" width="10.42578125" style="865" bestFit="1" customWidth="1"/>
    <col min="7443" max="7681" width="9.140625" style="865"/>
    <col min="7682" max="7682" width="3.7109375" style="865" customWidth="1"/>
    <col min="7683" max="7683" width="14.42578125" style="865" customWidth="1"/>
    <col min="7684" max="7684" width="3.7109375" style="865" customWidth="1"/>
    <col min="7685" max="7685" width="20" style="865" customWidth="1"/>
    <col min="7686" max="7697" width="8.7109375" style="865" customWidth="1"/>
    <col min="7698" max="7698" width="10.42578125" style="865" bestFit="1" customWidth="1"/>
    <col min="7699" max="7937" width="9.140625" style="865"/>
    <col min="7938" max="7938" width="3.7109375" style="865" customWidth="1"/>
    <col min="7939" max="7939" width="14.42578125" style="865" customWidth="1"/>
    <col min="7940" max="7940" width="3.7109375" style="865" customWidth="1"/>
    <col min="7941" max="7941" width="20" style="865" customWidth="1"/>
    <col min="7942" max="7953" width="8.7109375" style="865" customWidth="1"/>
    <col min="7954" max="7954" width="10.42578125" style="865" bestFit="1" customWidth="1"/>
    <col min="7955" max="8193" width="9.140625" style="865"/>
    <col min="8194" max="8194" width="3.7109375" style="865" customWidth="1"/>
    <col min="8195" max="8195" width="14.42578125" style="865" customWidth="1"/>
    <col min="8196" max="8196" width="3.7109375" style="865" customWidth="1"/>
    <col min="8197" max="8197" width="20" style="865" customWidth="1"/>
    <col min="8198" max="8209" width="8.7109375" style="865" customWidth="1"/>
    <col min="8210" max="8210" width="10.42578125" style="865" bestFit="1" customWidth="1"/>
    <col min="8211" max="8449" width="9.140625" style="865"/>
    <col min="8450" max="8450" width="3.7109375" style="865" customWidth="1"/>
    <col min="8451" max="8451" width="14.42578125" style="865" customWidth="1"/>
    <col min="8452" max="8452" width="3.7109375" style="865" customWidth="1"/>
    <col min="8453" max="8453" width="20" style="865" customWidth="1"/>
    <col min="8454" max="8465" width="8.7109375" style="865" customWidth="1"/>
    <col min="8466" max="8466" width="10.42578125" style="865" bestFit="1" customWidth="1"/>
    <col min="8467" max="8705" width="9.140625" style="865"/>
    <col min="8706" max="8706" width="3.7109375" style="865" customWidth="1"/>
    <col min="8707" max="8707" width="14.42578125" style="865" customWidth="1"/>
    <col min="8708" max="8708" width="3.7109375" style="865" customWidth="1"/>
    <col min="8709" max="8709" width="20" style="865" customWidth="1"/>
    <col min="8710" max="8721" width="8.7109375" style="865" customWidth="1"/>
    <col min="8722" max="8722" width="10.42578125" style="865" bestFit="1" customWidth="1"/>
    <col min="8723" max="8961" width="9.140625" style="865"/>
    <col min="8962" max="8962" width="3.7109375" style="865" customWidth="1"/>
    <col min="8963" max="8963" width="14.42578125" style="865" customWidth="1"/>
    <col min="8964" max="8964" width="3.7109375" style="865" customWidth="1"/>
    <col min="8965" max="8965" width="20" style="865" customWidth="1"/>
    <col min="8966" max="8977" width="8.7109375" style="865" customWidth="1"/>
    <col min="8978" max="8978" width="10.42578125" style="865" bestFit="1" customWidth="1"/>
    <col min="8979" max="9217" width="9.140625" style="865"/>
    <col min="9218" max="9218" width="3.7109375" style="865" customWidth="1"/>
    <col min="9219" max="9219" width="14.42578125" style="865" customWidth="1"/>
    <col min="9220" max="9220" width="3.7109375" style="865" customWidth="1"/>
    <col min="9221" max="9221" width="20" style="865" customWidth="1"/>
    <col min="9222" max="9233" width="8.7109375" style="865" customWidth="1"/>
    <col min="9234" max="9234" width="10.42578125" style="865" bestFit="1" customWidth="1"/>
    <col min="9235" max="9473" width="9.140625" style="865"/>
    <col min="9474" max="9474" width="3.7109375" style="865" customWidth="1"/>
    <col min="9475" max="9475" width="14.42578125" style="865" customWidth="1"/>
    <col min="9476" max="9476" width="3.7109375" style="865" customWidth="1"/>
    <col min="9477" max="9477" width="20" style="865" customWidth="1"/>
    <col min="9478" max="9489" width="8.7109375" style="865" customWidth="1"/>
    <col min="9490" max="9490" width="10.42578125" style="865" bestFit="1" customWidth="1"/>
    <col min="9491" max="9729" width="9.140625" style="865"/>
    <col min="9730" max="9730" width="3.7109375" style="865" customWidth="1"/>
    <col min="9731" max="9731" width="14.42578125" style="865" customWidth="1"/>
    <col min="9732" max="9732" width="3.7109375" style="865" customWidth="1"/>
    <col min="9733" max="9733" width="20" style="865" customWidth="1"/>
    <col min="9734" max="9745" width="8.7109375" style="865" customWidth="1"/>
    <col min="9746" max="9746" width="10.42578125" style="865" bestFit="1" customWidth="1"/>
    <col min="9747" max="9985" width="9.140625" style="865"/>
    <col min="9986" max="9986" width="3.7109375" style="865" customWidth="1"/>
    <col min="9987" max="9987" width="14.42578125" style="865" customWidth="1"/>
    <col min="9988" max="9988" width="3.7109375" style="865" customWidth="1"/>
    <col min="9989" max="9989" width="20" style="865" customWidth="1"/>
    <col min="9990" max="10001" width="8.7109375" style="865" customWidth="1"/>
    <col min="10002" max="10002" width="10.42578125" style="865" bestFit="1" customWidth="1"/>
    <col min="10003" max="10241" width="9.140625" style="865"/>
    <col min="10242" max="10242" width="3.7109375" style="865" customWidth="1"/>
    <col min="10243" max="10243" width="14.42578125" style="865" customWidth="1"/>
    <col min="10244" max="10244" width="3.7109375" style="865" customWidth="1"/>
    <col min="10245" max="10245" width="20" style="865" customWidth="1"/>
    <col min="10246" max="10257" width="8.7109375" style="865" customWidth="1"/>
    <col min="10258" max="10258" width="10.42578125" style="865" bestFit="1" customWidth="1"/>
    <col min="10259" max="10497" width="9.140625" style="865"/>
    <col min="10498" max="10498" width="3.7109375" style="865" customWidth="1"/>
    <col min="10499" max="10499" width="14.42578125" style="865" customWidth="1"/>
    <col min="10500" max="10500" width="3.7109375" style="865" customWidth="1"/>
    <col min="10501" max="10501" width="20" style="865" customWidth="1"/>
    <col min="10502" max="10513" width="8.7109375" style="865" customWidth="1"/>
    <col min="10514" max="10514" width="10.42578125" style="865" bestFit="1" customWidth="1"/>
    <col min="10515" max="10753" width="9.140625" style="865"/>
    <col min="10754" max="10754" width="3.7109375" style="865" customWidth="1"/>
    <col min="10755" max="10755" width="14.42578125" style="865" customWidth="1"/>
    <col min="10756" max="10756" width="3.7109375" style="865" customWidth="1"/>
    <col min="10757" max="10757" width="20" style="865" customWidth="1"/>
    <col min="10758" max="10769" width="8.7109375" style="865" customWidth="1"/>
    <col min="10770" max="10770" width="10.42578125" style="865" bestFit="1" customWidth="1"/>
    <col min="10771" max="11009" width="9.140625" style="865"/>
    <col min="11010" max="11010" width="3.7109375" style="865" customWidth="1"/>
    <col min="11011" max="11011" width="14.42578125" style="865" customWidth="1"/>
    <col min="11012" max="11012" width="3.7109375" style="865" customWidth="1"/>
    <col min="11013" max="11013" width="20" style="865" customWidth="1"/>
    <col min="11014" max="11025" width="8.7109375" style="865" customWidth="1"/>
    <col min="11026" max="11026" width="10.42578125" style="865" bestFit="1" customWidth="1"/>
    <col min="11027" max="11265" width="9.140625" style="865"/>
    <col min="11266" max="11266" width="3.7109375" style="865" customWidth="1"/>
    <col min="11267" max="11267" width="14.42578125" style="865" customWidth="1"/>
    <col min="11268" max="11268" width="3.7109375" style="865" customWidth="1"/>
    <col min="11269" max="11269" width="20" style="865" customWidth="1"/>
    <col min="11270" max="11281" width="8.7109375" style="865" customWidth="1"/>
    <col min="11282" max="11282" width="10.42578125" style="865" bestFit="1" customWidth="1"/>
    <col min="11283" max="11521" width="9.140625" style="865"/>
    <col min="11522" max="11522" width="3.7109375" style="865" customWidth="1"/>
    <col min="11523" max="11523" width="14.42578125" style="865" customWidth="1"/>
    <col min="11524" max="11524" width="3.7109375" style="865" customWidth="1"/>
    <col min="11525" max="11525" width="20" style="865" customWidth="1"/>
    <col min="11526" max="11537" width="8.7109375" style="865" customWidth="1"/>
    <col min="11538" max="11538" width="10.42578125" style="865" bestFit="1" customWidth="1"/>
    <col min="11539" max="11777" width="9.140625" style="865"/>
    <col min="11778" max="11778" width="3.7109375" style="865" customWidth="1"/>
    <col min="11779" max="11779" width="14.42578125" style="865" customWidth="1"/>
    <col min="11780" max="11780" width="3.7109375" style="865" customWidth="1"/>
    <col min="11781" max="11781" width="20" style="865" customWidth="1"/>
    <col min="11782" max="11793" width="8.7109375" style="865" customWidth="1"/>
    <col min="11794" max="11794" width="10.42578125" style="865" bestFit="1" customWidth="1"/>
    <col min="11795" max="12033" width="9.140625" style="865"/>
    <col min="12034" max="12034" width="3.7109375" style="865" customWidth="1"/>
    <col min="12035" max="12035" width="14.42578125" style="865" customWidth="1"/>
    <col min="12036" max="12036" width="3.7109375" style="865" customWidth="1"/>
    <col min="12037" max="12037" width="20" style="865" customWidth="1"/>
    <col min="12038" max="12049" width="8.7109375" style="865" customWidth="1"/>
    <col min="12050" max="12050" width="10.42578125" style="865" bestFit="1" customWidth="1"/>
    <col min="12051" max="12289" width="9.140625" style="865"/>
    <col min="12290" max="12290" width="3.7109375" style="865" customWidth="1"/>
    <col min="12291" max="12291" width="14.42578125" style="865" customWidth="1"/>
    <col min="12292" max="12292" width="3.7109375" style="865" customWidth="1"/>
    <col min="12293" max="12293" width="20" style="865" customWidth="1"/>
    <col min="12294" max="12305" width="8.7109375" style="865" customWidth="1"/>
    <col min="12306" max="12306" width="10.42578125" style="865" bestFit="1" customWidth="1"/>
    <col min="12307" max="12545" width="9.140625" style="865"/>
    <col min="12546" max="12546" width="3.7109375" style="865" customWidth="1"/>
    <col min="12547" max="12547" width="14.42578125" style="865" customWidth="1"/>
    <col min="12548" max="12548" width="3.7109375" style="865" customWidth="1"/>
    <col min="12549" max="12549" width="20" style="865" customWidth="1"/>
    <col min="12550" max="12561" width="8.7109375" style="865" customWidth="1"/>
    <col min="12562" max="12562" width="10.42578125" style="865" bestFit="1" customWidth="1"/>
    <col min="12563" max="12801" width="9.140625" style="865"/>
    <col min="12802" max="12802" width="3.7109375" style="865" customWidth="1"/>
    <col min="12803" max="12803" width="14.42578125" style="865" customWidth="1"/>
    <col min="12804" max="12804" width="3.7109375" style="865" customWidth="1"/>
    <col min="12805" max="12805" width="20" style="865" customWidth="1"/>
    <col min="12806" max="12817" width="8.7109375" style="865" customWidth="1"/>
    <col min="12818" max="12818" width="10.42578125" style="865" bestFit="1" customWidth="1"/>
    <col min="12819" max="13057" width="9.140625" style="865"/>
    <col min="13058" max="13058" width="3.7109375" style="865" customWidth="1"/>
    <col min="13059" max="13059" width="14.42578125" style="865" customWidth="1"/>
    <col min="13060" max="13060" width="3.7109375" style="865" customWidth="1"/>
    <col min="13061" max="13061" width="20" style="865" customWidth="1"/>
    <col min="13062" max="13073" width="8.7109375" style="865" customWidth="1"/>
    <col min="13074" max="13074" width="10.42578125" style="865" bestFit="1" customWidth="1"/>
    <col min="13075" max="13313" width="9.140625" style="865"/>
    <col min="13314" max="13314" width="3.7109375" style="865" customWidth="1"/>
    <col min="13315" max="13315" width="14.42578125" style="865" customWidth="1"/>
    <col min="13316" max="13316" width="3.7109375" style="865" customWidth="1"/>
    <col min="13317" max="13317" width="20" style="865" customWidth="1"/>
    <col min="13318" max="13329" width="8.7109375" style="865" customWidth="1"/>
    <col min="13330" max="13330" width="10.42578125" style="865" bestFit="1" customWidth="1"/>
    <col min="13331" max="13569" width="9.140625" style="865"/>
    <col min="13570" max="13570" width="3.7109375" style="865" customWidth="1"/>
    <col min="13571" max="13571" width="14.42578125" style="865" customWidth="1"/>
    <col min="13572" max="13572" width="3.7109375" style="865" customWidth="1"/>
    <col min="13573" max="13573" width="20" style="865" customWidth="1"/>
    <col min="13574" max="13585" width="8.7109375" style="865" customWidth="1"/>
    <col min="13586" max="13586" width="10.42578125" style="865" bestFit="1" customWidth="1"/>
    <col min="13587" max="13825" width="9.140625" style="865"/>
    <col min="13826" max="13826" width="3.7109375" style="865" customWidth="1"/>
    <col min="13827" max="13827" width="14.42578125" style="865" customWidth="1"/>
    <col min="13828" max="13828" width="3.7109375" style="865" customWidth="1"/>
    <col min="13829" max="13829" width="20" style="865" customWidth="1"/>
    <col min="13830" max="13841" width="8.7109375" style="865" customWidth="1"/>
    <col min="13842" max="13842" width="10.42578125" style="865" bestFit="1" customWidth="1"/>
    <col min="13843" max="14081" width="9.140625" style="865"/>
    <col min="14082" max="14082" width="3.7109375" style="865" customWidth="1"/>
    <col min="14083" max="14083" width="14.42578125" style="865" customWidth="1"/>
    <col min="14084" max="14084" width="3.7109375" style="865" customWidth="1"/>
    <col min="14085" max="14085" width="20" style="865" customWidth="1"/>
    <col min="14086" max="14097" width="8.7109375" style="865" customWidth="1"/>
    <col min="14098" max="14098" width="10.42578125" style="865" bestFit="1" customWidth="1"/>
    <col min="14099" max="14337" width="9.140625" style="865"/>
    <col min="14338" max="14338" width="3.7109375" style="865" customWidth="1"/>
    <col min="14339" max="14339" width="14.42578125" style="865" customWidth="1"/>
    <col min="14340" max="14340" width="3.7109375" style="865" customWidth="1"/>
    <col min="14341" max="14341" width="20" style="865" customWidth="1"/>
    <col min="14342" max="14353" width="8.7109375" style="865" customWidth="1"/>
    <col min="14354" max="14354" width="10.42578125" style="865" bestFit="1" customWidth="1"/>
    <col min="14355" max="14593" width="9.140625" style="865"/>
    <col min="14594" max="14594" width="3.7109375" style="865" customWidth="1"/>
    <col min="14595" max="14595" width="14.42578125" style="865" customWidth="1"/>
    <col min="14596" max="14596" width="3.7109375" style="865" customWidth="1"/>
    <col min="14597" max="14597" width="20" style="865" customWidth="1"/>
    <col min="14598" max="14609" width="8.7109375" style="865" customWidth="1"/>
    <col min="14610" max="14610" width="10.42578125" style="865" bestFit="1" customWidth="1"/>
    <col min="14611" max="14849" width="9.140625" style="865"/>
    <col min="14850" max="14850" width="3.7109375" style="865" customWidth="1"/>
    <col min="14851" max="14851" width="14.42578125" style="865" customWidth="1"/>
    <col min="14852" max="14852" width="3.7109375" style="865" customWidth="1"/>
    <col min="14853" max="14853" width="20" style="865" customWidth="1"/>
    <col min="14854" max="14865" width="8.7109375" style="865" customWidth="1"/>
    <col min="14866" max="14866" width="10.42578125" style="865" bestFit="1" customWidth="1"/>
    <col min="14867" max="15105" width="9.140625" style="865"/>
    <col min="15106" max="15106" width="3.7109375" style="865" customWidth="1"/>
    <col min="15107" max="15107" width="14.42578125" style="865" customWidth="1"/>
    <col min="15108" max="15108" width="3.7109375" style="865" customWidth="1"/>
    <col min="15109" max="15109" width="20" style="865" customWidth="1"/>
    <col min="15110" max="15121" width="8.7109375" style="865" customWidth="1"/>
    <col min="15122" max="15122" width="10.42578125" style="865" bestFit="1" customWidth="1"/>
    <col min="15123" max="15361" width="9.140625" style="865"/>
    <col min="15362" max="15362" width="3.7109375" style="865" customWidth="1"/>
    <col min="15363" max="15363" width="14.42578125" style="865" customWidth="1"/>
    <col min="15364" max="15364" width="3.7109375" style="865" customWidth="1"/>
    <col min="15365" max="15365" width="20" style="865" customWidth="1"/>
    <col min="15366" max="15377" width="8.7109375" style="865" customWidth="1"/>
    <col min="15378" max="15378" width="10.42578125" style="865" bestFit="1" customWidth="1"/>
    <col min="15379" max="15617" width="9.140625" style="865"/>
    <col min="15618" max="15618" width="3.7109375" style="865" customWidth="1"/>
    <col min="15619" max="15619" width="14.42578125" style="865" customWidth="1"/>
    <col min="15620" max="15620" width="3.7109375" style="865" customWidth="1"/>
    <col min="15621" max="15621" width="20" style="865" customWidth="1"/>
    <col min="15622" max="15633" width="8.7109375" style="865" customWidth="1"/>
    <col min="15634" max="15634" width="10.42578125" style="865" bestFit="1" customWidth="1"/>
    <col min="15635" max="15873" width="9.140625" style="865"/>
    <col min="15874" max="15874" width="3.7109375" style="865" customWidth="1"/>
    <col min="15875" max="15875" width="14.42578125" style="865" customWidth="1"/>
    <col min="15876" max="15876" width="3.7109375" style="865" customWidth="1"/>
    <col min="15877" max="15877" width="20" style="865" customWidth="1"/>
    <col min="15878" max="15889" width="8.7109375" style="865" customWidth="1"/>
    <col min="15890" max="15890" width="10.42578125" style="865" bestFit="1" customWidth="1"/>
    <col min="15891" max="16129" width="9.140625" style="865"/>
    <col min="16130" max="16130" width="3.7109375" style="865" customWidth="1"/>
    <col min="16131" max="16131" width="14.42578125" style="865" customWidth="1"/>
    <col min="16132" max="16132" width="3.7109375" style="865" customWidth="1"/>
    <col min="16133" max="16133" width="20" style="865" customWidth="1"/>
    <col min="16134" max="16145" width="8.7109375" style="865" customWidth="1"/>
    <col min="16146" max="16146" width="10.42578125" style="865" bestFit="1" customWidth="1"/>
    <col min="16147" max="16384" width="9.140625" style="865"/>
  </cols>
  <sheetData>
    <row r="1" spans="1:25" x14ac:dyDescent="0.2">
      <c r="A1" s="1170"/>
      <c r="B1" s="886"/>
      <c r="C1" s="886"/>
      <c r="D1" s="885"/>
      <c r="E1" s="885"/>
      <c r="F1" s="885"/>
      <c r="G1" s="885"/>
      <c r="H1" s="885"/>
      <c r="I1" s="885"/>
      <c r="J1" s="885"/>
      <c r="K1" s="885"/>
      <c r="L1" s="885"/>
      <c r="M1" s="885"/>
      <c r="N1" s="885"/>
      <c r="O1" s="885"/>
      <c r="P1" s="885"/>
      <c r="Q1" s="885"/>
      <c r="R1" s="885"/>
      <c r="S1" s="885"/>
      <c r="T1" s="885"/>
      <c r="U1" s="885"/>
    </row>
    <row r="2" spans="1:25" ht="14.25" customHeight="1" x14ac:dyDescent="0.2">
      <c r="A2" s="453">
        <v>1</v>
      </c>
      <c r="B2" s="453" t="s">
        <v>24</v>
      </c>
      <c r="C2" s="453">
        <f>1+'[23]Mathematics pass rate'!C2</f>
        <v>48</v>
      </c>
      <c r="D2" s="3556" t="s">
        <v>968</v>
      </c>
      <c r="E2" s="3557"/>
      <c r="F2" s="3557"/>
      <c r="G2" s="3557"/>
      <c r="H2" s="3557"/>
      <c r="I2" s="3557"/>
      <c r="J2" s="3557"/>
      <c r="K2" s="3557"/>
      <c r="L2" s="3557"/>
      <c r="M2" s="3557"/>
      <c r="N2" s="3557"/>
      <c r="O2" s="3557"/>
      <c r="P2" s="3557"/>
      <c r="Q2" s="3557"/>
      <c r="R2" s="3557"/>
      <c r="S2" s="3557"/>
      <c r="T2" s="3557"/>
      <c r="U2" s="3557"/>
      <c r="V2" s="3557"/>
      <c r="W2" s="3557"/>
      <c r="X2" s="3557"/>
      <c r="Y2" s="3558"/>
    </row>
    <row r="3" spans="1:25" ht="15" customHeight="1" x14ac:dyDescent="0.2">
      <c r="A3" s="453">
        <v>2</v>
      </c>
      <c r="B3" s="453" t="s">
        <v>26</v>
      </c>
      <c r="C3" s="453"/>
      <c r="D3" s="3553" t="s">
        <v>860</v>
      </c>
      <c r="E3" s="3554"/>
      <c r="F3" s="3554"/>
      <c r="G3" s="3554"/>
      <c r="H3" s="3554"/>
      <c r="I3" s="3554"/>
      <c r="J3" s="3554"/>
      <c r="K3" s="3554"/>
      <c r="L3" s="3554"/>
      <c r="M3" s="3554"/>
      <c r="N3" s="3554"/>
      <c r="O3" s="3554"/>
      <c r="P3" s="3554"/>
      <c r="Q3" s="3554"/>
      <c r="R3" s="3554"/>
      <c r="S3" s="3554"/>
      <c r="T3" s="3554"/>
      <c r="U3" s="3554"/>
      <c r="V3" s="3554"/>
      <c r="W3" s="3554"/>
      <c r="X3" s="3554"/>
      <c r="Y3" s="3555"/>
    </row>
    <row r="4" spans="1:25" ht="14.25" customHeight="1" x14ac:dyDescent="0.2">
      <c r="A4" s="453">
        <v>3</v>
      </c>
      <c r="B4" s="453" t="s">
        <v>28</v>
      </c>
      <c r="C4" s="453"/>
      <c r="D4" s="3553" t="s">
        <v>967</v>
      </c>
      <c r="E4" s="3554"/>
      <c r="F4" s="3554"/>
      <c r="G4" s="3554"/>
      <c r="H4" s="3554"/>
      <c r="I4" s="3554"/>
      <c r="J4" s="3554"/>
      <c r="K4" s="3554"/>
      <c r="L4" s="3554"/>
      <c r="M4" s="3554"/>
      <c r="N4" s="3554"/>
      <c r="O4" s="3554"/>
      <c r="P4" s="3554"/>
      <c r="Q4" s="3554"/>
      <c r="R4" s="3554"/>
      <c r="S4" s="3554"/>
      <c r="T4" s="3554"/>
      <c r="U4" s="3554"/>
      <c r="V4" s="3554"/>
      <c r="W4" s="3554"/>
      <c r="X4" s="3554"/>
      <c r="Y4" s="3555"/>
    </row>
    <row r="5" spans="1:25" ht="14.25" customHeight="1" x14ac:dyDescent="0.25">
      <c r="A5" s="453"/>
      <c r="B5" s="453"/>
      <c r="C5" s="453"/>
      <c r="D5" s="138"/>
      <c r="E5" s="138"/>
      <c r="F5" s="138"/>
      <c r="G5" s="195"/>
      <c r="H5" s="195"/>
      <c r="I5" s="195"/>
      <c r="J5" s="195"/>
      <c r="K5" s="195"/>
      <c r="L5" s="195"/>
      <c r="M5" s="195"/>
      <c r="N5" s="195"/>
      <c r="O5" s="195"/>
      <c r="P5" s="195"/>
      <c r="Q5" s="195"/>
      <c r="R5" s="195"/>
      <c r="S5" s="195"/>
      <c r="T5" s="195"/>
      <c r="U5" s="1938"/>
    </row>
    <row r="6" spans="1:25" ht="14.25" x14ac:dyDescent="0.2">
      <c r="A6" s="453">
        <v>4</v>
      </c>
      <c r="B6" s="650" t="s">
        <v>1</v>
      </c>
      <c r="C6" s="650"/>
    </row>
    <row r="7" spans="1:25" s="77" customFormat="1" ht="12.75" customHeight="1" x14ac:dyDescent="0.2">
      <c r="A7" s="1174"/>
      <c r="B7" s="1021"/>
      <c r="C7" s="1021"/>
      <c r="D7" s="1075"/>
      <c r="E7" s="1075"/>
      <c r="F7" s="1075"/>
      <c r="G7" s="1075"/>
      <c r="H7" s="1075"/>
      <c r="I7" s="1075"/>
      <c r="J7" s="1075"/>
      <c r="K7" s="1075"/>
      <c r="L7" s="1075"/>
      <c r="M7" s="1075"/>
      <c r="N7" s="1075"/>
      <c r="O7" s="1075"/>
      <c r="P7" s="1075"/>
      <c r="Q7" s="58"/>
      <c r="R7" s="58"/>
      <c r="V7" s="2110"/>
    </row>
    <row r="8" spans="1:25" s="77" customFormat="1" ht="12.75" customHeight="1" x14ac:dyDescent="0.2">
      <c r="A8" s="2111"/>
      <c r="B8" s="1173"/>
      <c r="C8" s="1173"/>
      <c r="D8" s="172" t="s">
        <v>31</v>
      </c>
      <c r="E8" s="172"/>
      <c r="F8" s="172"/>
      <c r="G8" s="1066" t="s">
        <v>958</v>
      </c>
      <c r="H8" s="1065"/>
      <c r="I8" s="1065"/>
      <c r="J8" s="1065"/>
      <c r="K8" s="1065"/>
      <c r="L8" s="1065"/>
      <c r="M8" s="1065"/>
      <c r="N8" s="1065"/>
      <c r="O8" s="1065"/>
      <c r="P8" s="1065"/>
      <c r="Q8" s="1065"/>
      <c r="S8" s="117"/>
      <c r="T8" s="117"/>
      <c r="U8" s="117"/>
    </row>
    <row r="9" spans="1:25" s="77" customFormat="1" ht="12.75" customHeight="1" x14ac:dyDescent="0.2">
      <c r="A9" s="2111"/>
      <c r="B9" s="1173"/>
      <c r="C9" s="1173"/>
      <c r="D9" s="477"/>
      <c r="E9" s="171">
        <v>1995</v>
      </c>
      <c r="F9" s="171">
        <v>1996</v>
      </c>
      <c r="G9" s="171">
        <v>1997</v>
      </c>
      <c r="H9" s="171">
        <v>1998</v>
      </c>
      <c r="I9" s="171">
        <v>1999</v>
      </c>
      <c r="J9" s="171">
        <v>2000</v>
      </c>
      <c r="K9" s="171">
        <v>2001</v>
      </c>
      <c r="L9" s="171">
        <v>2002</v>
      </c>
      <c r="M9" s="171">
        <v>2003</v>
      </c>
      <c r="N9" s="171">
        <v>2004</v>
      </c>
      <c r="O9" s="171">
        <v>2005</v>
      </c>
      <c r="P9" s="171">
        <v>2006</v>
      </c>
      <c r="Q9" s="171">
        <v>2007</v>
      </c>
      <c r="R9" s="171">
        <v>2008</v>
      </c>
      <c r="S9" s="171">
        <v>2009</v>
      </c>
      <c r="T9" s="171">
        <v>2010</v>
      </c>
      <c r="U9" s="171">
        <v>2011</v>
      </c>
      <c r="V9" s="171">
        <v>2012</v>
      </c>
      <c r="W9" s="171">
        <v>2013</v>
      </c>
      <c r="X9" s="171">
        <v>2014</v>
      </c>
      <c r="Y9" s="2831">
        <v>2015</v>
      </c>
    </row>
    <row r="10" spans="1:25" s="77" customFormat="1" ht="12.75" customHeight="1" x14ac:dyDescent="0.2">
      <c r="A10" s="2111"/>
      <c r="B10" s="1173"/>
      <c r="C10" s="2109">
        <v>1</v>
      </c>
      <c r="D10" s="1192" t="s">
        <v>966</v>
      </c>
      <c r="E10" s="176"/>
      <c r="F10" s="176"/>
      <c r="G10" s="627"/>
      <c r="H10" s="627"/>
      <c r="I10" s="627"/>
      <c r="J10" s="1029"/>
      <c r="K10" s="1029"/>
      <c r="L10" s="1029">
        <v>0.72699999999999998</v>
      </c>
      <c r="M10" s="1029">
        <v>0.745</v>
      </c>
      <c r="N10" s="1029">
        <v>0.75</v>
      </c>
      <c r="O10" s="1029">
        <v>0.75800000000000001</v>
      </c>
      <c r="P10" s="1029">
        <v>0.76300000000000001</v>
      </c>
      <c r="Q10" s="1029">
        <v>0.77300000000000002</v>
      </c>
      <c r="R10" s="1029">
        <v>0.77600000000000002</v>
      </c>
      <c r="S10" s="1029">
        <v>0.80700000000000005</v>
      </c>
      <c r="T10" s="1029">
        <v>0.81200000000000006</v>
      </c>
      <c r="U10" s="1029">
        <v>0.82299999999999995</v>
      </c>
      <c r="V10" s="1029">
        <v>0.83499999999999996</v>
      </c>
      <c r="W10" s="1029">
        <v>0.83799999999999997</v>
      </c>
      <c r="X10" s="1029">
        <v>0.84199999999999997</v>
      </c>
      <c r="Y10" s="2832">
        <v>0.84399999999999997</v>
      </c>
    </row>
    <row r="11" spans="1:25" s="77" customFormat="1" ht="12.75" customHeight="1" x14ac:dyDescent="0.2">
      <c r="A11" s="2111"/>
      <c r="B11" s="1173"/>
      <c r="C11" s="2109">
        <v>2</v>
      </c>
      <c r="D11" s="132" t="s">
        <v>956</v>
      </c>
      <c r="E11" s="1029">
        <v>0.69582114118507699</v>
      </c>
      <c r="F11" s="176"/>
      <c r="G11" s="1029">
        <v>0.69258781105587497</v>
      </c>
      <c r="H11" s="1029">
        <v>0.68703930601276797</v>
      </c>
      <c r="I11" s="1029">
        <v>0.69049620076509899</v>
      </c>
      <c r="J11" s="1029"/>
      <c r="K11" s="1029"/>
      <c r="L11" s="1029"/>
      <c r="M11" s="1029"/>
      <c r="N11" s="1029"/>
      <c r="O11" s="1029"/>
      <c r="P11" s="1029"/>
      <c r="Q11" s="1029"/>
      <c r="R11" s="1029"/>
      <c r="S11" s="1029"/>
      <c r="T11" s="1029"/>
      <c r="U11" s="1029"/>
      <c r="V11" s="1029"/>
      <c r="W11" s="1029"/>
      <c r="X11" s="1029"/>
      <c r="Y11" s="2832"/>
    </row>
    <row r="12" spans="1:25" s="77" customFormat="1" ht="12.75" customHeight="1" x14ac:dyDescent="0.2">
      <c r="A12" s="2111"/>
      <c r="B12" s="1173"/>
      <c r="C12" s="2109">
        <v>3</v>
      </c>
      <c r="D12" s="1192" t="s">
        <v>965</v>
      </c>
      <c r="E12" s="176"/>
      <c r="F12" s="176"/>
      <c r="G12" s="617"/>
      <c r="H12" s="617"/>
      <c r="I12" s="617"/>
      <c r="J12" s="1029"/>
      <c r="K12" s="1029"/>
      <c r="L12" s="1029">
        <v>0.69379092021008704</v>
      </c>
      <c r="M12" s="1029">
        <v>0.70300464922628603</v>
      </c>
      <c r="N12" s="1029">
        <v>0.71803278688524597</v>
      </c>
      <c r="O12" s="1029">
        <v>0.73699999999999999</v>
      </c>
      <c r="P12" s="1029">
        <v>0.745</v>
      </c>
      <c r="Q12" s="1029">
        <v>0.75700000000000001</v>
      </c>
      <c r="R12" s="1029">
        <v>0.753</v>
      </c>
      <c r="S12" s="1029">
        <v>0.78800000000000003</v>
      </c>
      <c r="T12" s="1029">
        <v>0.79500000000000004</v>
      </c>
      <c r="U12" s="1029">
        <v>0.80700000000000005</v>
      </c>
      <c r="V12" s="1029">
        <v>0.82</v>
      </c>
      <c r="W12" s="1029">
        <v>0.82499999999999996</v>
      </c>
      <c r="X12" s="1029">
        <v>0.83</v>
      </c>
      <c r="Y12" s="2832">
        <v>0.83199999999999996</v>
      </c>
    </row>
    <row r="13" spans="1:25" s="77" customFormat="1" ht="12.75" customHeight="1" x14ac:dyDescent="0.2">
      <c r="A13" s="2111"/>
      <c r="B13" s="1173"/>
      <c r="C13" s="2112">
        <v>4</v>
      </c>
      <c r="D13" s="2113" t="s">
        <v>954</v>
      </c>
      <c r="E13" s="1064">
        <v>0.67228661749209695</v>
      </c>
      <c r="F13" s="2114"/>
      <c r="G13" s="1064">
        <v>0.675676991430467</v>
      </c>
      <c r="H13" s="1064">
        <v>0.67219802920879301</v>
      </c>
      <c r="I13" s="1064">
        <v>0.67376959649273205</v>
      </c>
      <c r="J13" s="1064"/>
      <c r="K13" s="1064"/>
      <c r="L13" s="1064"/>
      <c r="M13" s="1064"/>
      <c r="N13" s="1064"/>
      <c r="O13" s="1064"/>
      <c r="P13" s="1064"/>
      <c r="Q13" s="1064"/>
      <c r="R13" s="1064"/>
      <c r="S13" s="1064"/>
      <c r="T13" s="1064"/>
      <c r="U13" s="1064"/>
      <c r="V13" s="1064"/>
      <c r="W13" s="1064"/>
      <c r="X13" s="1064"/>
      <c r="Y13" s="2833"/>
    </row>
    <row r="14" spans="1:25" s="77" customFormat="1" ht="12.75" customHeight="1" x14ac:dyDescent="0.2">
      <c r="A14" s="2111"/>
      <c r="B14" s="1173"/>
      <c r="C14" s="2112"/>
      <c r="D14" s="2115" t="s">
        <v>962</v>
      </c>
      <c r="E14" s="1074">
        <f>1-E11</f>
        <v>0.30417885881492301</v>
      </c>
      <c r="F14" s="1074"/>
      <c r="G14" s="1074">
        <f>1-G11</f>
        <v>0.30741218894412503</v>
      </c>
      <c r="H14" s="1074">
        <f>1-H11</f>
        <v>0.31296069398723203</v>
      </c>
      <c r="I14" s="1074">
        <f>1-I11</f>
        <v>0.30950379923490101</v>
      </c>
      <c r="J14" s="1074"/>
      <c r="K14" s="1074"/>
      <c r="L14" s="1074">
        <v>0.27300000000000002</v>
      </c>
      <c r="M14" s="1074">
        <v>0.255</v>
      </c>
      <c r="N14" s="1074">
        <v>0.25</v>
      </c>
      <c r="O14" s="1074">
        <v>0.24199999999999999</v>
      </c>
      <c r="P14" s="1074">
        <v>0.23699999999999999</v>
      </c>
      <c r="Q14" s="1074">
        <v>0.22699999999999998</v>
      </c>
      <c r="R14" s="1074">
        <v>0.22399999999999998</v>
      </c>
      <c r="S14" s="1074">
        <v>0.19299999999999995</v>
      </c>
      <c r="T14" s="1074">
        <v>0.18799999999999994</v>
      </c>
      <c r="U14" s="1074">
        <v>0.17700000000000005</v>
      </c>
      <c r="V14" s="1074">
        <v>0.16500000000000004</v>
      </c>
      <c r="W14" s="1074">
        <v>0.16200000000000003</v>
      </c>
      <c r="X14" s="1074">
        <v>0.15800000000000003</v>
      </c>
      <c r="Y14" s="2834">
        <v>0.156</v>
      </c>
    </row>
    <row r="15" spans="1:25" s="77" customFormat="1" ht="12.75" customHeight="1" x14ac:dyDescent="0.2">
      <c r="A15" s="2111"/>
      <c r="B15" s="1173"/>
      <c r="C15" s="2112"/>
      <c r="D15" s="1192"/>
      <c r="E15" s="1029"/>
      <c r="F15" s="176"/>
      <c r="G15" s="1029"/>
      <c r="H15" s="1029"/>
      <c r="I15" s="1029"/>
      <c r="J15" s="1029"/>
      <c r="K15" s="1029"/>
      <c r="L15" s="1029"/>
      <c r="M15" s="1029"/>
      <c r="N15" s="1029"/>
      <c r="O15" s="1029"/>
      <c r="P15" s="1029"/>
      <c r="Q15" s="1029"/>
      <c r="R15" s="1029"/>
      <c r="S15" s="1029"/>
      <c r="T15" s="1029"/>
      <c r="U15" s="1029"/>
      <c r="V15" s="1029"/>
      <c r="W15" s="1029"/>
      <c r="X15" s="1029"/>
    </row>
    <row r="16" spans="1:25" s="77" customFormat="1" ht="12.75" customHeight="1" x14ac:dyDescent="0.2">
      <c r="A16" s="2111"/>
      <c r="B16" s="1173"/>
      <c r="C16" s="2112"/>
      <c r="D16" s="1196" t="s">
        <v>55</v>
      </c>
      <c r="E16" s="1066"/>
      <c r="F16" s="176"/>
      <c r="G16" s="1066" t="s">
        <v>964</v>
      </c>
      <c r="H16" s="1029"/>
      <c r="I16" s="1029"/>
      <c r="J16" s="1029"/>
      <c r="K16" s="1029"/>
      <c r="L16" s="1029"/>
      <c r="M16" s="1029"/>
      <c r="N16" s="1029"/>
      <c r="O16" s="1029"/>
      <c r="P16" s="1029"/>
    </row>
    <row r="17" spans="1:21" s="77" customFormat="1" ht="12.75" customHeight="1" x14ac:dyDescent="0.2">
      <c r="A17" s="2111"/>
      <c r="B17" s="1173"/>
      <c r="C17" s="1173"/>
      <c r="D17" s="477"/>
      <c r="E17" s="171">
        <v>1995</v>
      </c>
      <c r="F17" s="171">
        <v>1996</v>
      </c>
      <c r="G17" s="171">
        <v>1997</v>
      </c>
      <c r="H17" s="171">
        <v>1998</v>
      </c>
      <c r="I17" s="171">
        <v>1999</v>
      </c>
      <c r="J17" s="171">
        <v>2000</v>
      </c>
      <c r="K17" s="171">
        <v>2001</v>
      </c>
      <c r="L17" s="171">
        <v>2002</v>
      </c>
      <c r="M17" s="171">
        <v>2003</v>
      </c>
      <c r="N17" s="171">
        <v>2004</v>
      </c>
      <c r="O17" s="171">
        <v>2005</v>
      </c>
      <c r="P17" s="171">
        <v>2006</v>
      </c>
      <c r="Q17" s="171">
        <v>2007</v>
      </c>
      <c r="R17" s="171">
        <v>2008</v>
      </c>
      <c r="S17" s="171">
        <v>2009</v>
      </c>
      <c r="T17" s="171">
        <v>2010</v>
      </c>
      <c r="U17" s="2831">
        <v>2011</v>
      </c>
    </row>
    <row r="18" spans="1:21" s="77" customFormat="1" ht="12.75" customHeight="1" x14ac:dyDescent="0.2">
      <c r="A18" s="2111"/>
      <c r="B18" s="1173"/>
      <c r="C18" s="1173"/>
      <c r="D18" s="1008" t="s">
        <v>415</v>
      </c>
      <c r="E18" s="1073"/>
      <c r="F18" s="1071">
        <f>(100-40.4)/100</f>
        <v>0.59599999999999997</v>
      </c>
      <c r="G18" s="1072"/>
      <c r="H18" s="1072"/>
      <c r="I18" s="1072"/>
      <c r="J18" s="1072"/>
      <c r="K18" s="1071">
        <f>(100-39.7)/100</f>
        <v>0.60299999999999998</v>
      </c>
      <c r="L18" s="1072"/>
      <c r="M18" s="1072"/>
      <c r="N18" s="1072"/>
      <c r="O18" s="1072"/>
      <c r="P18" s="1072"/>
      <c r="Q18" s="1072"/>
      <c r="R18" s="1072"/>
      <c r="S18" s="1072"/>
      <c r="T18" s="1072"/>
      <c r="U18" s="2835">
        <f>(100-26.5)/100</f>
        <v>0.73499999999999999</v>
      </c>
    </row>
    <row r="19" spans="1:21" s="77" customFormat="1" ht="12.75" customHeight="1" x14ac:dyDescent="0.2">
      <c r="A19" s="2111"/>
      <c r="B19" s="1173"/>
      <c r="C19" s="1173"/>
      <c r="D19" s="1008" t="s">
        <v>417</v>
      </c>
      <c r="E19" s="1073"/>
      <c r="F19" s="1071">
        <f>(100-36.2)/100</f>
        <v>0.63800000000000001</v>
      </c>
      <c r="G19" s="1072"/>
      <c r="H19" s="1072"/>
      <c r="I19" s="1072"/>
      <c r="J19" s="1072"/>
      <c r="K19" s="1071">
        <f>(100-34.7)/100</f>
        <v>0.65300000000000002</v>
      </c>
      <c r="L19" s="1072"/>
      <c r="M19" s="1072"/>
      <c r="N19" s="1072"/>
      <c r="O19" s="1072"/>
      <c r="P19" s="1072"/>
      <c r="Q19" s="1072"/>
      <c r="R19" s="1072"/>
      <c r="S19" s="1072"/>
      <c r="T19" s="1072"/>
      <c r="U19" s="2835">
        <f>(100-21.1)/100</f>
        <v>0.78900000000000003</v>
      </c>
    </row>
    <row r="20" spans="1:21" s="77" customFormat="1" ht="12.75" customHeight="1" x14ac:dyDescent="0.2">
      <c r="A20" s="2111"/>
      <c r="B20" s="1173"/>
      <c r="C20" s="1173"/>
      <c r="D20" s="1008" t="s">
        <v>420</v>
      </c>
      <c r="E20" s="1073"/>
      <c r="F20" s="1071">
        <f>(100-20.5)/100</f>
        <v>0.79500000000000004</v>
      </c>
      <c r="G20" s="1072"/>
      <c r="H20" s="1072"/>
      <c r="I20" s="1072"/>
      <c r="J20" s="1072"/>
      <c r="K20" s="1071">
        <f>(100-19.2)/100</f>
        <v>0.80799999999999994</v>
      </c>
      <c r="L20" s="1072"/>
      <c r="M20" s="1072"/>
      <c r="N20" s="1072"/>
      <c r="O20" s="1072"/>
      <c r="P20" s="1072"/>
      <c r="Q20" s="1072"/>
      <c r="R20" s="1072"/>
      <c r="S20" s="1072"/>
      <c r="T20" s="1072"/>
      <c r="U20" s="2835">
        <f>(100-10.4)/100</f>
        <v>0.89599999999999991</v>
      </c>
    </row>
    <row r="21" spans="1:21" s="77" customFormat="1" ht="12.75" customHeight="1" x14ac:dyDescent="0.2">
      <c r="A21" s="2111"/>
      <c r="B21" s="1173"/>
      <c r="C21" s="1173"/>
      <c r="D21" s="1008" t="s">
        <v>418</v>
      </c>
      <c r="E21" s="1073"/>
      <c r="F21" s="1071">
        <f>(100-37.7)/100</f>
        <v>0.623</v>
      </c>
      <c r="G21" s="1072"/>
      <c r="H21" s="1072"/>
      <c r="I21" s="1072"/>
      <c r="J21" s="1072"/>
      <c r="K21" s="1071">
        <f>(100-35.4)/100</f>
        <v>0.64599999999999991</v>
      </c>
      <c r="L21" s="1072"/>
      <c r="M21" s="1072"/>
      <c r="N21" s="1072"/>
      <c r="O21" s="1072"/>
      <c r="P21" s="1072"/>
      <c r="Q21" s="1072"/>
      <c r="R21" s="1072"/>
      <c r="S21" s="1072"/>
      <c r="T21" s="1072"/>
      <c r="U21" s="2835">
        <f>(100-21.8)/100</f>
        <v>0.78200000000000003</v>
      </c>
    </row>
    <row r="22" spans="1:21" s="77" customFormat="1" ht="12.75" customHeight="1" x14ac:dyDescent="0.2">
      <c r="A22" s="2111"/>
      <c r="B22" s="1173"/>
      <c r="C22" s="1173"/>
      <c r="D22" s="1008" t="s">
        <v>422</v>
      </c>
      <c r="E22" s="1073"/>
      <c r="F22" s="1071">
        <f>(100-42.2)/100</f>
        <v>0.57799999999999996</v>
      </c>
      <c r="G22" s="1072"/>
      <c r="H22" s="1072"/>
      <c r="I22" s="1072"/>
      <c r="J22" s="1072"/>
      <c r="K22" s="1071">
        <f>(100-41)/100</f>
        <v>0.59</v>
      </c>
      <c r="L22" s="1072"/>
      <c r="M22" s="1072"/>
      <c r="N22" s="1072"/>
      <c r="O22" s="1072"/>
      <c r="P22" s="1072"/>
      <c r="Q22" s="1072"/>
      <c r="R22" s="1072"/>
      <c r="S22" s="1072"/>
      <c r="T22" s="1072"/>
      <c r="U22" s="2835">
        <f>(100-25)/100</f>
        <v>0.75</v>
      </c>
    </row>
    <row r="23" spans="1:21" s="77" customFormat="1" ht="12.75" customHeight="1" x14ac:dyDescent="0.2">
      <c r="A23" s="2111"/>
      <c r="B23" s="1173"/>
      <c r="C23" s="1173"/>
      <c r="D23" s="1008" t="s">
        <v>421</v>
      </c>
      <c r="E23" s="1073"/>
      <c r="F23" s="1071">
        <f>(100-40.9)/100</f>
        <v>0.59099999999999997</v>
      </c>
      <c r="G23" s="1072"/>
      <c r="H23" s="1072"/>
      <c r="I23" s="1072"/>
      <c r="J23" s="1072"/>
      <c r="K23" s="1071">
        <f>(100-39.9)/100</f>
        <v>0.60099999999999998</v>
      </c>
      <c r="L23" s="1072"/>
      <c r="M23" s="1072"/>
      <c r="N23" s="1072"/>
      <c r="O23" s="1072"/>
      <c r="P23" s="1072"/>
      <c r="Q23" s="1072"/>
      <c r="R23" s="1072"/>
      <c r="S23" s="1072"/>
      <c r="T23" s="1072"/>
      <c r="U23" s="2835">
        <f>(100-23.1)/100</f>
        <v>0.76900000000000002</v>
      </c>
    </row>
    <row r="24" spans="1:21" s="77" customFormat="1" ht="12.75" customHeight="1" x14ac:dyDescent="0.2">
      <c r="A24" s="2111"/>
      <c r="B24" s="1173"/>
      <c r="C24" s="1173"/>
      <c r="D24" s="1008" t="s">
        <v>419</v>
      </c>
      <c r="E24" s="1073"/>
      <c r="F24" s="1071">
        <f>(100-41.2)/100</f>
        <v>0.58799999999999997</v>
      </c>
      <c r="G24" s="1072"/>
      <c r="H24" s="1072"/>
      <c r="I24" s="1072"/>
      <c r="J24" s="1072"/>
      <c r="K24" s="1071">
        <f>(100-38)/100</f>
        <v>0.62</v>
      </c>
      <c r="L24" s="1072"/>
      <c r="M24" s="1072"/>
      <c r="N24" s="1072"/>
      <c r="O24" s="1072"/>
      <c r="P24" s="1072"/>
      <c r="Q24" s="1072"/>
      <c r="R24" s="1072"/>
      <c r="S24" s="1072"/>
      <c r="T24" s="1072"/>
      <c r="U24" s="2835">
        <f>(100-26.4)/100</f>
        <v>0.73599999999999999</v>
      </c>
    </row>
    <row r="25" spans="1:21" s="77" customFormat="1" ht="12.75" customHeight="1" x14ac:dyDescent="0.2">
      <c r="A25" s="2111"/>
      <c r="B25" s="1173"/>
      <c r="C25" s="2109"/>
      <c r="D25" s="1008" t="s">
        <v>416</v>
      </c>
      <c r="E25" s="2116"/>
      <c r="F25" s="2117">
        <f>(100-42.1)/100</f>
        <v>0.57899999999999996</v>
      </c>
      <c r="G25" s="2118"/>
      <c r="H25" s="2118"/>
      <c r="I25" s="2118"/>
      <c r="J25" s="1072"/>
      <c r="K25" s="1071">
        <f>(100-38.1)/100</f>
        <v>0.61899999999999999</v>
      </c>
      <c r="L25" s="1072"/>
      <c r="M25" s="1072"/>
      <c r="N25" s="1072"/>
      <c r="O25" s="1072"/>
      <c r="P25" s="1072"/>
      <c r="Q25" s="1072"/>
      <c r="R25" s="1072"/>
      <c r="S25" s="1072"/>
      <c r="T25" s="1072"/>
      <c r="U25" s="2835">
        <f>(100-26)/100</f>
        <v>0.74</v>
      </c>
    </row>
    <row r="26" spans="1:21" s="77" customFormat="1" ht="12.75" customHeight="1" x14ac:dyDescent="0.2">
      <c r="A26" s="2111"/>
      <c r="B26" s="1173"/>
      <c r="C26" s="2112"/>
      <c r="D26" s="1038" t="s">
        <v>414</v>
      </c>
      <c r="E26" s="2119"/>
      <c r="F26" s="2120">
        <f>(100-21.1)/100</f>
        <v>0.78900000000000003</v>
      </c>
      <c r="G26" s="1070"/>
      <c r="H26" s="1070"/>
      <c r="I26" s="1070"/>
      <c r="J26" s="1070"/>
      <c r="K26" s="1069">
        <f>(100-19.6)/100</f>
        <v>0.80400000000000005</v>
      </c>
      <c r="L26" s="1070"/>
      <c r="M26" s="1070"/>
      <c r="N26" s="1070"/>
      <c r="O26" s="1070"/>
      <c r="P26" s="1070"/>
      <c r="Q26" s="1070"/>
      <c r="R26" s="1070"/>
      <c r="S26" s="1070"/>
      <c r="T26" s="1070"/>
      <c r="U26" s="2836">
        <f>(100-12.6)/100</f>
        <v>0.87400000000000011</v>
      </c>
    </row>
    <row r="27" spans="1:21" s="77" customFormat="1" ht="12.75" customHeight="1" x14ac:dyDescent="0.2">
      <c r="A27" s="2111"/>
      <c r="B27" s="1173"/>
      <c r="C27" s="2112"/>
      <c r="D27" s="2115" t="s">
        <v>963</v>
      </c>
      <c r="E27" s="2121"/>
      <c r="F27" s="2122">
        <f>(100-33.6)/100</f>
        <v>0.66400000000000003</v>
      </c>
      <c r="G27" s="1068"/>
      <c r="H27" s="1068"/>
      <c r="I27" s="1068"/>
      <c r="J27" s="1068"/>
      <c r="K27" s="1067">
        <f>(100-31.5)/100</f>
        <v>0.68500000000000005</v>
      </c>
      <c r="L27" s="1068"/>
      <c r="M27" s="1068"/>
      <c r="N27" s="1068"/>
      <c r="O27" s="1068"/>
      <c r="P27" s="1068"/>
      <c r="Q27" s="1068"/>
      <c r="R27" s="1068"/>
      <c r="S27" s="1068"/>
      <c r="T27" s="1068"/>
      <c r="U27" s="2837">
        <f>(100-19.1)/100</f>
        <v>0.80900000000000005</v>
      </c>
    </row>
    <row r="28" spans="1:21" s="1088" customFormat="1" ht="12.75" customHeight="1" x14ac:dyDescent="0.2">
      <c r="A28" s="2111"/>
      <c r="B28" s="2111"/>
      <c r="C28" s="2112"/>
      <c r="D28" s="1196" t="s">
        <v>962</v>
      </c>
      <c r="E28" s="2123"/>
      <c r="F28" s="2124">
        <v>0.33600000000000002</v>
      </c>
      <c r="G28" s="2125"/>
      <c r="H28" s="2125"/>
      <c r="I28" s="2125"/>
      <c r="J28" s="2125"/>
      <c r="K28" s="2124">
        <v>0.315</v>
      </c>
      <c r="L28" s="2125"/>
      <c r="M28" s="2125"/>
      <c r="N28" s="2125"/>
      <c r="O28" s="2125"/>
      <c r="P28" s="2125"/>
      <c r="Q28" s="2125"/>
      <c r="R28" s="2125"/>
      <c r="S28" s="2125"/>
      <c r="T28" s="2125"/>
      <c r="U28" s="2838">
        <v>0.191</v>
      </c>
    </row>
    <row r="29" spans="1:21" s="77" customFormat="1" ht="12.75" customHeight="1" x14ac:dyDescent="0.2">
      <c r="A29" s="2111"/>
      <c r="B29" s="1173"/>
      <c r="C29" s="2112"/>
      <c r="D29" s="1192"/>
      <c r="E29" s="1029"/>
      <c r="F29" s="176"/>
      <c r="G29" s="176"/>
      <c r="H29" s="176"/>
      <c r="I29" s="176"/>
      <c r="J29" s="176"/>
      <c r="K29" s="176"/>
      <c r="L29" s="176"/>
      <c r="M29" s="176"/>
      <c r="N29" s="176"/>
      <c r="O29" s="176"/>
      <c r="P29" s="176"/>
      <c r="Q29" s="176"/>
      <c r="R29" s="176"/>
      <c r="S29" s="176"/>
      <c r="T29" s="176"/>
      <c r="U29" s="176"/>
    </row>
    <row r="30" spans="1:21" s="77" customFormat="1" ht="12.75" customHeight="1" x14ac:dyDescent="0.2">
      <c r="A30" s="2111"/>
      <c r="B30" s="1173"/>
      <c r="C30" s="2112"/>
      <c r="D30" s="1192"/>
      <c r="E30" s="1029"/>
      <c r="F30" s="176"/>
      <c r="G30" s="1029"/>
      <c r="H30" s="1029"/>
      <c r="I30" s="1029"/>
      <c r="J30" s="1029"/>
      <c r="K30" s="1029"/>
      <c r="L30" s="1029"/>
      <c r="M30" s="1029"/>
      <c r="N30" s="1029"/>
      <c r="O30" s="1029"/>
      <c r="P30" s="1029"/>
    </row>
    <row r="31" spans="1:21" s="77" customFormat="1" ht="12.75" customHeight="1" x14ac:dyDescent="0.2">
      <c r="A31" s="2111"/>
      <c r="B31" s="1173"/>
      <c r="C31" s="2112"/>
      <c r="D31" s="1192"/>
      <c r="E31" s="1029"/>
      <c r="F31" s="176"/>
      <c r="G31" s="1029"/>
      <c r="H31" s="1029"/>
      <c r="I31" s="1029"/>
      <c r="J31" s="1029"/>
      <c r="K31" s="1029"/>
      <c r="L31" s="1029"/>
      <c r="M31" s="1029"/>
      <c r="N31" s="1029"/>
      <c r="O31" s="1029"/>
      <c r="P31" s="1029"/>
    </row>
    <row r="32" spans="1:21" s="77" customFormat="1" ht="12.75" customHeight="1" x14ac:dyDescent="0.2">
      <c r="A32" s="2111"/>
      <c r="B32" s="1173"/>
      <c r="C32" s="2112"/>
      <c r="D32" s="1192"/>
      <c r="E32" s="1029"/>
      <c r="F32" s="176"/>
      <c r="G32" s="1029"/>
      <c r="H32" s="1029"/>
      <c r="I32" s="1029"/>
      <c r="J32" s="1029"/>
      <c r="K32" s="1029"/>
      <c r="L32" s="1029"/>
      <c r="M32" s="1029"/>
      <c r="N32" s="1029"/>
      <c r="O32" s="1029"/>
      <c r="P32" s="1029"/>
    </row>
    <row r="33" spans="1:25" s="77" customFormat="1" ht="12.75" customHeight="1" x14ac:dyDescent="0.2">
      <c r="A33" s="2111"/>
      <c r="B33" s="1173"/>
      <c r="C33" s="2112"/>
      <c r="D33" s="1192"/>
      <c r="E33" s="1029"/>
      <c r="F33" s="176"/>
      <c r="G33" s="1029"/>
      <c r="H33" s="1029"/>
      <c r="I33" s="1029"/>
      <c r="J33" s="1029"/>
      <c r="K33" s="1029"/>
      <c r="L33" s="1029"/>
      <c r="M33" s="1029"/>
      <c r="N33" s="1029"/>
      <c r="O33" s="1029"/>
      <c r="P33" s="1029"/>
    </row>
    <row r="34" spans="1:25" s="77" customFormat="1" ht="12.75" customHeight="1" x14ac:dyDescent="0.2">
      <c r="A34" s="2111"/>
      <c r="B34" s="1173"/>
      <c r="C34" s="2112"/>
      <c r="D34" s="1192"/>
      <c r="E34" s="1029"/>
      <c r="F34" s="176"/>
      <c r="G34" s="1029"/>
      <c r="H34" s="1029"/>
      <c r="I34" s="1029"/>
      <c r="J34" s="1029"/>
      <c r="K34" s="1029"/>
      <c r="L34" s="1029"/>
      <c r="M34" s="1029"/>
      <c r="N34" s="1029"/>
      <c r="O34" s="1029"/>
      <c r="P34" s="1029"/>
    </row>
    <row r="35" spans="1:25" s="77" customFormat="1" ht="12.75" customHeight="1" x14ac:dyDescent="0.2">
      <c r="A35" s="2111"/>
      <c r="B35" s="1173"/>
      <c r="C35" s="2112"/>
      <c r="D35" s="1192"/>
      <c r="E35" s="1029"/>
      <c r="F35" s="176"/>
      <c r="G35" s="1029"/>
      <c r="H35" s="1029"/>
      <c r="I35" s="1029"/>
      <c r="J35" s="1029"/>
      <c r="K35" s="1029"/>
      <c r="L35" s="1029"/>
      <c r="M35" s="1029"/>
      <c r="N35" s="1029"/>
      <c r="O35" s="1029"/>
      <c r="P35" s="1029"/>
    </row>
    <row r="36" spans="1:25" s="77" customFormat="1" ht="12.75" customHeight="1" x14ac:dyDescent="0.2">
      <c r="A36" s="2111"/>
      <c r="B36" s="1173"/>
      <c r="C36" s="2112"/>
      <c r="D36" s="1192"/>
      <c r="E36" s="1029"/>
      <c r="F36" s="176"/>
      <c r="G36" s="1029"/>
      <c r="H36" s="1029"/>
      <c r="I36" s="1029"/>
      <c r="J36" s="1029"/>
      <c r="K36" s="1029"/>
      <c r="L36" s="1029"/>
      <c r="M36" s="1029"/>
      <c r="N36" s="1029"/>
      <c r="O36" s="1029"/>
      <c r="P36" s="1029"/>
    </row>
    <row r="37" spans="1:25" s="77" customFormat="1" ht="12.75" customHeight="1" x14ac:dyDescent="0.2">
      <c r="A37" s="2111"/>
      <c r="B37" s="1173"/>
      <c r="C37" s="2112"/>
      <c r="D37" s="1192"/>
      <c r="E37" s="1029"/>
      <c r="F37" s="176"/>
      <c r="G37" s="1029"/>
      <c r="H37" s="1029"/>
      <c r="I37" s="1029"/>
      <c r="J37" s="1029"/>
      <c r="K37" s="1029"/>
      <c r="L37" s="1029"/>
      <c r="M37" s="1029"/>
      <c r="N37" s="1029"/>
      <c r="O37" s="1029"/>
      <c r="P37" s="1029"/>
    </row>
    <row r="38" spans="1:25" s="77" customFormat="1" ht="12.75" customHeight="1" x14ac:dyDescent="0.2">
      <c r="A38" s="2111"/>
      <c r="B38" s="1173"/>
      <c r="C38" s="2112"/>
      <c r="D38" s="1192"/>
      <c r="E38" s="1029"/>
      <c r="F38" s="176"/>
      <c r="G38" s="1029"/>
      <c r="H38" s="1029"/>
      <c r="I38" s="1029"/>
      <c r="J38" s="1029"/>
      <c r="K38" s="1029"/>
      <c r="L38" s="1029"/>
      <c r="M38" s="1029"/>
      <c r="N38" s="1029"/>
      <c r="O38" s="1029"/>
      <c r="P38" s="1029"/>
    </row>
    <row r="39" spans="1:25" s="77" customFormat="1" ht="12.75" customHeight="1" x14ac:dyDescent="0.2">
      <c r="A39" s="2111"/>
      <c r="B39" s="1173"/>
      <c r="C39" s="2112"/>
      <c r="D39" s="1192"/>
      <c r="E39" s="1029"/>
      <c r="F39" s="176"/>
      <c r="G39" s="1029"/>
      <c r="H39" s="1029"/>
      <c r="I39" s="1029"/>
      <c r="J39" s="1029"/>
      <c r="K39" s="1029"/>
      <c r="L39" s="1029"/>
      <c r="M39" s="1029"/>
      <c r="N39" s="1029"/>
      <c r="O39" s="1029"/>
      <c r="P39" s="1029"/>
    </row>
    <row r="40" spans="1:25" s="77" customFormat="1" ht="12.75" customHeight="1" x14ac:dyDescent="0.2">
      <c r="A40" s="2111"/>
      <c r="B40" s="1173"/>
      <c r="C40" s="2112"/>
      <c r="D40" s="1192"/>
      <c r="E40" s="1029"/>
      <c r="F40" s="176"/>
      <c r="G40" s="1029"/>
      <c r="H40" s="1029"/>
      <c r="I40" s="1029"/>
      <c r="J40" s="1029"/>
      <c r="K40" s="1029"/>
      <c r="L40" s="1029"/>
      <c r="M40" s="1029"/>
      <c r="N40" s="1029"/>
      <c r="O40" s="1029"/>
      <c r="P40" s="1029"/>
    </row>
    <row r="41" spans="1:25" s="77" customFormat="1" ht="12.75" customHeight="1" x14ac:dyDescent="0.2">
      <c r="A41" s="2111"/>
      <c r="B41" s="1173"/>
      <c r="C41" s="2112"/>
      <c r="D41" s="1192"/>
      <c r="E41" s="1029"/>
      <c r="F41" s="176"/>
      <c r="G41" s="1029"/>
      <c r="H41" s="1029"/>
      <c r="I41" s="1029"/>
      <c r="J41" s="1029"/>
      <c r="K41" s="1029"/>
      <c r="L41" s="1029"/>
      <c r="M41" s="1029"/>
      <c r="N41" s="1029"/>
      <c r="O41" s="1029"/>
      <c r="P41" s="1029"/>
    </row>
    <row r="42" spans="1:25" s="77" customFormat="1" ht="12.75" customHeight="1" x14ac:dyDescent="0.2">
      <c r="A42" s="2111"/>
      <c r="B42" s="1173"/>
      <c r="C42" s="2112"/>
      <c r="D42" s="1192"/>
      <c r="E42" s="1029"/>
      <c r="F42" s="176"/>
      <c r="G42" s="1029"/>
      <c r="H42" s="1029"/>
      <c r="I42" s="1029"/>
      <c r="J42" s="1029"/>
      <c r="K42" s="1029"/>
      <c r="L42" s="1029"/>
      <c r="M42" s="1029"/>
      <c r="N42" s="1029"/>
      <c r="O42" s="1029"/>
      <c r="P42" s="1029"/>
    </row>
    <row r="43" spans="1:25" s="77" customFormat="1" ht="12.75" customHeight="1" x14ac:dyDescent="0.2">
      <c r="A43" s="2111"/>
      <c r="B43" s="1173"/>
      <c r="C43" s="2112"/>
      <c r="D43" s="1192"/>
      <c r="E43" s="1029"/>
      <c r="F43" s="176"/>
      <c r="G43" s="1029"/>
      <c r="H43" s="1029"/>
      <c r="I43" s="1029"/>
      <c r="J43" s="1029"/>
      <c r="K43" s="1029"/>
      <c r="L43" s="1029"/>
      <c r="M43" s="1029"/>
      <c r="N43" s="1029"/>
      <c r="O43" s="1029"/>
      <c r="P43" s="1029"/>
    </row>
    <row r="44" spans="1:25" s="77" customFormat="1" ht="12.75" customHeight="1" x14ac:dyDescent="0.2">
      <c r="A44" s="2111"/>
      <c r="B44" s="1173"/>
      <c r="C44" s="2112"/>
      <c r="D44" s="1192"/>
      <c r="E44" s="1029"/>
      <c r="F44" s="176"/>
      <c r="G44" s="1029"/>
      <c r="H44" s="1029"/>
      <c r="I44" s="1029"/>
      <c r="J44" s="1029"/>
      <c r="K44" s="1029"/>
      <c r="L44" s="1029"/>
      <c r="M44" s="1029"/>
      <c r="N44" s="1029"/>
      <c r="O44" s="1029"/>
      <c r="P44" s="1029"/>
    </row>
    <row r="45" spans="1:25" s="77" customFormat="1" ht="12.75" customHeight="1" x14ac:dyDescent="0.2">
      <c r="A45" s="2111"/>
      <c r="B45" s="1173"/>
      <c r="C45" s="1173"/>
      <c r="D45" s="132"/>
      <c r="E45" s="132"/>
      <c r="F45" s="132"/>
      <c r="G45" s="277"/>
      <c r="H45" s="277"/>
      <c r="I45" s="277"/>
      <c r="J45" s="277"/>
      <c r="K45" s="277"/>
      <c r="L45" s="277"/>
      <c r="M45" s="277"/>
      <c r="N45" s="277"/>
      <c r="O45" s="277"/>
      <c r="P45" s="277"/>
      <c r="Q45" s="277"/>
      <c r="R45" s="277"/>
      <c r="S45" s="277"/>
      <c r="T45" s="277"/>
      <c r="U45" s="277"/>
    </row>
    <row r="46" spans="1:25" ht="15" customHeight="1" x14ac:dyDescent="0.2">
      <c r="A46" s="453">
        <v>5</v>
      </c>
      <c r="B46" s="453" t="s">
        <v>78</v>
      </c>
      <c r="C46" s="453"/>
      <c r="D46" s="3553" t="s">
        <v>398</v>
      </c>
      <c r="E46" s="3554"/>
      <c r="F46" s="3554"/>
      <c r="G46" s="3554"/>
      <c r="H46" s="3554"/>
      <c r="I46" s="3554"/>
      <c r="J46" s="3554"/>
      <c r="K46" s="3554"/>
      <c r="L46" s="3554"/>
      <c r="M46" s="3554"/>
      <c r="N46" s="3554"/>
      <c r="O46" s="3554"/>
      <c r="P46" s="3554"/>
      <c r="Q46" s="3554"/>
      <c r="R46" s="3554"/>
      <c r="S46" s="3554"/>
      <c r="T46" s="3554"/>
      <c r="U46" s="3554"/>
      <c r="V46" s="3554"/>
      <c r="W46" s="3554"/>
      <c r="X46" s="3554"/>
      <c r="Y46" s="3555"/>
    </row>
    <row r="47" spans="1:25" ht="28.5" customHeight="1" x14ac:dyDescent="0.2">
      <c r="A47" s="472">
        <v>6</v>
      </c>
      <c r="B47" s="472" t="s">
        <v>80</v>
      </c>
      <c r="C47" s="472"/>
      <c r="D47" s="3568" t="s">
        <v>961</v>
      </c>
      <c r="E47" s="3569"/>
      <c r="F47" s="3569"/>
      <c r="G47" s="3569"/>
      <c r="H47" s="3569"/>
      <c r="I47" s="3569"/>
      <c r="J47" s="3569"/>
      <c r="K47" s="3569"/>
      <c r="L47" s="3569"/>
      <c r="M47" s="3569"/>
      <c r="N47" s="3569"/>
      <c r="O47" s="3569"/>
      <c r="P47" s="3569"/>
      <c r="Q47" s="3569"/>
      <c r="R47" s="3569"/>
      <c r="S47" s="3569"/>
      <c r="T47" s="3569"/>
      <c r="U47" s="3569"/>
      <c r="V47" s="3569"/>
      <c r="W47" s="3569"/>
      <c r="X47" s="3569"/>
      <c r="Y47" s="3570"/>
    </row>
    <row r="48" spans="1:25" ht="14.25" customHeight="1" x14ac:dyDescent="0.2">
      <c r="A48" s="453">
        <v>7</v>
      </c>
      <c r="B48" s="453" t="s">
        <v>20</v>
      </c>
      <c r="C48" s="453"/>
      <c r="D48" s="3556" t="s">
        <v>960</v>
      </c>
      <c r="E48" s="3557"/>
      <c r="F48" s="3557"/>
      <c r="G48" s="3557"/>
      <c r="H48" s="3557"/>
      <c r="I48" s="3557"/>
      <c r="J48" s="3557"/>
      <c r="K48" s="3557"/>
      <c r="L48" s="3557"/>
      <c r="M48" s="3557"/>
      <c r="N48" s="3557"/>
      <c r="O48" s="3557"/>
      <c r="P48" s="3557"/>
      <c r="Q48" s="3557"/>
      <c r="R48" s="3557"/>
      <c r="S48" s="3557"/>
      <c r="T48" s="3557"/>
      <c r="U48" s="3557"/>
      <c r="V48" s="3557"/>
      <c r="W48" s="3557"/>
      <c r="X48" s="3557"/>
      <c r="Y48" s="3558"/>
    </row>
    <row r="49" spans="1:25" ht="14.25" customHeight="1" x14ac:dyDescent="0.2">
      <c r="A49" s="453">
        <v>8</v>
      </c>
      <c r="B49" s="453" t="s">
        <v>157</v>
      </c>
      <c r="D49" s="3553" t="s">
        <v>959</v>
      </c>
      <c r="E49" s="3554"/>
      <c r="F49" s="3554"/>
      <c r="G49" s="3554"/>
      <c r="H49" s="3554"/>
      <c r="I49" s="3554"/>
      <c r="J49" s="3554"/>
      <c r="K49" s="3554"/>
      <c r="L49" s="3554"/>
      <c r="M49" s="3554"/>
      <c r="N49" s="3554"/>
      <c r="O49" s="3554"/>
      <c r="P49" s="3554"/>
      <c r="Q49" s="3554"/>
      <c r="R49" s="3554"/>
      <c r="S49" s="3554"/>
      <c r="T49" s="3554"/>
      <c r="U49" s="3554"/>
      <c r="V49" s="3554"/>
      <c r="W49" s="3554"/>
      <c r="X49" s="3554"/>
      <c r="Y49" s="3555"/>
    </row>
    <row r="50" spans="1:25" x14ac:dyDescent="0.2">
      <c r="E50" s="2127"/>
    </row>
    <row r="55" spans="1:25" x14ac:dyDescent="0.2">
      <c r="D55" s="172" t="s">
        <v>93</v>
      </c>
      <c r="E55" s="172"/>
      <c r="F55" s="172"/>
      <c r="G55" s="1066" t="s">
        <v>958</v>
      </c>
      <c r="H55" s="1065"/>
      <c r="I55" s="1065"/>
      <c r="J55" s="1065"/>
      <c r="K55" s="1065"/>
      <c r="L55" s="1065"/>
      <c r="M55" s="1065"/>
      <c r="N55" s="1065"/>
      <c r="O55" s="1065"/>
      <c r="P55" s="1065"/>
      <c r="Q55" s="1065"/>
      <c r="R55" s="77"/>
    </row>
    <row r="56" spans="1:25" x14ac:dyDescent="0.2">
      <c r="D56" s="477"/>
      <c r="E56" s="171">
        <v>1995</v>
      </c>
      <c r="F56" s="171">
        <v>1996</v>
      </c>
      <c r="G56" s="171">
        <v>1997</v>
      </c>
      <c r="H56" s="171">
        <v>1998</v>
      </c>
      <c r="I56" s="171">
        <v>1999</v>
      </c>
      <c r="J56" s="171">
        <v>2000</v>
      </c>
      <c r="K56" s="171">
        <v>2001</v>
      </c>
      <c r="L56" s="171">
        <v>2002</v>
      </c>
      <c r="M56" s="171">
        <v>2003</v>
      </c>
      <c r="N56" s="171">
        <v>2004</v>
      </c>
      <c r="O56" s="171">
        <v>2005</v>
      </c>
      <c r="P56" s="171">
        <v>2006</v>
      </c>
      <c r="Q56" s="171">
        <v>2007</v>
      </c>
      <c r="R56" s="171">
        <v>2008</v>
      </c>
      <c r="S56" s="171">
        <v>2009</v>
      </c>
      <c r="T56" s="171">
        <v>2010</v>
      </c>
      <c r="U56" s="171">
        <v>2011</v>
      </c>
      <c r="V56" s="171">
        <v>2012</v>
      </c>
      <c r="W56" s="171">
        <v>2013</v>
      </c>
      <c r="X56" s="171">
        <v>2014</v>
      </c>
      <c r="Y56" s="171">
        <v>2015</v>
      </c>
    </row>
    <row r="57" spans="1:25" x14ac:dyDescent="0.2">
      <c r="D57" s="1192" t="s">
        <v>957</v>
      </c>
      <c r="E57" s="176"/>
      <c r="F57" s="176"/>
      <c r="G57" s="627"/>
      <c r="H57" s="627"/>
      <c r="I57" s="627"/>
      <c r="J57" s="1029"/>
      <c r="K57" s="1029"/>
      <c r="L57" s="1029">
        <v>0.72699999999999998</v>
      </c>
      <c r="M57" s="1029">
        <v>0.745</v>
      </c>
      <c r="N57" s="1029">
        <v>0.75</v>
      </c>
      <c r="O57" s="1029">
        <v>0.75800000000000001</v>
      </c>
      <c r="P57" s="1029">
        <v>0.76300000000000001</v>
      </c>
      <c r="Q57" s="1029">
        <v>0.77300000000000002</v>
      </c>
      <c r="R57" s="1029">
        <v>0.77600000000000002</v>
      </c>
      <c r="S57" s="1029">
        <v>0.80700000000000005</v>
      </c>
      <c r="T57" s="1029">
        <v>0.81200000000000006</v>
      </c>
      <c r="U57" s="1029">
        <v>0.82299999999999995</v>
      </c>
      <c r="V57" s="1029">
        <v>0.83499999999999996</v>
      </c>
      <c r="W57" s="1029">
        <v>0.83799999999999997</v>
      </c>
      <c r="X57" s="1029">
        <v>0.84199999999999997</v>
      </c>
      <c r="Y57" s="1029">
        <v>0.84399999999999997</v>
      </c>
    </row>
    <row r="58" spans="1:25" x14ac:dyDescent="0.2">
      <c r="D58" s="132" t="s">
        <v>956</v>
      </c>
      <c r="E58" s="1029">
        <v>0.69582114118507699</v>
      </c>
      <c r="F58" s="176"/>
      <c r="G58" s="1029">
        <v>0.69258781105587497</v>
      </c>
      <c r="H58" s="1029">
        <v>0.68703930601276797</v>
      </c>
      <c r="I58" s="1029">
        <v>0.69049620076509899</v>
      </c>
      <c r="J58" s="1029"/>
      <c r="K58" s="1029"/>
      <c r="L58" s="1029"/>
      <c r="M58" s="1029"/>
      <c r="N58" s="1029"/>
      <c r="O58" s="1029"/>
      <c r="P58" s="1029"/>
      <c r="Q58" s="1029"/>
      <c r="R58" s="1029"/>
      <c r="S58" s="1029"/>
      <c r="T58" s="1029"/>
      <c r="U58" s="1029"/>
      <c r="V58" s="1029"/>
      <c r="W58" s="1029"/>
      <c r="X58" s="1029"/>
      <c r="Y58" s="1029"/>
    </row>
    <row r="59" spans="1:25" x14ac:dyDescent="0.2">
      <c r="D59" s="1192" t="s">
        <v>955</v>
      </c>
      <c r="E59" s="176"/>
      <c r="F59" s="176"/>
      <c r="G59" s="617"/>
      <c r="H59" s="617"/>
      <c r="I59" s="617"/>
      <c r="J59" s="1029"/>
      <c r="K59" s="1029"/>
      <c r="L59" s="1029">
        <v>0.69379092021008704</v>
      </c>
      <c r="M59" s="1029">
        <v>0.70300464922628603</v>
      </c>
      <c r="N59" s="1029">
        <v>0.71803278688524597</v>
      </c>
      <c r="O59" s="1029">
        <v>0.73699999999999999</v>
      </c>
      <c r="P59" s="1029">
        <v>0.745</v>
      </c>
      <c r="Q59" s="1029">
        <v>0.75700000000000001</v>
      </c>
      <c r="R59" s="1029">
        <v>0.753</v>
      </c>
      <c r="S59" s="1029">
        <v>0.78800000000000003</v>
      </c>
      <c r="T59" s="1029">
        <v>0.79500000000000004</v>
      </c>
      <c r="U59" s="1029">
        <v>0.80700000000000005</v>
      </c>
      <c r="V59" s="1029">
        <v>0.82</v>
      </c>
      <c r="W59" s="1029">
        <v>0.82499999999999996</v>
      </c>
      <c r="X59" s="1029">
        <v>0.83</v>
      </c>
      <c r="Y59" s="1029">
        <v>0.83199999999999996</v>
      </c>
    </row>
    <row r="60" spans="1:25" x14ac:dyDescent="0.2">
      <c r="D60" s="2113" t="s">
        <v>954</v>
      </c>
      <c r="E60" s="1064">
        <v>0.67228661749209695</v>
      </c>
      <c r="F60" s="2114"/>
      <c r="G60" s="1064">
        <v>0.675676991430467</v>
      </c>
      <c r="H60" s="1064">
        <v>0.67219802920879301</v>
      </c>
      <c r="I60" s="1064">
        <v>0.67376959649273205</v>
      </c>
      <c r="J60" s="1064"/>
      <c r="K60" s="1064"/>
      <c r="L60" s="1064"/>
      <c r="M60" s="1064"/>
      <c r="N60" s="1064"/>
      <c r="O60" s="1064"/>
      <c r="P60" s="1064"/>
      <c r="Q60" s="1064"/>
      <c r="R60" s="1064"/>
      <c r="S60" s="1064"/>
      <c r="T60" s="1064"/>
      <c r="U60" s="1064"/>
      <c r="V60" s="1064"/>
      <c r="W60" s="1064"/>
      <c r="X60" s="1064"/>
      <c r="Y60" s="1064"/>
    </row>
    <row r="61" spans="1:25" x14ac:dyDescent="0.2">
      <c r="D61" s="2115" t="s">
        <v>953</v>
      </c>
      <c r="E61" s="1074">
        <v>0.30417885881492301</v>
      </c>
      <c r="F61" s="1074"/>
      <c r="G61" s="1074">
        <v>0.30741218894412503</v>
      </c>
      <c r="H61" s="1074">
        <v>0.31296069398723203</v>
      </c>
      <c r="I61" s="1074">
        <v>0.30950379923490101</v>
      </c>
      <c r="J61" s="1074"/>
      <c r="K61" s="1074"/>
      <c r="L61" s="1074">
        <v>0.27300000000000002</v>
      </c>
      <c r="M61" s="1074">
        <v>0.255</v>
      </c>
      <c r="N61" s="1074">
        <v>0.25</v>
      </c>
      <c r="O61" s="1074">
        <v>0.24199999999999999</v>
      </c>
      <c r="P61" s="1074">
        <v>0.23699999999999999</v>
      </c>
      <c r="Q61" s="1074">
        <v>0.22699999999999998</v>
      </c>
      <c r="R61" s="1074">
        <v>0.22399999999999998</v>
      </c>
      <c r="S61" s="1074">
        <v>0.19299999999999995</v>
      </c>
      <c r="T61" s="1074">
        <v>0.18799999999999994</v>
      </c>
      <c r="U61" s="1074">
        <v>0.17700000000000005</v>
      </c>
      <c r="V61" s="1074">
        <v>0.16500000000000004</v>
      </c>
      <c r="W61" s="1074">
        <v>0.16200000000000003</v>
      </c>
      <c r="X61" s="1074">
        <v>0.15800000000000003</v>
      </c>
      <c r="Y61" s="1074">
        <v>0.156</v>
      </c>
    </row>
    <row r="72" spans="8:13" x14ac:dyDescent="0.2">
      <c r="H72" s="2128"/>
    </row>
    <row r="80" spans="8:13" x14ac:dyDescent="0.25">
      <c r="L80" s="2129"/>
      <c r="M80" s="2130"/>
    </row>
    <row r="81" spans="12:12" x14ac:dyDescent="0.25">
      <c r="L81" s="2129"/>
    </row>
  </sheetData>
  <mergeCells count="7">
    <mergeCell ref="D48:Y48"/>
    <mergeCell ref="D49:Y49"/>
    <mergeCell ref="D2:Y2"/>
    <mergeCell ref="D3:Y3"/>
    <mergeCell ref="D4:Y4"/>
    <mergeCell ref="D46:Y46"/>
    <mergeCell ref="D47:Y47"/>
  </mergeCells>
  <pageMargins left="0.74803149606299213" right="0.74803149606299213" top="0.98425196850393704" bottom="0.98425196850393704" header="0.51181102362204722" footer="0.51181102362204722"/>
  <pageSetup paperSize="9" scale="5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X118"/>
  <sheetViews>
    <sheetView showGridLines="0" view="pageBreakPreview" zoomScaleNormal="100" zoomScaleSheetLayoutView="100" workbookViewId="0">
      <selection activeCell="D9" sqref="D9"/>
    </sheetView>
  </sheetViews>
  <sheetFormatPr defaultColWidth="9.140625" defaultRowHeight="15" x14ac:dyDescent="0.25"/>
  <cols>
    <col min="1" max="1" width="3.7109375" style="113" customWidth="1"/>
    <col min="2" max="2" width="12.7109375" style="110" customWidth="1"/>
    <col min="3" max="3" width="3.7109375" style="111" customWidth="1"/>
    <col min="4" max="4" width="8.28515625" style="51" customWidth="1"/>
    <col min="5" max="5" width="5.7109375" style="51" customWidth="1"/>
    <col min="6" max="26" width="8.28515625" style="51" customWidth="1"/>
    <col min="27" max="27" width="9.7109375" style="51" bestFit="1" customWidth="1"/>
    <col min="28" max="29" width="10" style="51" bestFit="1" customWidth="1"/>
    <col min="30" max="30" width="9.85546875" style="51" bestFit="1" customWidth="1"/>
    <col min="31" max="31" width="9.7109375" style="51" bestFit="1" customWidth="1"/>
    <col min="32" max="33" width="10" style="51" bestFit="1" customWidth="1"/>
    <col min="34" max="34" width="9.85546875" style="51" bestFit="1" customWidth="1"/>
    <col min="35" max="35" width="9.7109375" style="51" bestFit="1" customWidth="1"/>
    <col min="36" max="37" width="10" style="51" bestFit="1" customWidth="1"/>
    <col min="38" max="38" width="9.85546875" style="51" bestFit="1" customWidth="1"/>
    <col min="39" max="39" width="9.7109375" style="51" bestFit="1" customWidth="1"/>
    <col min="40" max="41" width="10" style="51" bestFit="1" customWidth="1"/>
    <col min="42" max="42" width="9.85546875" style="51" bestFit="1" customWidth="1"/>
    <col min="43" max="43" width="9.7109375" style="51" bestFit="1" customWidth="1"/>
    <col min="44" max="45" width="10" style="51" bestFit="1" customWidth="1"/>
    <col min="46" max="46" width="9.85546875" style="51" bestFit="1" customWidth="1"/>
    <col min="47" max="47" width="9.7109375" style="51" bestFit="1" customWidth="1"/>
    <col min="48" max="49" width="10" style="51" bestFit="1" customWidth="1"/>
    <col min="50" max="50" width="9.85546875" style="51" bestFit="1" customWidth="1"/>
    <col min="51" max="51" width="9.7109375" style="51" bestFit="1" customWidth="1"/>
    <col min="52" max="52" width="10" style="51" bestFit="1" customWidth="1"/>
    <col min="53" max="53" width="10" style="51" customWidth="1"/>
    <col min="54" max="54" width="9.85546875" style="51" customWidth="1"/>
    <col min="55" max="55" width="9.7109375" style="51" customWidth="1"/>
    <col min="56" max="57" width="10" style="51" bestFit="1" customWidth="1"/>
    <col min="58" max="58" width="9.85546875" style="51" bestFit="1" customWidth="1"/>
    <col min="59" max="59" width="9.7109375" style="51" customWidth="1"/>
    <col min="60" max="61" width="10" style="51" bestFit="1" customWidth="1"/>
    <col min="62" max="62" width="9.85546875" style="51" bestFit="1" customWidth="1"/>
    <col min="63" max="63" width="9.7109375" style="51" bestFit="1" customWidth="1"/>
    <col min="64" max="65" width="10" style="51" customWidth="1"/>
    <col min="66" max="66" width="9.85546875" style="51" bestFit="1" customWidth="1"/>
    <col min="67" max="67" width="9.7109375" style="51" bestFit="1" customWidth="1"/>
    <col min="68" max="69" width="10" style="51" bestFit="1" customWidth="1"/>
    <col min="70" max="16384" width="9.140625" style="51"/>
  </cols>
  <sheetData>
    <row r="1" spans="1:44" x14ac:dyDescent="0.25">
      <c r="A1" s="109"/>
      <c r="D1" s="112"/>
      <c r="E1" s="112"/>
      <c r="F1" s="112"/>
      <c r="G1" s="112"/>
      <c r="H1" s="112"/>
      <c r="I1" s="112"/>
      <c r="J1" s="112"/>
      <c r="K1" s="112"/>
      <c r="L1" s="112"/>
      <c r="M1" s="112"/>
      <c r="N1" s="112"/>
      <c r="O1" s="112"/>
      <c r="P1" s="112"/>
      <c r="Q1" s="112"/>
      <c r="R1" s="112"/>
      <c r="S1" s="112"/>
      <c r="T1" s="112"/>
      <c r="U1" s="112"/>
      <c r="V1" s="112"/>
      <c r="W1" s="112"/>
    </row>
    <row r="2" spans="1:44" ht="15" customHeight="1" x14ac:dyDescent="0.25">
      <c r="A2" s="113">
        <v>1</v>
      </c>
      <c r="B2" s="114" t="s">
        <v>24</v>
      </c>
      <c r="C2" s="113">
        <f>[3]NFDI!C2+1</f>
        <v>4</v>
      </c>
      <c r="D2" s="3544" t="s">
        <v>113</v>
      </c>
      <c r="E2" s="3545"/>
      <c r="F2" s="3545"/>
      <c r="G2" s="3545"/>
      <c r="H2" s="3545"/>
      <c r="I2" s="3545"/>
      <c r="J2" s="3545"/>
      <c r="K2" s="3545"/>
      <c r="L2" s="3545"/>
      <c r="M2" s="3545"/>
      <c r="N2" s="3545"/>
      <c r="O2" s="3545"/>
      <c r="P2" s="3545"/>
      <c r="Q2" s="3545"/>
      <c r="R2" s="3545"/>
      <c r="S2" s="3545"/>
      <c r="T2" s="3545"/>
      <c r="U2" s="3545"/>
      <c r="V2" s="3545"/>
      <c r="W2" s="3545"/>
      <c r="X2" s="3545"/>
      <c r="Y2" s="3545"/>
      <c r="Z2" s="3545"/>
      <c r="AA2" s="3546"/>
      <c r="AB2" s="159"/>
      <c r="AC2" s="159"/>
      <c r="AD2" s="159"/>
      <c r="AE2" s="159"/>
      <c r="AF2" s="159"/>
      <c r="AG2" s="159"/>
      <c r="AH2" s="159"/>
      <c r="AI2" s="159"/>
      <c r="AJ2" s="159"/>
      <c r="AK2" s="159"/>
      <c r="AL2" s="159"/>
      <c r="AM2" s="159"/>
      <c r="AN2" s="159"/>
      <c r="AO2" s="159"/>
      <c r="AP2" s="159"/>
      <c r="AQ2" s="159"/>
      <c r="AR2" s="159"/>
    </row>
    <row r="3" spans="1:44" ht="15" customHeight="1" x14ac:dyDescent="0.25">
      <c r="A3" s="113">
        <v>2</v>
      </c>
      <c r="B3" s="114" t="s">
        <v>26</v>
      </c>
      <c r="C3" s="113"/>
      <c r="D3" s="3572" t="s">
        <v>101</v>
      </c>
      <c r="E3" s="3573"/>
      <c r="F3" s="3573"/>
      <c r="G3" s="3573"/>
      <c r="H3" s="3573"/>
      <c r="I3" s="3573"/>
      <c r="J3" s="3573"/>
      <c r="K3" s="3573"/>
      <c r="L3" s="3573"/>
      <c r="M3" s="3573"/>
      <c r="N3" s="3573"/>
      <c r="O3" s="3573"/>
      <c r="P3" s="3573"/>
      <c r="Q3" s="3573"/>
      <c r="R3" s="3573"/>
      <c r="S3" s="3573"/>
      <c r="T3" s="3573"/>
      <c r="U3" s="3573"/>
      <c r="V3" s="3573"/>
      <c r="W3" s="3573"/>
      <c r="X3" s="3573"/>
      <c r="Y3" s="3573"/>
      <c r="Z3" s="3573"/>
      <c r="AA3" s="3574"/>
      <c r="AB3" s="160"/>
      <c r="AC3" s="160"/>
      <c r="AD3" s="160"/>
      <c r="AE3" s="160"/>
      <c r="AF3" s="160"/>
      <c r="AG3" s="160"/>
      <c r="AH3" s="160"/>
      <c r="AI3" s="160"/>
      <c r="AJ3" s="160"/>
      <c r="AK3" s="160"/>
      <c r="AL3" s="160"/>
      <c r="AM3" s="160"/>
      <c r="AN3" s="160"/>
      <c r="AO3" s="160"/>
      <c r="AP3" s="160"/>
      <c r="AQ3" s="160"/>
      <c r="AR3" s="160"/>
    </row>
    <row r="4" spans="1:44" ht="15" customHeight="1" x14ac:dyDescent="0.25">
      <c r="A4" s="113">
        <v>3</v>
      </c>
      <c r="B4" s="114" t="s">
        <v>28</v>
      </c>
      <c r="C4" s="113"/>
      <c r="D4" s="3575" t="s">
        <v>114</v>
      </c>
      <c r="E4" s="3576"/>
      <c r="F4" s="3576"/>
      <c r="G4" s="3576"/>
      <c r="H4" s="3576"/>
      <c r="I4" s="3576"/>
      <c r="J4" s="3576"/>
      <c r="K4" s="3576"/>
      <c r="L4" s="3576"/>
      <c r="M4" s="3576"/>
      <c r="N4" s="3576"/>
      <c r="O4" s="3576"/>
      <c r="P4" s="3576"/>
      <c r="Q4" s="3576"/>
      <c r="R4" s="3576"/>
      <c r="S4" s="3576"/>
      <c r="T4" s="3576"/>
      <c r="U4" s="3576"/>
      <c r="V4" s="3576"/>
      <c r="W4" s="3576"/>
      <c r="X4" s="3576"/>
      <c r="Y4" s="3576"/>
      <c r="Z4" s="3576"/>
      <c r="AA4" s="3577"/>
      <c r="AB4" s="160"/>
      <c r="AC4" s="160"/>
      <c r="AD4" s="160"/>
      <c r="AE4" s="160"/>
      <c r="AF4" s="160"/>
      <c r="AG4" s="160"/>
      <c r="AH4" s="160"/>
      <c r="AI4" s="160"/>
      <c r="AJ4" s="160"/>
      <c r="AK4" s="160"/>
      <c r="AL4" s="160"/>
      <c r="AM4" s="160"/>
      <c r="AN4" s="160"/>
      <c r="AO4" s="160"/>
      <c r="AP4" s="160"/>
      <c r="AQ4" s="160"/>
      <c r="AR4" s="161"/>
    </row>
    <row r="5" spans="1:44" ht="14.25" customHeight="1" x14ac:dyDescent="0.25">
      <c r="B5" s="114"/>
      <c r="C5" s="113"/>
      <c r="D5" s="163"/>
      <c r="E5" s="163"/>
      <c r="F5" s="164"/>
      <c r="G5" s="164"/>
      <c r="H5" s="164"/>
      <c r="I5" s="164"/>
      <c r="J5" s="164"/>
      <c r="K5" s="164"/>
      <c r="L5" s="164"/>
      <c r="M5" s="164"/>
      <c r="N5" s="164"/>
      <c r="O5" s="164"/>
      <c r="P5" s="164"/>
      <c r="Q5" s="164"/>
      <c r="R5" s="165"/>
      <c r="S5" s="165"/>
      <c r="T5" s="166"/>
      <c r="U5" s="166"/>
      <c r="V5" s="166"/>
      <c r="W5" s="166"/>
      <c r="X5" s="162"/>
      <c r="Y5" s="162"/>
      <c r="Z5" s="162"/>
      <c r="AA5" s="162"/>
      <c r="AB5" s="162"/>
      <c r="AC5" s="162"/>
      <c r="AD5" s="162"/>
      <c r="AE5" s="162"/>
      <c r="AF5" s="162"/>
      <c r="AG5" s="162"/>
      <c r="AH5" s="162"/>
      <c r="AI5" s="162"/>
      <c r="AJ5" s="162"/>
      <c r="AK5" s="162"/>
      <c r="AL5" s="162"/>
      <c r="AM5" s="162"/>
      <c r="AN5" s="162"/>
      <c r="AO5" s="162"/>
      <c r="AP5" s="162"/>
      <c r="AQ5" s="162"/>
      <c r="AR5" s="162"/>
    </row>
    <row r="6" spans="1:44" x14ac:dyDescent="0.25">
      <c r="A6" s="113">
        <v>5</v>
      </c>
      <c r="B6" s="118" t="s">
        <v>1</v>
      </c>
      <c r="C6" s="115"/>
      <c r="D6" s="167" t="s">
        <v>103</v>
      </c>
      <c r="E6" s="167"/>
      <c r="F6" s="167" t="s">
        <v>115</v>
      </c>
      <c r="G6" s="168"/>
      <c r="H6" s="168"/>
      <c r="I6" s="168"/>
      <c r="J6" s="168"/>
      <c r="K6" s="168"/>
      <c r="L6" s="168"/>
      <c r="M6" s="168"/>
      <c r="N6" s="168"/>
      <c r="O6" s="168"/>
      <c r="P6" s="168"/>
      <c r="Q6" s="168"/>
      <c r="R6" s="168"/>
      <c r="S6" s="169"/>
      <c r="T6" s="112"/>
      <c r="U6" s="112"/>
      <c r="V6" s="112"/>
      <c r="W6" s="112"/>
    </row>
    <row r="7" spans="1:44" x14ac:dyDescent="0.25">
      <c r="D7" s="2975"/>
      <c r="E7" s="170"/>
      <c r="F7" s="171">
        <v>1994</v>
      </c>
      <c r="G7" s="171">
        <v>1995</v>
      </c>
      <c r="H7" s="171">
        <v>1996</v>
      </c>
      <c r="I7" s="171">
        <v>1997</v>
      </c>
      <c r="J7" s="171">
        <v>1998</v>
      </c>
      <c r="K7" s="171">
        <v>1999</v>
      </c>
      <c r="L7" s="171">
        <v>2000</v>
      </c>
      <c r="M7" s="171">
        <v>2001</v>
      </c>
      <c r="N7" s="171">
        <v>2002</v>
      </c>
      <c r="O7" s="171">
        <v>2003</v>
      </c>
      <c r="P7" s="171">
        <v>2004</v>
      </c>
      <c r="Q7" s="171">
        <v>2005</v>
      </c>
      <c r="R7" s="171">
        <v>2006</v>
      </c>
      <c r="S7" s="171">
        <v>2007</v>
      </c>
      <c r="T7" s="171">
        <v>2008</v>
      </c>
      <c r="U7" s="171">
        <v>2009</v>
      </c>
      <c r="V7" s="171">
        <v>2010</v>
      </c>
      <c r="W7" s="171">
        <v>2011</v>
      </c>
      <c r="X7" s="171">
        <v>2012</v>
      </c>
      <c r="Y7" s="171">
        <v>2013</v>
      </c>
      <c r="Z7" s="171">
        <v>2014</v>
      </c>
      <c r="AA7" s="171">
        <v>2015</v>
      </c>
    </row>
    <row r="8" spans="1:44" x14ac:dyDescent="0.25">
      <c r="D8" s="3160" t="s">
        <v>116</v>
      </c>
      <c r="E8" s="146" t="s">
        <v>54</v>
      </c>
      <c r="F8" s="2756">
        <v>16.100000000000001</v>
      </c>
      <c r="G8" s="2756">
        <v>17</v>
      </c>
      <c r="H8" s="2756">
        <v>17.2</v>
      </c>
      <c r="I8" s="2756">
        <v>17.600000000000001</v>
      </c>
      <c r="J8" s="2756">
        <v>18.100000000000001</v>
      </c>
      <c r="K8" s="2756">
        <v>16.100000000000001</v>
      </c>
      <c r="L8" s="2756">
        <v>15.6</v>
      </c>
      <c r="M8" s="2756">
        <v>15.5</v>
      </c>
      <c r="N8" s="2756">
        <v>15.2</v>
      </c>
      <c r="O8" s="2756">
        <v>16</v>
      </c>
      <c r="P8" s="2756">
        <v>16.5</v>
      </c>
      <c r="Q8" s="2756">
        <v>17.2</v>
      </c>
      <c r="R8" s="2756">
        <v>18.899999999999999</v>
      </c>
      <c r="S8" s="2756">
        <v>20.6</v>
      </c>
      <c r="T8" s="2756">
        <v>23.5</v>
      </c>
      <c r="U8" s="2756">
        <v>21.5</v>
      </c>
      <c r="V8" s="2756">
        <v>19.3</v>
      </c>
      <c r="W8" s="1530">
        <v>19.100000000000001</v>
      </c>
      <c r="X8" s="1530">
        <v>19.2</v>
      </c>
      <c r="Y8" s="1530">
        <v>20.3</v>
      </c>
      <c r="Z8" s="1530">
        <v>20.5</v>
      </c>
      <c r="AA8" s="1530">
        <v>20.6</v>
      </c>
    </row>
    <row r="9" spans="1:44" x14ac:dyDescent="0.25">
      <c r="D9" s="173"/>
      <c r="E9" s="174"/>
      <c r="F9" s="2757"/>
      <c r="G9" s="2757"/>
      <c r="H9" s="2757"/>
      <c r="I9" s="2757"/>
      <c r="J9" s="2757"/>
      <c r="K9" s="2757"/>
      <c r="L9" s="2757"/>
      <c r="M9" s="2757"/>
      <c r="N9" s="2757"/>
      <c r="O9" s="2757"/>
      <c r="P9" s="2757"/>
      <c r="Q9" s="2757"/>
      <c r="R9" s="2757"/>
      <c r="S9" s="2757"/>
      <c r="T9" s="2757"/>
      <c r="U9" s="2757"/>
      <c r="V9" s="2757"/>
      <c r="W9" s="2757"/>
      <c r="X9" s="2757"/>
      <c r="Y9" s="2757"/>
      <c r="Z9" s="96"/>
      <c r="AA9" s="175"/>
    </row>
    <row r="10" spans="1:44" x14ac:dyDescent="0.25">
      <c r="D10" s="173"/>
      <c r="E10" s="176"/>
      <c r="F10" s="2757"/>
      <c r="G10" s="2757"/>
      <c r="H10" s="2757"/>
      <c r="I10" s="2757"/>
      <c r="J10" s="2757"/>
      <c r="K10" s="2757"/>
      <c r="L10" s="2757"/>
      <c r="M10" s="2757"/>
      <c r="N10" s="2757"/>
      <c r="O10" s="2757"/>
      <c r="P10" s="2757"/>
      <c r="Q10" s="2757"/>
      <c r="R10" s="2757"/>
      <c r="S10" s="2757"/>
      <c r="T10" s="2757"/>
      <c r="U10" s="2757"/>
      <c r="V10" s="2757"/>
      <c r="W10" s="2757"/>
      <c r="X10" s="2757"/>
      <c r="Y10" s="2757"/>
      <c r="Z10" s="96"/>
      <c r="AA10" s="175"/>
    </row>
    <row r="11" spans="1:44" x14ac:dyDescent="0.25">
      <c r="D11" s="132"/>
      <c r="E11" s="132"/>
      <c r="F11" s="133"/>
      <c r="G11" s="133"/>
      <c r="H11" s="133"/>
      <c r="I11" s="133"/>
      <c r="J11" s="133"/>
      <c r="K11" s="133"/>
      <c r="L11" s="133"/>
      <c r="M11" s="133"/>
      <c r="N11" s="177"/>
      <c r="O11" s="133"/>
      <c r="P11" s="133"/>
      <c r="Q11" s="133"/>
      <c r="R11" s="133"/>
      <c r="S11" s="133"/>
      <c r="T11" s="133"/>
      <c r="U11" s="133"/>
      <c r="V11" s="133"/>
      <c r="W11" s="133"/>
      <c r="AA11" s="175"/>
    </row>
    <row r="12" spans="1:44" ht="25.5" customHeight="1" x14ac:dyDescent="0.25">
      <c r="A12" s="113">
        <v>6</v>
      </c>
      <c r="B12" s="114" t="s">
        <v>77</v>
      </c>
      <c r="D12" s="132"/>
      <c r="E12" s="132"/>
      <c r="F12" s="133"/>
      <c r="G12" s="133"/>
      <c r="H12" s="133"/>
      <c r="I12" s="133"/>
      <c r="J12" s="133"/>
      <c r="K12" s="133"/>
      <c r="L12" s="133"/>
      <c r="M12" s="133"/>
      <c r="N12" s="133"/>
      <c r="O12" s="133"/>
      <c r="P12" s="133"/>
      <c r="Q12" s="133"/>
      <c r="R12" s="133"/>
      <c r="S12" s="133"/>
      <c r="T12" s="112"/>
      <c r="U12" s="112"/>
      <c r="V12" s="112"/>
      <c r="W12" s="112"/>
      <c r="AA12" s="178"/>
    </row>
    <row r="13" spans="1:44" x14ac:dyDescent="0.25">
      <c r="D13" s="112"/>
      <c r="E13" s="112"/>
      <c r="F13" s="117"/>
      <c r="G13" s="117"/>
      <c r="H13" s="117"/>
      <c r="I13" s="117"/>
      <c r="J13" s="117"/>
      <c r="K13" s="117"/>
      <c r="L13" s="117"/>
      <c r="M13" s="117"/>
      <c r="N13" s="117"/>
      <c r="O13" s="117"/>
      <c r="P13" s="117"/>
      <c r="Q13" s="117"/>
      <c r="R13" s="117"/>
      <c r="S13" s="117"/>
      <c r="T13" s="112"/>
      <c r="U13" s="112"/>
      <c r="V13" s="112"/>
      <c r="W13" s="112"/>
      <c r="AA13" s="178"/>
    </row>
    <row r="14" spans="1:44" x14ac:dyDescent="0.25">
      <c r="C14" s="113"/>
      <c r="D14" s="112"/>
      <c r="E14" s="112"/>
      <c r="F14" s="117"/>
      <c r="G14" s="117"/>
      <c r="H14" s="117"/>
      <c r="I14" s="117"/>
      <c r="J14" s="117"/>
      <c r="K14" s="117"/>
      <c r="L14" s="117"/>
      <c r="M14" s="117"/>
      <c r="N14" s="117"/>
      <c r="O14" s="117"/>
      <c r="P14" s="117"/>
      <c r="Q14" s="117"/>
      <c r="R14" s="117"/>
      <c r="S14" s="117"/>
      <c r="T14" s="112"/>
      <c r="U14" s="112"/>
      <c r="V14" s="112"/>
      <c r="W14" s="112"/>
      <c r="AA14" s="178"/>
    </row>
    <row r="15" spans="1:44" x14ac:dyDescent="0.25">
      <c r="D15" s="112"/>
      <c r="E15" s="112"/>
      <c r="F15" s="117"/>
      <c r="G15" s="117"/>
      <c r="H15" s="117"/>
      <c r="I15" s="117"/>
      <c r="J15" s="117"/>
      <c r="K15" s="117"/>
      <c r="L15" s="117"/>
      <c r="M15" s="117"/>
      <c r="N15" s="117"/>
      <c r="O15" s="117"/>
      <c r="P15" s="117"/>
      <c r="Q15" s="117"/>
      <c r="R15" s="117"/>
      <c r="S15" s="117"/>
      <c r="T15" s="112"/>
      <c r="U15" s="112"/>
      <c r="V15" s="112"/>
      <c r="W15" s="112"/>
      <c r="AA15" s="178"/>
    </row>
    <row r="16" spans="1:44" x14ac:dyDescent="0.25">
      <c r="D16" s="112"/>
      <c r="E16" s="112"/>
      <c r="F16" s="117"/>
      <c r="G16" s="117"/>
      <c r="H16" s="117"/>
      <c r="I16" s="117"/>
      <c r="J16" s="117"/>
      <c r="K16" s="117"/>
      <c r="L16" s="117"/>
      <c r="M16" s="117"/>
      <c r="N16" s="117"/>
      <c r="O16" s="117"/>
      <c r="P16" s="117"/>
      <c r="Q16" s="117"/>
      <c r="R16" s="117"/>
      <c r="S16" s="117"/>
      <c r="T16" s="112"/>
      <c r="U16" s="112"/>
      <c r="V16" s="112"/>
      <c r="W16" s="112"/>
      <c r="AA16" s="178"/>
    </row>
    <row r="17" spans="1:27" x14ac:dyDescent="0.25">
      <c r="D17" s="112"/>
      <c r="E17" s="112"/>
      <c r="F17" s="117"/>
      <c r="G17" s="117"/>
      <c r="H17" s="117"/>
      <c r="I17" s="117"/>
      <c r="J17" s="117"/>
      <c r="K17" s="117"/>
      <c r="L17" s="117"/>
      <c r="M17" s="117"/>
      <c r="N17" s="117"/>
      <c r="O17" s="112"/>
      <c r="P17" s="117"/>
      <c r="Q17" s="112"/>
      <c r="R17" s="112"/>
      <c r="S17" s="112"/>
      <c r="T17" s="116"/>
      <c r="U17" s="116"/>
      <c r="V17" s="116"/>
      <c r="W17" s="116"/>
      <c r="X17" s="179"/>
      <c r="Y17" s="179"/>
      <c r="AA17" s="178"/>
    </row>
    <row r="18" spans="1:27" x14ac:dyDescent="0.25">
      <c r="D18" s="112"/>
      <c r="E18" s="112"/>
      <c r="F18" s="117"/>
      <c r="G18" s="117"/>
      <c r="H18" s="117"/>
      <c r="I18" s="117"/>
      <c r="J18" s="117"/>
      <c r="K18" s="117"/>
      <c r="L18" s="117"/>
      <c r="M18" s="117"/>
      <c r="N18" s="117"/>
      <c r="O18" s="112"/>
      <c r="P18" s="117"/>
      <c r="Q18" s="112"/>
      <c r="R18" s="112"/>
      <c r="S18" s="112"/>
      <c r="T18" s="116"/>
      <c r="U18" s="116"/>
      <c r="V18" s="116"/>
      <c r="W18" s="116"/>
      <c r="AA18" s="178"/>
    </row>
    <row r="19" spans="1:27" x14ac:dyDescent="0.25">
      <c r="D19" s="112"/>
      <c r="E19" s="112"/>
      <c r="F19" s="117"/>
      <c r="G19" s="117"/>
      <c r="H19" s="117"/>
      <c r="I19" s="117"/>
      <c r="J19" s="117"/>
      <c r="K19" s="117"/>
      <c r="L19" s="117"/>
      <c r="M19" s="117"/>
      <c r="N19" s="117"/>
      <c r="O19" s="117"/>
      <c r="P19" s="117"/>
      <c r="Q19" s="117"/>
      <c r="R19" s="117"/>
      <c r="S19" s="117"/>
      <c r="T19" s="112"/>
      <c r="U19" s="112"/>
      <c r="V19" s="112"/>
      <c r="W19" s="112"/>
      <c r="AA19" s="178"/>
    </row>
    <row r="20" spans="1:27" x14ac:dyDescent="0.25">
      <c r="D20" s="112"/>
      <c r="E20" s="112"/>
      <c r="F20" s="117"/>
      <c r="G20" s="117"/>
      <c r="H20" s="117"/>
      <c r="I20" s="117"/>
      <c r="J20" s="117"/>
      <c r="K20" s="117"/>
      <c r="L20" s="117"/>
      <c r="M20" s="117"/>
      <c r="N20" s="117"/>
      <c r="O20" s="117"/>
      <c r="P20" s="117"/>
      <c r="Q20" s="117"/>
      <c r="R20" s="117"/>
      <c r="S20" s="117"/>
      <c r="T20" s="112"/>
      <c r="U20" s="112"/>
      <c r="V20" s="112"/>
      <c r="W20" s="112"/>
      <c r="AA20" s="178"/>
    </row>
    <row r="21" spans="1:27" x14ac:dyDescent="0.25">
      <c r="D21" s="112"/>
      <c r="E21" s="112"/>
      <c r="F21" s="117"/>
      <c r="G21" s="117"/>
      <c r="H21" s="117"/>
      <c r="I21" s="117"/>
      <c r="J21" s="117"/>
      <c r="K21" s="117"/>
      <c r="L21" s="117"/>
      <c r="M21" s="117"/>
      <c r="N21" s="117"/>
      <c r="O21" s="117"/>
      <c r="P21" s="117"/>
      <c r="Q21" s="117"/>
      <c r="R21" s="117"/>
      <c r="S21" s="117"/>
      <c r="T21" s="112"/>
      <c r="U21" s="112"/>
      <c r="V21" s="112"/>
      <c r="W21" s="112"/>
      <c r="AA21" s="178"/>
    </row>
    <row r="22" spans="1:27" x14ac:dyDescent="0.25">
      <c r="D22" s="112"/>
      <c r="E22" s="112"/>
      <c r="F22" s="117"/>
      <c r="G22" s="117"/>
      <c r="H22" s="117"/>
      <c r="I22" s="117"/>
      <c r="J22" s="117"/>
      <c r="K22" s="117"/>
      <c r="L22" s="117"/>
      <c r="M22" s="117"/>
      <c r="N22" s="117"/>
      <c r="O22" s="117"/>
      <c r="P22" s="117"/>
      <c r="Q22" s="117"/>
      <c r="R22" s="117"/>
      <c r="S22" s="117"/>
      <c r="T22" s="112"/>
      <c r="U22" s="112"/>
      <c r="V22" s="112"/>
      <c r="W22" s="112"/>
      <c r="AA22" s="178"/>
    </row>
    <row r="23" spans="1:27" x14ac:dyDescent="0.25">
      <c r="D23" s="112"/>
      <c r="E23" s="112"/>
      <c r="F23" s="117"/>
      <c r="G23" s="117"/>
      <c r="H23" s="117"/>
      <c r="I23" s="117"/>
      <c r="J23" s="117"/>
      <c r="K23" s="117"/>
      <c r="L23" s="117"/>
      <c r="M23" s="117"/>
      <c r="N23" s="117"/>
      <c r="O23" s="117"/>
      <c r="P23" s="117"/>
      <c r="Q23" s="117"/>
      <c r="R23" s="117"/>
      <c r="S23" s="117"/>
      <c r="T23" s="112"/>
      <c r="U23" s="112"/>
      <c r="V23" s="112"/>
      <c r="W23" s="112"/>
      <c r="AA23" s="178"/>
    </row>
    <row r="24" spans="1:27" x14ac:dyDescent="0.25">
      <c r="D24" s="112"/>
      <c r="E24" s="112"/>
      <c r="F24" s="112"/>
      <c r="G24" s="112"/>
      <c r="H24" s="112"/>
      <c r="I24" s="112"/>
      <c r="J24" s="112"/>
      <c r="K24" s="112"/>
      <c r="L24" s="112"/>
      <c r="M24" s="112"/>
      <c r="N24" s="112"/>
      <c r="O24" s="112"/>
      <c r="P24" s="112"/>
      <c r="Q24" s="112"/>
      <c r="R24" s="112"/>
      <c r="S24" s="112"/>
      <c r="T24" s="112"/>
      <c r="U24" s="112"/>
      <c r="V24" s="112"/>
      <c r="W24" s="112"/>
      <c r="AA24" s="178"/>
    </row>
    <row r="25" spans="1:27" x14ac:dyDescent="0.25">
      <c r="D25" s="112"/>
      <c r="E25" s="112"/>
      <c r="F25" s="112"/>
      <c r="G25" s="112"/>
      <c r="H25" s="112"/>
      <c r="I25" s="112"/>
      <c r="J25" s="112"/>
      <c r="K25" s="112"/>
      <c r="L25" s="112"/>
      <c r="M25" s="112"/>
      <c r="N25" s="112"/>
      <c r="O25" s="112"/>
      <c r="P25" s="112"/>
      <c r="Q25" s="112"/>
      <c r="R25" s="112"/>
      <c r="S25" s="112"/>
      <c r="T25" s="112"/>
      <c r="U25" s="112"/>
      <c r="V25" s="112"/>
      <c r="W25" s="112"/>
      <c r="AA25" s="178"/>
    </row>
    <row r="26" spans="1:27" x14ac:dyDescent="0.25">
      <c r="D26" s="112"/>
      <c r="E26" s="112"/>
      <c r="F26" s="112"/>
      <c r="G26" s="112"/>
      <c r="H26" s="112"/>
      <c r="I26" s="112"/>
      <c r="J26" s="112"/>
      <c r="K26" s="112"/>
      <c r="L26" s="112"/>
      <c r="M26" s="112"/>
      <c r="N26" s="112"/>
      <c r="O26" s="112"/>
      <c r="P26" s="112"/>
      <c r="Q26" s="112"/>
      <c r="R26" s="112"/>
      <c r="S26" s="112"/>
      <c r="T26" s="112"/>
      <c r="U26" s="112"/>
      <c r="V26" s="112"/>
      <c r="W26" s="112"/>
      <c r="AA26" s="178"/>
    </row>
    <row r="27" spans="1:27" x14ac:dyDescent="0.25">
      <c r="D27" s="112"/>
      <c r="E27" s="112"/>
      <c r="F27" s="112"/>
      <c r="G27" s="112"/>
      <c r="H27" s="112"/>
      <c r="I27" s="112"/>
      <c r="J27" s="112"/>
      <c r="K27" s="112"/>
      <c r="L27" s="112"/>
      <c r="M27" s="112"/>
      <c r="N27" s="112"/>
      <c r="O27" s="112"/>
      <c r="P27" s="112"/>
      <c r="Q27" s="112"/>
      <c r="R27" s="112"/>
      <c r="S27" s="112"/>
      <c r="T27" s="112"/>
      <c r="U27" s="112"/>
      <c r="V27" s="112"/>
      <c r="W27" s="112"/>
      <c r="AA27" s="178"/>
    </row>
    <row r="28" spans="1:27" x14ac:dyDescent="0.25">
      <c r="D28" s="112"/>
      <c r="E28" s="112"/>
      <c r="F28" s="112"/>
      <c r="G28" s="112"/>
      <c r="H28" s="112"/>
      <c r="I28" s="112"/>
      <c r="J28" s="112"/>
      <c r="K28" s="112"/>
      <c r="L28" s="112"/>
      <c r="M28" s="112"/>
      <c r="N28" s="112"/>
      <c r="O28" s="112"/>
      <c r="P28" s="112"/>
      <c r="Q28" s="112"/>
      <c r="R28" s="112"/>
      <c r="S28" s="112"/>
      <c r="T28" s="112"/>
      <c r="U28" s="112"/>
      <c r="V28" s="112"/>
      <c r="W28" s="112"/>
      <c r="AA28" s="178"/>
    </row>
    <row r="29" spans="1:27" ht="12.75" customHeight="1" x14ac:dyDescent="0.25">
      <c r="A29" s="113">
        <v>7</v>
      </c>
      <c r="B29" s="114" t="s">
        <v>78</v>
      </c>
      <c r="C29" s="113"/>
      <c r="D29" s="3553" t="s">
        <v>117</v>
      </c>
      <c r="E29" s="3554"/>
      <c r="F29" s="3554"/>
      <c r="G29" s="3554"/>
      <c r="H29" s="3554"/>
      <c r="I29" s="3554"/>
      <c r="J29" s="3554"/>
      <c r="K29" s="3554"/>
      <c r="L29" s="3554"/>
      <c r="M29" s="3554"/>
      <c r="N29" s="3554"/>
      <c r="O29" s="3554"/>
      <c r="P29" s="3554"/>
      <c r="Q29" s="3554"/>
      <c r="R29" s="3554"/>
      <c r="S29" s="3554"/>
      <c r="T29" s="3554"/>
      <c r="U29" s="3554"/>
      <c r="V29" s="3554"/>
      <c r="W29" s="3554"/>
      <c r="X29" s="3554"/>
      <c r="Y29" s="3554"/>
      <c r="Z29" s="3554"/>
      <c r="AA29" s="3555"/>
    </row>
    <row r="30" spans="1:27" ht="12.75" customHeight="1" x14ac:dyDescent="0.25">
      <c r="A30" s="136">
        <v>8</v>
      </c>
      <c r="B30" s="137" t="s">
        <v>80</v>
      </c>
      <c r="C30" s="136"/>
      <c r="D30" s="3578" t="s">
        <v>118</v>
      </c>
      <c r="E30" s="3579"/>
      <c r="F30" s="3579"/>
      <c r="G30" s="3579"/>
      <c r="H30" s="3579"/>
      <c r="I30" s="3579"/>
      <c r="J30" s="3579"/>
      <c r="K30" s="3579"/>
      <c r="L30" s="3579"/>
      <c r="M30" s="3579"/>
      <c r="N30" s="3579"/>
      <c r="O30" s="3579"/>
      <c r="P30" s="3579"/>
      <c r="Q30" s="3579"/>
      <c r="R30" s="3579"/>
      <c r="S30" s="3579"/>
      <c r="T30" s="3579"/>
      <c r="U30" s="3579"/>
      <c r="V30" s="3579"/>
      <c r="W30" s="3579"/>
      <c r="X30" s="3579"/>
      <c r="Y30" s="3579"/>
      <c r="Z30" s="3579"/>
      <c r="AA30" s="3580"/>
    </row>
    <row r="31" spans="1:27" ht="12.75" customHeight="1" x14ac:dyDescent="0.25">
      <c r="A31" s="113">
        <v>9</v>
      </c>
      <c r="B31" s="114" t="s">
        <v>20</v>
      </c>
      <c r="C31" s="113"/>
      <c r="D31" s="3553" t="s">
        <v>119</v>
      </c>
      <c r="E31" s="3554"/>
      <c r="F31" s="3554"/>
      <c r="G31" s="3554"/>
      <c r="H31" s="3554"/>
      <c r="I31" s="3554"/>
      <c r="J31" s="3554"/>
      <c r="K31" s="3554"/>
      <c r="L31" s="3554"/>
      <c r="M31" s="3554"/>
      <c r="N31" s="3554"/>
      <c r="O31" s="3554"/>
      <c r="P31" s="3554"/>
      <c r="Q31" s="3554"/>
      <c r="R31" s="3554"/>
      <c r="S31" s="3554"/>
      <c r="T31" s="3554"/>
      <c r="U31" s="3554"/>
      <c r="V31" s="3554"/>
      <c r="W31" s="3554"/>
      <c r="X31" s="3554"/>
      <c r="Y31" s="3554"/>
      <c r="Z31" s="3554"/>
      <c r="AA31" s="3555"/>
    </row>
    <row r="32" spans="1:27" ht="12.75" customHeight="1" x14ac:dyDescent="0.25">
      <c r="A32" s="113">
        <v>10</v>
      </c>
      <c r="B32" s="114" t="s">
        <v>83</v>
      </c>
      <c r="C32" s="113"/>
      <c r="D32" s="3553" t="s">
        <v>120</v>
      </c>
      <c r="E32" s="3554"/>
      <c r="F32" s="3554"/>
      <c r="G32" s="3554"/>
      <c r="H32" s="3554"/>
      <c r="I32" s="3554"/>
      <c r="J32" s="3554"/>
      <c r="K32" s="3554"/>
      <c r="L32" s="3554"/>
      <c r="M32" s="3554"/>
      <c r="N32" s="3554"/>
      <c r="O32" s="3554"/>
      <c r="P32" s="3554"/>
      <c r="Q32" s="3554"/>
      <c r="R32" s="3554"/>
      <c r="S32" s="3554"/>
      <c r="T32" s="3554"/>
      <c r="U32" s="3554"/>
      <c r="V32" s="3554"/>
      <c r="W32" s="3554"/>
      <c r="X32" s="3554"/>
      <c r="Y32" s="3554"/>
      <c r="Z32" s="3554"/>
      <c r="AA32" s="3555"/>
    </row>
    <row r="33" spans="1:102" x14ac:dyDescent="0.25">
      <c r="B33" s="180"/>
      <c r="C33" s="181"/>
    </row>
    <row r="34" spans="1:102" ht="18" customHeight="1" x14ac:dyDescent="0.25">
      <c r="B34" s="182" t="s">
        <v>103</v>
      </c>
      <c r="C34" s="183"/>
      <c r="D34" s="184" t="str">
        <f>D2</f>
        <v xml:space="preserve">Gross fixed capital formation </v>
      </c>
      <c r="E34" s="184"/>
      <c r="F34" s="184"/>
      <c r="G34" s="184"/>
      <c r="H34" s="184"/>
      <c r="I34" s="184"/>
      <c r="J34" s="184"/>
      <c r="K34" s="184"/>
      <c r="L34" s="184"/>
      <c r="M34" s="185"/>
      <c r="N34" s="185"/>
      <c r="O34" s="185"/>
      <c r="P34" s="185"/>
      <c r="Q34" s="185"/>
      <c r="R34" s="186"/>
      <c r="S34" s="186"/>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59"/>
      <c r="AY34" s="59"/>
      <c r="AZ34" s="59"/>
      <c r="BA34" s="59"/>
      <c r="BB34" s="59"/>
      <c r="BC34" s="59"/>
      <c r="BD34" s="59"/>
      <c r="BE34" s="59"/>
      <c r="BF34" s="59"/>
      <c r="BG34" s="59"/>
      <c r="BH34" s="59"/>
    </row>
    <row r="35" spans="1:102" ht="18" customHeight="1" x14ac:dyDescent="0.25">
      <c r="B35" s="187"/>
      <c r="C35" s="188"/>
      <c r="D35" s="3571">
        <v>1994</v>
      </c>
      <c r="E35" s="3571"/>
      <c r="F35" s="3571"/>
      <c r="G35" s="3571"/>
      <c r="H35" s="3571">
        <v>1995</v>
      </c>
      <c r="I35" s="3571"/>
      <c r="J35" s="3571"/>
      <c r="K35" s="3571"/>
      <c r="L35" s="3571">
        <v>1996</v>
      </c>
      <c r="M35" s="3571"/>
      <c r="N35" s="3571"/>
      <c r="O35" s="3571"/>
      <c r="P35" s="3571">
        <v>1997</v>
      </c>
      <c r="Q35" s="3571"/>
      <c r="R35" s="3571"/>
      <c r="S35" s="3571"/>
      <c r="T35" s="3571">
        <v>1998</v>
      </c>
      <c r="U35" s="3571"/>
      <c r="V35" s="3571"/>
      <c r="W35" s="3571"/>
      <c r="X35" s="3571">
        <v>1999</v>
      </c>
      <c r="Y35" s="3571"/>
      <c r="Z35" s="3571"/>
      <c r="AA35" s="3571"/>
      <c r="AB35" s="3571">
        <v>2000</v>
      </c>
      <c r="AC35" s="3571"/>
      <c r="AD35" s="3571"/>
      <c r="AE35" s="3571"/>
      <c r="AF35" s="3571">
        <v>2001</v>
      </c>
      <c r="AG35" s="3571"/>
      <c r="AH35" s="3571"/>
      <c r="AI35" s="3571"/>
      <c r="AJ35" s="3571">
        <v>2002</v>
      </c>
      <c r="AK35" s="3571"/>
      <c r="AL35" s="3571"/>
      <c r="AM35" s="3571"/>
      <c r="AN35" s="3571">
        <v>2003</v>
      </c>
      <c r="AO35" s="3571"/>
      <c r="AP35" s="3571"/>
      <c r="AQ35" s="3571"/>
      <c r="AR35" s="3571">
        <v>2004</v>
      </c>
      <c r="AS35" s="3571"/>
      <c r="AT35" s="3571"/>
      <c r="AU35" s="3571"/>
      <c r="AV35" s="3571">
        <v>2005</v>
      </c>
      <c r="AW35" s="3571"/>
      <c r="AX35" s="3571"/>
      <c r="AY35" s="3571"/>
      <c r="AZ35" s="3571">
        <v>2006</v>
      </c>
      <c r="BA35" s="3571"/>
      <c r="BB35" s="3571"/>
      <c r="BC35" s="3571"/>
      <c r="BD35" s="3571">
        <v>2007</v>
      </c>
      <c r="BE35" s="3571"/>
      <c r="BF35" s="3571"/>
      <c r="BG35" s="3571"/>
      <c r="BH35" s="3571">
        <v>2008</v>
      </c>
      <c r="BI35" s="3571"/>
      <c r="BJ35" s="3571"/>
      <c r="BK35" s="3571"/>
      <c r="BL35" s="3571">
        <v>2009</v>
      </c>
      <c r="BM35" s="3571"/>
      <c r="BN35" s="3571"/>
      <c r="BO35" s="3571"/>
      <c r="BP35" s="3571">
        <v>2010</v>
      </c>
      <c r="BQ35" s="3571"/>
      <c r="BR35" s="3571"/>
      <c r="BS35" s="3571"/>
      <c r="BT35" s="3571">
        <v>2011</v>
      </c>
      <c r="BU35" s="3571"/>
      <c r="BV35" s="3571"/>
      <c r="BW35" s="3571"/>
      <c r="BX35" s="3571">
        <v>2012</v>
      </c>
      <c r="BY35" s="3571"/>
      <c r="BZ35" s="3571"/>
      <c r="CA35" s="3571"/>
      <c r="CB35" s="3571">
        <v>2013</v>
      </c>
      <c r="CC35" s="3571"/>
      <c r="CD35" s="3571"/>
      <c r="CE35" s="3571"/>
      <c r="CF35" s="3571">
        <v>2014</v>
      </c>
      <c r="CG35" s="3571"/>
      <c r="CH35" s="3571"/>
      <c r="CI35" s="3571"/>
    </row>
    <row r="36" spans="1:102" s="179" customFormat="1" x14ac:dyDescent="0.2">
      <c r="A36" s="189"/>
      <c r="B36" s="110"/>
      <c r="C36" s="181"/>
      <c r="D36" s="190" t="s">
        <v>85</v>
      </c>
      <c r="E36" s="190" t="s">
        <v>86</v>
      </c>
      <c r="F36" s="190" t="s">
        <v>87</v>
      </c>
      <c r="G36" s="191" t="s">
        <v>88</v>
      </c>
      <c r="H36" s="190" t="s">
        <v>85</v>
      </c>
      <c r="I36" s="190" t="s">
        <v>86</v>
      </c>
      <c r="J36" s="190" t="s">
        <v>87</v>
      </c>
      <c r="K36" s="191" t="s">
        <v>88</v>
      </c>
      <c r="L36" s="190" t="s">
        <v>85</v>
      </c>
      <c r="M36" s="190" t="s">
        <v>86</v>
      </c>
      <c r="N36" s="190" t="s">
        <v>87</v>
      </c>
      <c r="O36" s="191" t="s">
        <v>88</v>
      </c>
      <c r="P36" s="190" t="s">
        <v>85</v>
      </c>
      <c r="Q36" s="190" t="s">
        <v>86</v>
      </c>
      <c r="R36" s="190" t="s">
        <v>87</v>
      </c>
      <c r="S36" s="191" t="s">
        <v>88</v>
      </c>
      <c r="T36" s="190" t="s">
        <v>85</v>
      </c>
      <c r="U36" s="190" t="s">
        <v>86</v>
      </c>
      <c r="V36" s="190" t="s">
        <v>87</v>
      </c>
      <c r="W36" s="191" t="s">
        <v>88</v>
      </c>
      <c r="X36" s="190" t="s">
        <v>85</v>
      </c>
      <c r="Y36" s="190" t="s">
        <v>86</v>
      </c>
      <c r="Z36" s="190" t="s">
        <v>87</v>
      </c>
      <c r="AA36" s="191" t="s">
        <v>88</v>
      </c>
      <c r="AB36" s="190" t="s">
        <v>85</v>
      </c>
      <c r="AC36" s="190" t="s">
        <v>86</v>
      </c>
      <c r="AD36" s="190" t="s">
        <v>87</v>
      </c>
      <c r="AE36" s="191" t="s">
        <v>88</v>
      </c>
      <c r="AF36" s="190" t="s">
        <v>85</v>
      </c>
      <c r="AG36" s="190" t="s">
        <v>86</v>
      </c>
      <c r="AH36" s="190" t="s">
        <v>87</v>
      </c>
      <c r="AI36" s="191" t="s">
        <v>88</v>
      </c>
      <c r="AJ36" s="190" t="s">
        <v>85</v>
      </c>
      <c r="AK36" s="190" t="s">
        <v>86</v>
      </c>
      <c r="AL36" s="190" t="s">
        <v>87</v>
      </c>
      <c r="AM36" s="191" t="s">
        <v>88</v>
      </c>
      <c r="AN36" s="190" t="s">
        <v>85</v>
      </c>
      <c r="AO36" s="190" t="s">
        <v>86</v>
      </c>
      <c r="AP36" s="190" t="s">
        <v>87</v>
      </c>
      <c r="AQ36" s="191" t="s">
        <v>88</v>
      </c>
      <c r="AR36" s="190" t="s">
        <v>85</v>
      </c>
      <c r="AS36" s="190" t="s">
        <v>86</v>
      </c>
      <c r="AT36" s="190" t="s">
        <v>87</v>
      </c>
      <c r="AU36" s="191" t="s">
        <v>88</v>
      </c>
      <c r="AV36" s="190" t="s">
        <v>85</v>
      </c>
      <c r="AW36" s="190" t="s">
        <v>86</v>
      </c>
      <c r="AX36" s="190" t="s">
        <v>87</v>
      </c>
      <c r="AY36" s="191" t="s">
        <v>88</v>
      </c>
      <c r="AZ36" s="190" t="s">
        <v>85</v>
      </c>
      <c r="BA36" s="190" t="s">
        <v>86</v>
      </c>
      <c r="BB36" s="190" t="s">
        <v>87</v>
      </c>
      <c r="BC36" s="191" t="s">
        <v>88</v>
      </c>
      <c r="BD36" s="190" t="s">
        <v>85</v>
      </c>
      <c r="BE36" s="190" t="s">
        <v>86</v>
      </c>
      <c r="BF36" s="190" t="s">
        <v>87</v>
      </c>
      <c r="BG36" s="191" t="s">
        <v>88</v>
      </c>
      <c r="BH36" s="190" t="s">
        <v>85</v>
      </c>
      <c r="BI36" s="190" t="s">
        <v>86</v>
      </c>
      <c r="BJ36" s="190" t="s">
        <v>87</v>
      </c>
      <c r="BK36" s="191" t="s">
        <v>88</v>
      </c>
      <c r="BL36" s="190" t="s">
        <v>85</v>
      </c>
      <c r="BM36" s="190" t="s">
        <v>86</v>
      </c>
      <c r="BN36" s="190" t="s">
        <v>87</v>
      </c>
      <c r="BO36" s="191" t="s">
        <v>88</v>
      </c>
      <c r="BP36" s="190" t="s">
        <v>85</v>
      </c>
      <c r="BQ36" s="190" t="s">
        <v>86</v>
      </c>
      <c r="BR36" s="190" t="s">
        <v>87</v>
      </c>
      <c r="BS36" s="191" t="s">
        <v>88</v>
      </c>
      <c r="BT36" s="190" t="s">
        <v>85</v>
      </c>
      <c r="BU36" s="190" t="s">
        <v>86</v>
      </c>
      <c r="BV36" s="190" t="s">
        <v>87</v>
      </c>
      <c r="BW36" s="191" t="s">
        <v>88</v>
      </c>
      <c r="BX36" s="190" t="s">
        <v>85</v>
      </c>
      <c r="BY36" s="190" t="s">
        <v>86</v>
      </c>
      <c r="BZ36" s="190" t="s">
        <v>87</v>
      </c>
      <c r="CA36" s="191" t="s">
        <v>88</v>
      </c>
      <c r="CB36" s="190" t="s">
        <v>85</v>
      </c>
      <c r="CC36" s="190" t="s">
        <v>86</v>
      </c>
      <c r="CD36" s="190" t="s">
        <v>87</v>
      </c>
      <c r="CE36" s="191" t="s">
        <v>88</v>
      </c>
      <c r="CF36" s="190" t="s">
        <v>85</v>
      </c>
      <c r="CG36" s="190" t="s">
        <v>86</v>
      </c>
      <c r="CH36" s="190" t="s">
        <v>87</v>
      </c>
      <c r="CI36" s="191" t="s">
        <v>88</v>
      </c>
    </row>
    <row r="37" spans="1:102" x14ac:dyDescent="0.25">
      <c r="B37" s="192" t="s">
        <v>54</v>
      </c>
      <c r="D37" s="194">
        <v>15.7</v>
      </c>
      <c r="E37" s="194">
        <v>16</v>
      </c>
      <c r="F37" s="194">
        <v>16.399999999999999</v>
      </c>
      <c r="G37" s="194">
        <v>16.2</v>
      </c>
      <c r="H37" s="194">
        <v>16.8</v>
      </c>
      <c r="I37" s="194">
        <v>17.399999999999999</v>
      </c>
      <c r="J37" s="194">
        <v>17</v>
      </c>
      <c r="K37" s="194">
        <v>16.7</v>
      </c>
      <c r="L37" s="194">
        <v>17.100000000000001</v>
      </c>
      <c r="M37" s="194">
        <v>17.2</v>
      </c>
      <c r="N37" s="194">
        <v>17.3</v>
      </c>
      <c r="O37" s="194">
        <v>17.2</v>
      </c>
      <c r="P37" s="194">
        <v>17.7</v>
      </c>
      <c r="Q37" s="194">
        <v>17.600000000000001</v>
      </c>
      <c r="R37" s="194">
        <v>17.5</v>
      </c>
      <c r="S37" s="194">
        <v>17.399999999999999</v>
      </c>
      <c r="T37" s="194">
        <v>17.8</v>
      </c>
      <c r="U37" s="194">
        <v>17.7</v>
      </c>
      <c r="V37" s="194">
        <v>18.3</v>
      </c>
      <c r="W37" s="194">
        <v>18.5</v>
      </c>
      <c r="X37" s="194">
        <v>16.899999999999999</v>
      </c>
      <c r="Y37" s="194">
        <v>16.3</v>
      </c>
      <c r="Z37" s="194">
        <v>15.8</v>
      </c>
      <c r="AA37" s="194">
        <v>15.6</v>
      </c>
      <c r="AB37" s="194">
        <v>15.8</v>
      </c>
      <c r="AC37" s="194">
        <v>15.7</v>
      </c>
      <c r="AD37" s="194">
        <v>15.4</v>
      </c>
      <c r="AE37" s="194">
        <v>15.6</v>
      </c>
      <c r="AF37" s="194">
        <v>15.6</v>
      </c>
      <c r="AG37" s="194">
        <v>15.5</v>
      </c>
      <c r="AH37" s="194">
        <v>15.6</v>
      </c>
      <c r="AI37" s="194">
        <v>15.3</v>
      </c>
      <c r="AJ37" s="194">
        <v>15.1</v>
      </c>
      <c r="AK37" s="194">
        <v>15</v>
      </c>
      <c r="AL37" s="194">
        <v>15.1</v>
      </c>
      <c r="AM37" s="194">
        <v>15.4</v>
      </c>
      <c r="AN37" s="194">
        <v>15.5</v>
      </c>
      <c r="AO37" s="194">
        <v>15.9</v>
      </c>
      <c r="AP37" s="194">
        <v>16</v>
      </c>
      <c r="AQ37" s="194">
        <v>16.399999999999999</v>
      </c>
      <c r="AR37" s="194">
        <v>16.2</v>
      </c>
      <c r="AS37" s="194">
        <v>16.2</v>
      </c>
      <c r="AT37" s="194">
        <v>16.600000000000001</v>
      </c>
      <c r="AU37" s="194">
        <v>16.7</v>
      </c>
      <c r="AV37" s="194">
        <v>16.8</v>
      </c>
      <c r="AW37" s="194">
        <v>16.899999999999999</v>
      </c>
      <c r="AX37" s="194">
        <v>17.399999999999999</v>
      </c>
      <c r="AY37" s="194">
        <v>17.8</v>
      </c>
      <c r="AZ37" s="194">
        <v>18.399999999999999</v>
      </c>
      <c r="BA37" s="194">
        <v>18.600000000000001</v>
      </c>
      <c r="BB37" s="194">
        <v>19</v>
      </c>
      <c r="BC37" s="194">
        <v>19.600000000000001</v>
      </c>
      <c r="BD37" s="194">
        <v>20.3</v>
      </c>
      <c r="BE37" s="194">
        <v>20.8</v>
      </c>
      <c r="BF37" s="194">
        <v>20.9</v>
      </c>
      <c r="BG37" s="194">
        <v>20.6</v>
      </c>
      <c r="BH37" s="194">
        <v>21.5</v>
      </c>
      <c r="BI37" s="194">
        <v>22.8</v>
      </c>
      <c r="BJ37" s="194">
        <v>24.4</v>
      </c>
      <c r="BK37" s="194">
        <v>25.1</v>
      </c>
      <c r="BL37" s="194">
        <v>23.1</v>
      </c>
      <c r="BM37" s="194">
        <v>21.9</v>
      </c>
      <c r="BN37" s="194">
        <v>20.8</v>
      </c>
      <c r="BO37" s="194">
        <v>20.3</v>
      </c>
      <c r="BP37" s="194">
        <v>20</v>
      </c>
      <c r="BQ37" s="194">
        <v>19.399999999999999</v>
      </c>
      <c r="BR37" s="194">
        <v>19.100000000000001</v>
      </c>
      <c r="BS37" s="194">
        <v>18.7</v>
      </c>
      <c r="BT37" s="194">
        <v>18.600000000000001</v>
      </c>
      <c r="BU37" s="194">
        <v>18.7</v>
      </c>
      <c r="BV37" s="194">
        <v>18.7</v>
      </c>
      <c r="BW37" s="194">
        <v>18.899999999999999</v>
      </c>
      <c r="BX37" s="194">
        <v>18.8</v>
      </c>
      <c r="BY37" s="193">
        <v>18.7</v>
      </c>
      <c r="BZ37" s="193">
        <v>18.899999999999999</v>
      </c>
      <c r="CA37" s="193">
        <v>18.8</v>
      </c>
      <c r="CB37" s="193">
        <v>19.2</v>
      </c>
      <c r="CC37" s="193">
        <v>19.8</v>
      </c>
      <c r="CD37" s="193">
        <v>20.399999999999999</v>
      </c>
      <c r="CE37" s="193">
        <v>20.7</v>
      </c>
      <c r="CF37" s="193">
        <v>20.2</v>
      </c>
      <c r="CG37" s="193">
        <v>20.399999999999999</v>
      </c>
      <c r="CH37" s="193">
        <v>20.3</v>
      </c>
      <c r="CI37" s="51">
        <v>20.100000000000001</v>
      </c>
    </row>
    <row r="39" spans="1:102" x14ac:dyDescent="0.25">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c r="BB39" s="194"/>
      <c r="BC39" s="194"/>
      <c r="BD39" s="194"/>
      <c r="BE39" s="194"/>
      <c r="BF39" s="194"/>
      <c r="BG39" s="194"/>
      <c r="BH39" s="194"/>
      <c r="BI39" s="194"/>
      <c r="BJ39" s="194"/>
      <c r="BK39" s="194"/>
      <c r="BL39" s="194"/>
      <c r="BM39" s="194"/>
      <c r="BN39" s="194"/>
      <c r="BO39" s="194"/>
      <c r="BP39" s="194"/>
      <c r="BQ39" s="194"/>
      <c r="BR39" s="194"/>
      <c r="BS39" s="194"/>
      <c r="BT39" s="194"/>
      <c r="BU39" s="194"/>
      <c r="BV39" s="194"/>
      <c r="BW39" s="194"/>
      <c r="BX39" s="194"/>
      <c r="BY39" s="194"/>
      <c r="BZ39" s="194"/>
      <c r="CA39" s="194"/>
      <c r="CB39" s="194"/>
      <c r="CC39" s="194"/>
      <c r="CD39" s="194"/>
      <c r="CE39" s="194"/>
      <c r="CF39" s="194"/>
      <c r="CG39" s="194"/>
      <c r="CH39" s="194"/>
    </row>
    <row r="40" spans="1:102" x14ac:dyDescent="0.25">
      <c r="D40" s="194"/>
      <c r="E40" s="194"/>
      <c r="H40" s="77"/>
      <c r="I40" s="77"/>
      <c r="J40" s="77"/>
      <c r="K40" s="77"/>
      <c r="L40" s="77"/>
      <c r="M40" s="77"/>
      <c r="N40" s="77"/>
      <c r="O40" s="77"/>
      <c r="P40" s="77"/>
      <c r="Q40" s="77"/>
      <c r="R40" s="77"/>
      <c r="S40" s="77"/>
      <c r="T40" s="77"/>
      <c r="U40" s="77"/>
      <c r="V40" s="77"/>
      <c r="W40" s="77"/>
      <c r="BV40" s="194"/>
    </row>
    <row r="41" spans="1:102" x14ac:dyDescent="0.25">
      <c r="D41" s="194"/>
      <c r="E41" s="194"/>
      <c r="H41" s="77"/>
      <c r="I41" s="77"/>
      <c r="J41" s="77"/>
      <c r="K41" s="77"/>
      <c r="L41" s="77"/>
      <c r="M41" s="77"/>
      <c r="N41" s="77"/>
      <c r="O41" s="77"/>
      <c r="P41" s="77"/>
      <c r="Q41" s="77"/>
      <c r="R41" s="77"/>
      <c r="S41" s="77"/>
      <c r="T41" s="77"/>
      <c r="U41" s="77"/>
      <c r="V41" s="77"/>
      <c r="W41" s="77"/>
      <c r="BV41" s="194"/>
    </row>
    <row r="42" spans="1:102" x14ac:dyDescent="0.25">
      <c r="D42" s="194"/>
      <c r="E42" s="178"/>
      <c r="F42" s="178"/>
      <c r="G42" s="178"/>
      <c r="H42" s="178"/>
      <c r="I42" s="178"/>
      <c r="J42" s="178"/>
      <c r="K42" s="178"/>
      <c r="L42" s="178"/>
      <c r="M42" s="178"/>
      <c r="N42" s="178"/>
      <c r="O42" s="178"/>
      <c r="P42" s="178"/>
      <c r="Q42" s="178"/>
      <c r="R42" s="178"/>
      <c r="S42" s="178"/>
      <c r="T42" s="178"/>
      <c r="U42" s="178"/>
      <c r="V42" s="178"/>
      <c r="W42" s="178"/>
      <c r="X42" s="178"/>
      <c r="Y42" s="179"/>
      <c r="BV42" s="194"/>
    </row>
    <row r="43" spans="1:102" x14ac:dyDescent="0.25">
      <c r="D43" s="194"/>
      <c r="E43" s="194"/>
      <c r="H43" s="77"/>
      <c r="I43" s="77"/>
      <c r="J43" s="77"/>
      <c r="K43" s="77"/>
      <c r="L43" s="77"/>
      <c r="M43" s="77"/>
      <c r="N43" s="77"/>
      <c r="O43" s="77"/>
      <c r="P43" s="80"/>
      <c r="Q43" s="77"/>
      <c r="R43" s="77"/>
      <c r="S43" s="77"/>
      <c r="T43" s="77"/>
      <c r="U43" s="77"/>
      <c r="V43" s="77"/>
      <c r="W43" s="77"/>
      <c r="BV43" s="194"/>
    </row>
    <row r="44" spans="1:102" x14ac:dyDescent="0.25">
      <c r="D44" s="194"/>
      <c r="E44" s="194"/>
      <c r="H44" s="77"/>
      <c r="I44" s="77"/>
      <c r="J44" s="77"/>
      <c r="K44" s="77"/>
      <c r="L44" s="77"/>
      <c r="M44" s="77"/>
      <c r="N44" s="77"/>
      <c r="O44" s="77"/>
      <c r="P44" s="77"/>
      <c r="Q44" s="77"/>
      <c r="R44" s="77"/>
      <c r="S44" s="77"/>
      <c r="T44" s="77"/>
      <c r="U44" s="77"/>
      <c r="V44" s="77"/>
      <c r="W44" s="77"/>
      <c r="BV44" s="193"/>
    </row>
    <row r="45" spans="1:102" x14ac:dyDescent="0.25">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c r="BD45" s="194"/>
      <c r="BE45" s="194"/>
      <c r="BF45" s="194"/>
      <c r="BG45" s="194"/>
      <c r="BH45" s="194"/>
      <c r="BI45" s="194"/>
      <c r="BJ45" s="194"/>
      <c r="BK45" s="194"/>
      <c r="BL45" s="194"/>
      <c r="BM45" s="194"/>
      <c r="BN45" s="194"/>
      <c r="BO45" s="194"/>
      <c r="BP45" s="194"/>
      <c r="BQ45" s="194"/>
      <c r="BR45" s="194"/>
      <c r="BS45" s="194"/>
      <c r="BT45" s="194"/>
      <c r="BU45" s="194"/>
      <c r="BV45" s="194"/>
      <c r="BW45" s="194"/>
      <c r="BX45" s="194"/>
      <c r="BY45" s="194"/>
      <c r="BZ45" s="194"/>
      <c r="CA45" s="194"/>
      <c r="CB45" s="194"/>
      <c r="CC45" s="194"/>
      <c r="CD45" s="194"/>
      <c r="CE45" s="194"/>
      <c r="CF45" s="194"/>
      <c r="CG45" s="194"/>
      <c r="CH45" s="194"/>
      <c r="CI45" s="194"/>
      <c r="CJ45" s="194"/>
      <c r="CK45" s="194"/>
      <c r="CL45" s="194"/>
      <c r="CM45" s="194"/>
      <c r="CN45" s="194"/>
      <c r="CO45" s="193"/>
      <c r="CP45" s="193"/>
      <c r="CQ45" s="193"/>
      <c r="CR45" s="193"/>
      <c r="CS45" s="193"/>
      <c r="CT45" s="193"/>
      <c r="CU45" s="193"/>
      <c r="CV45" s="193"/>
      <c r="CW45" s="193"/>
      <c r="CX45" s="193"/>
    </row>
    <row r="46" spans="1:102" x14ac:dyDescent="0.25">
      <c r="D46" s="194"/>
      <c r="E46" s="194"/>
      <c r="H46" s="77"/>
      <c r="I46" s="77"/>
      <c r="J46" s="77"/>
      <c r="K46" s="77"/>
      <c r="L46" s="77"/>
      <c r="M46" s="77"/>
      <c r="N46" s="77"/>
      <c r="O46" s="77"/>
      <c r="P46" s="77"/>
      <c r="Q46" s="77"/>
      <c r="R46" s="77"/>
      <c r="S46" s="77"/>
      <c r="T46" s="77"/>
      <c r="U46" s="77"/>
      <c r="V46" s="77"/>
      <c r="W46" s="77"/>
      <c r="BV46" s="193"/>
    </row>
    <row r="47" spans="1:102" x14ac:dyDescent="0.25">
      <c r="D47" s="194"/>
      <c r="E47" s="194"/>
      <c r="H47" s="77"/>
      <c r="I47" s="77"/>
      <c r="J47" s="77"/>
      <c r="K47" s="77"/>
      <c r="L47" s="77"/>
      <c r="M47" s="77"/>
      <c r="N47" s="77"/>
      <c r="O47" s="77"/>
      <c r="P47" s="77"/>
      <c r="Q47" s="77"/>
      <c r="R47" s="77"/>
      <c r="S47" s="77"/>
      <c r="T47" s="77"/>
      <c r="U47" s="77"/>
      <c r="V47" s="77"/>
      <c r="W47" s="77"/>
    </row>
    <row r="48" spans="1:102" x14ac:dyDescent="0.25">
      <c r="D48" s="194"/>
      <c r="E48" s="194"/>
      <c r="H48" s="77"/>
      <c r="I48" s="77"/>
      <c r="J48" s="77"/>
      <c r="K48" s="77"/>
      <c r="L48" s="77"/>
      <c r="M48" s="77"/>
      <c r="N48" s="77"/>
      <c r="O48" s="77"/>
      <c r="P48" s="77"/>
      <c r="Q48" s="77"/>
      <c r="R48" s="77"/>
      <c r="S48" s="77"/>
      <c r="T48" s="77"/>
      <c r="U48" s="77"/>
      <c r="V48" s="77"/>
      <c r="W48" s="77"/>
    </row>
    <row r="49" spans="4:5" x14ac:dyDescent="0.25">
      <c r="D49" s="194"/>
      <c r="E49" s="194"/>
    </row>
    <row r="50" spans="4:5" x14ac:dyDescent="0.25">
      <c r="D50" s="194"/>
      <c r="E50" s="194"/>
    </row>
    <row r="51" spans="4:5" x14ac:dyDescent="0.25">
      <c r="D51" s="194"/>
      <c r="E51" s="194"/>
    </row>
    <row r="52" spans="4:5" x14ac:dyDescent="0.25">
      <c r="D52" s="194"/>
      <c r="E52" s="194"/>
    </row>
    <row r="53" spans="4:5" x14ac:dyDescent="0.25">
      <c r="D53" s="194"/>
      <c r="E53" s="194"/>
    </row>
    <row r="54" spans="4:5" x14ac:dyDescent="0.25">
      <c r="D54" s="194"/>
      <c r="E54" s="194"/>
    </row>
    <row r="55" spans="4:5" x14ac:dyDescent="0.25">
      <c r="D55" s="194"/>
      <c r="E55" s="194"/>
    </row>
    <row r="56" spans="4:5" x14ac:dyDescent="0.25">
      <c r="D56" s="194"/>
      <c r="E56" s="194"/>
    </row>
    <row r="57" spans="4:5" x14ac:dyDescent="0.25">
      <c r="D57" s="194"/>
      <c r="E57" s="194"/>
    </row>
    <row r="58" spans="4:5" x14ac:dyDescent="0.25">
      <c r="D58" s="194"/>
      <c r="E58" s="194"/>
    </row>
    <row r="59" spans="4:5" x14ac:dyDescent="0.25">
      <c r="D59" s="194"/>
      <c r="E59" s="194"/>
    </row>
    <row r="60" spans="4:5" x14ac:dyDescent="0.25">
      <c r="D60" s="194"/>
      <c r="E60" s="194"/>
    </row>
    <row r="61" spans="4:5" x14ac:dyDescent="0.25">
      <c r="D61" s="194"/>
      <c r="E61" s="194"/>
    </row>
    <row r="62" spans="4:5" x14ac:dyDescent="0.25">
      <c r="D62" s="194"/>
      <c r="E62" s="194"/>
    </row>
    <row r="63" spans="4:5" x14ac:dyDescent="0.25">
      <c r="D63" s="194"/>
      <c r="E63" s="194"/>
    </row>
    <row r="64" spans="4:5" x14ac:dyDescent="0.25">
      <c r="D64" s="194"/>
      <c r="E64" s="194"/>
    </row>
    <row r="65" spans="4:5" x14ac:dyDescent="0.25">
      <c r="D65" s="194"/>
      <c r="E65" s="194"/>
    </row>
    <row r="66" spans="4:5" x14ac:dyDescent="0.25">
      <c r="D66" s="194"/>
      <c r="E66" s="194"/>
    </row>
    <row r="67" spans="4:5" x14ac:dyDescent="0.25">
      <c r="D67" s="194"/>
      <c r="E67" s="194"/>
    </row>
    <row r="68" spans="4:5" x14ac:dyDescent="0.25">
      <c r="D68" s="194"/>
      <c r="E68" s="194"/>
    </row>
    <row r="69" spans="4:5" x14ac:dyDescent="0.25">
      <c r="D69" s="194"/>
      <c r="E69" s="194"/>
    </row>
    <row r="70" spans="4:5" x14ac:dyDescent="0.25">
      <c r="D70" s="194"/>
      <c r="E70" s="194"/>
    </row>
    <row r="71" spans="4:5" x14ac:dyDescent="0.25">
      <c r="D71" s="194"/>
      <c r="E71" s="194"/>
    </row>
    <row r="72" spans="4:5" x14ac:dyDescent="0.25">
      <c r="D72" s="194"/>
      <c r="E72" s="194"/>
    </row>
    <row r="73" spans="4:5" x14ac:dyDescent="0.25">
      <c r="D73" s="194"/>
      <c r="E73" s="194"/>
    </row>
    <row r="74" spans="4:5" x14ac:dyDescent="0.25">
      <c r="D74" s="194"/>
      <c r="E74" s="194"/>
    </row>
    <row r="75" spans="4:5" x14ac:dyDescent="0.25">
      <c r="D75" s="194"/>
      <c r="E75" s="194"/>
    </row>
    <row r="76" spans="4:5" x14ac:dyDescent="0.25">
      <c r="D76" s="194"/>
      <c r="E76" s="194"/>
    </row>
    <row r="77" spans="4:5" x14ac:dyDescent="0.25">
      <c r="D77" s="194"/>
      <c r="E77" s="194"/>
    </row>
    <row r="78" spans="4:5" x14ac:dyDescent="0.25">
      <c r="D78" s="194"/>
      <c r="E78" s="194"/>
    </row>
    <row r="79" spans="4:5" x14ac:dyDescent="0.25">
      <c r="D79" s="194"/>
      <c r="E79" s="194"/>
    </row>
    <row r="80" spans="4:5" x14ac:dyDescent="0.25">
      <c r="D80" s="194"/>
      <c r="E80" s="194"/>
    </row>
    <row r="81" spans="4:5" x14ac:dyDescent="0.25">
      <c r="D81" s="194"/>
      <c r="E81" s="194"/>
    </row>
    <row r="82" spans="4:5" x14ac:dyDescent="0.25">
      <c r="D82" s="194"/>
      <c r="E82" s="194"/>
    </row>
    <row r="83" spans="4:5" x14ac:dyDescent="0.25">
      <c r="D83" s="194"/>
      <c r="E83" s="194"/>
    </row>
    <row r="84" spans="4:5" x14ac:dyDescent="0.25">
      <c r="D84" s="194"/>
      <c r="E84" s="194"/>
    </row>
    <row r="85" spans="4:5" x14ac:dyDescent="0.25">
      <c r="D85" s="194"/>
      <c r="E85" s="194"/>
    </row>
    <row r="86" spans="4:5" x14ac:dyDescent="0.25">
      <c r="D86" s="194"/>
      <c r="E86" s="194"/>
    </row>
    <row r="87" spans="4:5" x14ac:dyDescent="0.25">
      <c r="D87" s="194"/>
      <c r="E87" s="194"/>
    </row>
    <row r="88" spans="4:5" x14ac:dyDescent="0.25">
      <c r="D88" s="194"/>
      <c r="E88" s="194"/>
    </row>
    <row r="89" spans="4:5" x14ac:dyDescent="0.25">
      <c r="D89" s="194"/>
      <c r="E89" s="194"/>
    </row>
    <row r="90" spans="4:5" x14ac:dyDescent="0.25">
      <c r="D90" s="194"/>
      <c r="E90" s="194"/>
    </row>
    <row r="91" spans="4:5" x14ac:dyDescent="0.25">
      <c r="D91" s="194"/>
      <c r="E91" s="194"/>
    </row>
    <row r="92" spans="4:5" x14ac:dyDescent="0.25">
      <c r="D92" s="194"/>
      <c r="E92" s="194"/>
    </row>
    <row r="93" spans="4:5" x14ac:dyDescent="0.25">
      <c r="D93" s="194"/>
      <c r="E93" s="194"/>
    </row>
    <row r="94" spans="4:5" x14ac:dyDescent="0.25">
      <c r="D94" s="194"/>
      <c r="E94" s="194"/>
    </row>
    <row r="95" spans="4:5" x14ac:dyDescent="0.25">
      <c r="D95" s="194"/>
      <c r="E95" s="194"/>
    </row>
    <row r="96" spans="4:5" x14ac:dyDescent="0.25">
      <c r="D96" s="194"/>
      <c r="E96" s="194"/>
    </row>
    <row r="97" spans="4:5" x14ac:dyDescent="0.25">
      <c r="D97" s="194"/>
      <c r="E97" s="194"/>
    </row>
    <row r="98" spans="4:5" x14ac:dyDescent="0.25">
      <c r="D98" s="194"/>
      <c r="E98" s="194"/>
    </row>
    <row r="99" spans="4:5" x14ac:dyDescent="0.25">
      <c r="D99" s="194"/>
      <c r="E99" s="194"/>
    </row>
    <row r="100" spans="4:5" x14ac:dyDescent="0.25">
      <c r="D100" s="194"/>
      <c r="E100" s="194"/>
    </row>
    <row r="101" spans="4:5" x14ac:dyDescent="0.25">
      <c r="D101" s="194"/>
      <c r="E101" s="194"/>
    </row>
    <row r="102" spans="4:5" x14ac:dyDescent="0.25">
      <c r="D102" s="194"/>
      <c r="E102" s="194"/>
    </row>
    <row r="103" spans="4:5" x14ac:dyDescent="0.25">
      <c r="D103" s="194"/>
      <c r="E103" s="194"/>
    </row>
    <row r="104" spans="4:5" x14ac:dyDescent="0.25">
      <c r="D104" s="194"/>
      <c r="E104" s="194"/>
    </row>
    <row r="105" spans="4:5" x14ac:dyDescent="0.25">
      <c r="D105" s="194"/>
      <c r="E105" s="194"/>
    </row>
    <row r="106" spans="4:5" x14ac:dyDescent="0.25">
      <c r="D106" s="194"/>
      <c r="E106" s="194"/>
    </row>
    <row r="107" spans="4:5" x14ac:dyDescent="0.25">
      <c r="D107" s="194"/>
      <c r="E107" s="194"/>
    </row>
    <row r="108" spans="4:5" x14ac:dyDescent="0.25">
      <c r="D108" s="194"/>
      <c r="E108" s="194"/>
    </row>
    <row r="109" spans="4:5" x14ac:dyDescent="0.25">
      <c r="D109" s="194"/>
      <c r="E109" s="194"/>
    </row>
    <row r="110" spans="4:5" x14ac:dyDescent="0.25">
      <c r="D110" s="194"/>
      <c r="E110" s="194"/>
    </row>
    <row r="111" spans="4:5" x14ac:dyDescent="0.25">
      <c r="D111" s="193"/>
      <c r="E111" s="194"/>
    </row>
    <row r="112" spans="4:5" x14ac:dyDescent="0.25">
      <c r="D112" s="193"/>
      <c r="E112" s="193"/>
    </row>
    <row r="113" spans="4:5" x14ac:dyDescent="0.25">
      <c r="D113" s="193"/>
      <c r="E113" s="193"/>
    </row>
    <row r="114" spans="4:5" x14ac:dyDescent="0.25">
      <c r="D114" s="193"/>
      <c r="E114" s="193"/>
    </row>
    <row r="115" spans="4:5" x14ac:dyDescent="0.25">
      <c r="D115" s="193"/>
    </row>
    <row r="116" spans="4:5" x14ac:dyDescent="0.25">
      <c r="D116" s="193"/>
    </row>
    <row r="117" spans="4:5" x14ac:dyDescent="0.25">
      <c r="D117" s="193"/>
    </row>
    <row r="118" spans="4:5" x14ac:dyDescent="0.25">
      <c r="D118" s="193"/>
    </row>
  </sheetData>
  <mergeCells count="28">
    <mergeCell ref="D2:AA2"/>
    <mergeCell ref="D3:AA3"/>
    <mergeCell ref="D4:AA4"/>
    <mergeCell ref="D29:AA29"/>
    <mergeCell ref="D30:AA30"/>
    <mergeCell ref="D31:AA31"/>
    <mergeCell ref="AV35:AY35"/>
    <mergeCell ref="D35:G35"/>
    <mergeCell ref="H35:K35"/>
    <mergeCell ref="L35:O35"/>
    <mergeCell ref="P35:S35"/>
    <mergeCell ref="T35:W35"/>
    <mergeCell ref="X35:AA35"/>
    <mergeCell ref="AB35:AE35"/>
    <mergeCell ref="AF35:AI35"/>
    <mergeCell ref="AJ35:AM35"/>
    <mergeCell ref="AN35:AQ35"/>
    <mergeCell ref="AR35:AU35"/>
    <mergeCell ref="D32:AA32"/>
    <mergeCell ref="BX35:CA35"/>
    <mergeCell ref="CB35:CE35"/>
    <mergeCell ref="CF35:CI35"/>
    <mergeCell ref="AZ35:BC35"/>
    <mergeCell ref="BD35:BG35"/>
    <mergeCell ref="BH35:BK35"/>
    <mergeCell ref="BL35:BO35"/>
    <mergeCell ref="BP35:BS35"/>
    <mergeCell ref="BT35:BW35"/>
  </mergeCells>
  <pageMargins left="0.74803149606299213" right="0.74803149606299213" top="0.98425196850393704" bottom="0.98425196850393704" header="0.51181102362204722" footer="0.51181102362204722"/>
  <pageSetup paperSize="9" scale="5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Y45"/>
  <sheetViews>
    <sheetView showGridLines="0" view="pageBreakPreview" zoomScaleNormal="100" zoomScaleSheetLayoutView="100" workbookViewId="0">
      <selection activeCell="AA23" sqref="AA23"/>
    </sheetView>
  </sheetViews>
  <sheetFormatPr defaultColWidth="9.140625" defaultRowHeight="15" x14ac:dyDescent="0.25"/>
  <cols>
    <col min="1" max="1" width="3.7109375" style="2897" customWidth="1"/>
    <col min="2" max="2" width="14.42578125" style="2898" customWidth="1"/>
    <col min="3" max="3" width="3.7109375" style="2898" customWidth="1"/>
    <col min="4" max="4" width="20.140625" style="2843" customWidth="1"/>
    <col min="5" max="5" width="6.7109375" style="2843" customWidth="1"/>
    <col min="6" max="23" width="7.7109375" style="2843" customWidth="1"/>
    <col min="24" max="30" width="9.140625" style="2843"/>
    <col min="31" max="51" width="9.5703125" style="2843" bestFit="1" customWidth="1"/>
    <col min="52" max="16384" width="9.140625" style="2843"/>
  </cols>
  <sheetData>
    <row r="1" spans="1:51" x14ac:dyDescent="0.25">
      <c r="A1" s="2839"/>
      <c r="B1" s="2840"/>
      <c r="C1" s="2840"/>
      <c r="D1" s="2841"/>
      <c r="E1" s="2841"/>
      <c r="F1" s="2841"/>
      <c r="G1" s="2841"/>
      <c r="H1" s="2841"/>
      <c r="I1" s="2841"/>
      <c r="J1" s="2841"/>
      <c r="K1" s="2841"/>
      <c r="L1" s="2841"/>
      <c r="M1" s="2841"/>
      <c r="N1" s="2841"/>
      <c r="O1" s="2841"/>
      <c r="P1" s="2841"/>
      <c r="Q1" s="2841"/>
      <c r="R1" s="2841"/>
      <c r="S1" s="2841"/>
      <c r="T1" s="2841"/>
      <c r="U1" s="2841"/>
      <c r="V1" s="2842"/>
      <c r="W1" s="2842"/>
    </row>
    <row r="2" spans="1:51" ht="14.45" customHeight="1" x14ac:dyDescent="0.25">
      <c r="A2" s="2839">
        <v>1</v>
      </c>
      <c r="B2" s="2839" t="s">
        <v>24</v>
      </c>
      <c r="C2" s="2839">
        <f>1+'Literacy rate '!C2</f>
        <v>49</v>
      </c>
      <c r="D2" s="3840" t="s">
        <v>1044</v>
      </c>
      <c r="E2" s="3841"/>
      <c r="F2" s="3841"/>
      <c r="G2" s="3841"/>
      <c r="H2" s="3841"/>
      <c r="I2" s="3841"/>
      <c r="J2" s="3841"/>
      <c r="K2" s="3841"/>
      <c r="L2" s="3841"/>
      <c r="M2" s="3841"/>
      <c r="N2" s="3841"/>
      <c r="O2" s="3841"/>
      <c r="P2" s="3841"/>
      <c r="Q2" s="3841"/>
      <c r="R2" s="3841"/>
      <c r="S2" s="3841"/>
      <c r="T2" s="3841"/>
      <c r="U2" s="3841"/>
      <c r="V2" s="3841"/>
      <c r="W2" s="3841"/>
      <c r="X2" s="3841"/>
      <c r="Y2" s="3841"/>
      <c r="Z2" s="3842"/>
    </row>
    <row r="3" spans="1:51" ht="15" customHeight="1" x14ac:dyDescent="0.25">
      <c r="A3" s="2839">
        <v>2</v>
      </c>
      <c r="B3" s="2839" t="s">
        <v>26</v>
      </c>
      <c r="C3" s="2839"/>
      <c r="D3" s="3843" t="s">
        <v>197</v>
      </c>
      <c r="E3" s="3844"/>
      <c r="F3" s="3844"/>
      <c r="G3" s="3844"/>
      <c r="H3" s="3844"/>
      <c r="I3" s="3844"/>
      <c r="J3" s="3844"/>
      <c r="K3" s="3844"/>
      <c r="L3" s="3844"/>
      <c r="M3" s="3844"/>
      <c r="N3" s="3844"/>
      <c r="O3" s="3844"/>
      <c r="P3" s="3844"/>
      <c r="Q3" s="3844"/>
      <c r="R3" s="3844"/>
      <c r="S3" s="3844"/>
      <c r="T3" s="3844"/>
      <c r="U3" s="3844"/>
      <c r="V3" s="3844"/>
      <c r="W3" s="3844"/>
      <c r="X3" s="3844"/>
      <c r="Y3" s="3844"/>
      <c r="Z3" s="3845"/>
    </row>
    <row r="4" spans="1:51" ht="12.75" customHeight="1" x14ac:dyDescent="0.25">
      <c r="A4" s="2839">
        <v>3</v>
      </c>
      <c r="B4" s="2839" t="s">
        <v>28</v>
      </c>
      <c r="C4" s="2839"/>
      <c r="D4" s="3843" t="s">
        <v>1043</v>
      </c>
      <c r="E4" s="3844"/>
      <c r="F4" s="3844"/>
      <c r="G4" s="3844"/>
      <c r="H4" s="3844"/>
      <c r="I4" s="3844"/>
      <c r="J4" s="3844"/>
      <c r="K4" s="3844"/>
      <c r="L4" s="3844"/>
      <c r="M4" s="3844"/>
      <c r="N4" s="3844"/>
      <c r="O4" s="3844"/>
      <c r="P4" s="3844"/>
      <c r="Q4" s="3844"/>
      <c r="R4" s="3844"/>
      <c r="S4" s="3844"/>
      <c r="T4" s="3844"/>
      <c r="U4" s="3844"/>
      <c r="V4" s="3844"/>
      <c r="W4" s="3844"/>
      <c r="X4" s="3844"/>
      <c r="Y4" s="3844"/>
      <c r="Z4" s="3845"/>
    </row>
    <row r="5" spans="1:51" ht="12.75" customHeight="1" x14ac:dyDescent="0.25">
      <c r="A5" s="2839"/>
      <c r="B5" s="2839"/>
      <c r="C5" s="2839"/>
      <c r="D5" s="2844"/>
      <c r="E5" s="2844"/>
      <c r="F5" s="2844"/>
      <c r="G5" s="2844"/>
      <c r="H5" s="2844"/>
      <c r="I5" s="2844"/>
      <c r="J5" s="2844"/>
      <c r="K5" s="2844"/>
      <c r="L5" s="2844"/>
      <c r="M5" s="2844"/>
      <c r="N5" s="2844"/>
      <c r="O5" s="2844"/>
      <c r="P5" s="2844"/>
      <c r="Q5" s="2844"/>
      <c r="R5" s="2844"/>
      <c r="S5" s="2844"/>
      <c r="T5" s="2844"/>
      <c r="U5" s="2844"/>
      <c r="V5" s="2844"/>
      <c r="W5" s="2844"/>
      <c r="X5" s="2844"/>
      <c r="Y5" s="2844"/>
      <c r="Z5" s="2844"/>
    </row>
    <row r="6" spans="1:51" x14ac:dyDescent="0.25">
      <c r="A6" s="2839">
        <v>4</v>
      </c>
      <c r="B6" s="2839" t="s">
        <v>1</v>
      </c>
      <c r="C6" s="2839"/>
      <c r="D6" s="2845"/>
      <c r="E6" s="2845"/>
      <c r="F6" s="2845"/>
      <c r="G6" s="2845"/>
      <c r="H6" s="2845"/>
      <c r="I6" s="2845"/>
      <c r="J6" s="2845"/>
      <c r="K6" s="2845"/>
      <c r="L6" s="2845"/>
      <c r="M6" s="2845"/>
      <c r="N6" s="2845"/>
      <c r="O6" s="2845"/>
      <c r="P6" s="2845"/>
      <c r="Q6" s="2845"/>
      <c r="R6" s="2845"/>
      <c r="S6" s="2845"/>
      <c r="T6" s="2846"/>
      <c r="U6" s="2846"/>
      <c r="V6" s="2847"/>
      <c r="W6" s="2847"/>
    </row>
    <row r="7" spans="1:51" x14ac:dyDescent="0.25">
      <c r="A7" s="2839"/>
      <c r="B7" s="2840"/>
      <c r="C7" s="2840"/>
      <c r="D7" s="2848" t="s">
        <v>103</v>
      </c>
      <c r="E7" s="2848"/>
      <c r="F7" s="2848" t="s">
        <v>893</v>
      </c>
      <c r="G7" s="2848"/>
      <c r="H7" s="2848"/>
      <c r="I7" s="2848"/>
      <c r="J7" s="2848"/>
      <c r="K7" s="2848"/>
      <c r="L7" s="2848"/>
      <c r="M7" s="2848"/>
      <c r="N7" s="2849"/>
      <c r="O7" s="2849"/>
      <c r="P7" s="2849"/>
      <c r="Q7" s="2849"/>
      <c r="R7" s="2849"/>
      <c r="S7" s="2849"/>
      <c r="T7" s="2849"/>
      <c r="U7" s="2849"/>
      <c r="V7" s="2849"/>
      <c r="W7" s="2849"/>
      <c r="AC7" s="2843" t="s">
        <v>103</v>
      </c>
      <c r="AE7" s="2843" t="s">
        <v>893</v>
      </c>
    </row>
    <row r="8" spans="1:51" x14ac:dyDescent="0.25">
      <c r="A8" s="2839"/>
      <c r="B8" s="2840"/>
      <c r="C8" s="2840"/>
      <c r="D8" s="2850"/>
      <c r="E8" s="2850"/>
      <c r="F8" s="2851">
        <v>1994</v>
      </c>
      <c r="G8" s="2851">
        <v>1995</v>
      </c>
      <c r="H8" s="2851">
        <v>1996</v>
      </c>
      <c r="I8" s="2851">
        <v>1997</v>
      </c>
      <c r="J8" s="2851">
        <v>1998</v>
      </c>
      <c r="K8" s="2851">
        <v>1999</v>
      </c>
      <c r="L8" s="2851">
        <v>2000</v>
      </c>
      <c r="M8" s="2851">
        <v>2001</v>
      </c>
      <c r="N8" s="2851">
        <v>2002</v>
      </c>
      <c r="O8" s="2851">
        <v>2003</v>
      </c>
      <c r="P8" s="2851">
        <v>2004</v>
      </c>
      <c r="Q8" s="2851">
        <v>2005</v>
      </c>
      <c r="R8" s="2851">
        <v>2006</v>
      </c>
      <c r="S8" s="2851">
        <v>2007</v>
      </c>
      <c r="T8" s="2851">
        <v>2008</v>
      </c>
      <c r="U8" s="2851">
        <v>2009</v>
      </c>
      <c r="V8" s="2851">
        <v>2010</v>
      </c>
      <c r="W8" s="2851">
        <v>2011</v>
      </c>
      <c r="X8" s="2852">
        <v>2012</v>
      </c>
      <c r="Y8" s="2852">
        <v>2013</v>
      </c>
      <c r="Z8" s="2899">
        <v>2014</v>
      </c>
      <c r="AE8" s="2843">
        <v>1994</v>
      </c>
      <c r="AF8" s="2843">
        <v>1995</v>
      </c>
      <c r="AG8" s="2843">
        <v>1996</v>
      </c>
      <c r="AH8" s="2843">
        <v>1997</v>
      </c>
      <c r="AI8" s="2843">
        <v>1998</v>
      </c>
      <c r="AJ8" s="2843">
        <v>1999</v>
      </c>
      <c r="AK8" s="2843">
        <v>2000</v>
      </c>
      <c r="AL8" s="2843">
        <v>2001</v>
      </c>
      <c r="AM8" s="2843">
        <v>2002</v>
      </c>
      <c r="AN8" s="2843">
        <v>2003</v>
      </c>
      <c r="AO8" s="2843">
        <v>2004</v>
      </c>
      <c r="AP8" s="2843">
        <v>2005</v>
      </c>
      <c r="AQ8" s="2843">
        <v>2006</v>
      </c>
      <c r="AR8" s="2843">
        <v>2007</v>
      </c>
      <c r="AS8" s="2843">
        <v>2008</v>
      </c>
      <c r="AT8" s="2843">
        <v>2009</v>
      </c>
      <c r="AU8" s="2843">
        <v>2010</v>
      </c>
      <c r="AV8" s="2843">
        <v>2011</v>
      </c>
      <c r="AW8" s="2843">
        <v>2012</v>
      </c>
      <c r="AX8" s="2843">
        <v>2013</v>
      </c>
      <c r="AY8" s="2843">
        <v>2014</v>
      </c>
    </row>
    <row r="9" spans="1:51" x14ac:dyDescent="0.25">
      <c r="A9" s="2839"/>
      <c r="B9" s="2840"/>
      <c r="C9" s="2853">
        <v>1</v>
      </c>
      <c r="D9" s="2854" t="s">
        <v>1041</v>
      </c>
      <c r="E9" s="2855"/>
      <c r="F9" s="2856">
        <v>495356</v>
      </c>
      <c r="G9" s="2856">
        <v>557383</v>
      </c>
      <c r="H9" s="2856">
        <v>574771</v>
      </c>
      <c r="I9" s="2856">
        <v>569814</v>
      </c>
      <c r="J9" s="2856">
        <v>559309</v>
      </c>
      <c r="K9" s="2856">
        <v>553800</v>
      </c>
      <c r="L9" s="2856">
        <v>578134</v>
      </c>
      <c r="M9" s="2856">
        <v>627277</v>
      </c>
      <c r="N9" s="2856">
        <v>667182</v>
      </c>
      <c r="O9" s="2856">
        <v>705255</v>
      </c>
      <c r="P9" s="2856">
        <v>744478</v>
      </c>
      <c r="Q9" s="2856">
        <v>735073</v>
      </c>
      <c r="R9" s="2856">
        <v>741380</v>
      </c>
      <c r="S9" s="2856" t="s">
        <v>1042</v>
      </c>
      <c r="T9" s="2856">
        <v>799490</v>
      </c>
      <c r="U9" s="2856">
        <v>837776</v>
      </c>
      <c r="V9" s="2856">
        <v>892936</v>
      </c>
      <c r="W9" s="2856">
        <v>938200</v>
      </c>
      <c r="X9" s="2856">
        <v>953373</v>
      </c>
      <c r="Y9" s="2856">
        <v>983698</v>
      </c>
      <c r="Z9" s="2900">
        <v>969154</v>
      </c>
      <c r="AC9" s="2843" t="s">
        <v>1041</v>
      </c>
      <c r="AE9" s="2857">
        <v>495356</v>
      </c>
      <c r="AF9" s="2857">
        <v>557383</v>
      </c>
      <c r="AG9" s="2857">
        <v>574771</v>
      </c>
      <c r="AH9" s="2857">
        <v>569814</v>
      </c>
      <c r="AI9" s="2857">
        <v>559309</v>
      </c>
      <c r="AJ9" s="2857">
        <v>553800</v>
      </c>
      <c r="AK9" s="2857">
        <v>578134</v>
      </c>
      <c r="AL9" s="2857">
        <v>627277</v>
      </c>
      <c r="AM9" s="2857">
        <v>667182</v>
      </c>
      <c r="AN9" s="2857">
        <v>705255</v>
      </c>
      <c r="AO9" s="2857">
        <v>744478</v>
      </c>
      <c r="AP9" s="2857">
        <v>735073</v>
      </c>
      <c r="AQ9" s="2857">
        <v>741380</v>
      </c>
      <c r="AR9" s="2857">
        <v>760889</v>
      </c>
      <c r="AS9" s="2857">
        <v>799490</v>
      </c>
      <c r="AT9" s="2857">
        <v>837779</v>
      </c>
      <c r="AU9" s="2857">
        <v>892936</v>
      </c>
      <c r="AV9" s="2857">
        <v>937454</v>
      </c>
      <c r="AW9" s="2857">
        <v>953373</v>
      </c>
      <c r="AX9" s="2857">
        <v>983698</v>
      </c>
      <c r="AY9" s="2857">
        <v>969154</v>
      </c>
    </row>
    <row r="10" spans="1:51" x14ac:dyDescent="0.25">
      <c r="A10" s="2839"/>
      <c r="B10" s="2840"/>
      <c r="C10" s="2853"/>
      <c r="D10" s="2858" t="s">
        <v>11</v>
      </c>
      <c r="E10" s="2859"/>
      <c r="F10" s="2860">
        <v>224230</v>
      </c>
      <c r="G10" s="2860">
        <v>256349</v>
      </c>
      <c r="H10" s="2860">
        <v>274610</v>
      </c>
      <c r="I10" s="2860">
        <v>282147</v>
      </c>
      <c r="J10" s="2860">
        <v>284693</v>
      </c>
      <c r="K10" s="2860">
        <v>282332</v>
      </c>
      <c r="L10" s="2860">
        <v>303794</v>
      </c>
      <c r="M10" s="2860">
        <v>336541</v>
      </c>
      <c r="N10" s="2860">
        <v>359250</v>
      </c>
      <c r="O10" s="2860">
        <v>378960</v>
      </c>
      <c r="P10" s="2860">
        <v>403454</v>
      </c>
      <c r="Q10" s="2860">
        <v>401042</v>
      </c>
      <c r="R10" s="2861">
        <v>408718</v>
      </c>
      <c r="S10" s="2861" t="s">
        <v>1040</v>
      </c>
      <c r="T10" s="2861">
        <v>450651</v>
      </c>
      <c r="U10" s="2861">
        <v>478175</v>
      </c>
      <c r="V10" s="2861">
        <v>512573</v>
      </c>
      <c r="W10" s="2861">
        <v>542704</v>
      </c>
      <c r="X10" s="2861">
        <v>554840</v>
      </c>
      <c r="Y10" s="2861">
        <v>573698</v>
      </c>
      <c r="Z10" s="2901">
        <v>564784</v>
      </c>
      <c r="AC10" s="2843" t="s">
        <v>1037</v>
      </c>
      <c r="AE10" s="2857">
        <v>74137</v>
      </c>
      <c r="AF10" s="2857">
        <v>81684</v>
      </c>
      <c r="AG10" s="2857">
        <v>86215</v>
      </c>
      <c r="AH10" s="2857">
        <v>88221</v>
      </c>
      <c r="AI10" s="2857">
        <v>86625</v>
      </c>
      <c r="AJ10" s="2857">
        <v>92499</v>
      </c>
      <c r="AK10" s="2857">
        <v>92819</v>
      </c>
      <c r="AL10" s="2857">
        <v>95940</v>
      </c>
      <c r="AM10" s="2857">
        <v>101047</v>
      </c>
      <c r="AN10" s="2857">
        <v>108263</v>
      </c>
      <c r="AO10" s="2857">
        <v>117240</v>
      </c>
      <c r="AP10" s="2857">
        <v>120385</v>
      </c>
      <c r="AQ10" s="2857">
        <v>124676</v>
      </c>
      <c r="AR10" s="2857">
        <v>126618</v>
      </c>
      <c r="AS10" s="2857">
        <v>133241</v>
      </c>
      <c r="AT10" s="2857">
        <v>144852</v>
      </c>
      <c r="AU10" s="2857">
        <v>153325</v>
      </c>
      <c r="AV10" s="2857">
        <v>160300</v>
      </c>
      <c r="AW10" s="2857">
        <v>165995</v>
      </c>
      <c r="AX10" s="2857">
        <v>180823</v>
      </c>
      <c r="AY10" s="2857">
        <v>185375</v>
      </c>
    </row>
    <row r="11" spans="1:51" x14ac:dyDescent="0.25">
      <c r="A11" s="2839"/>
      <c r="B11" s="2840"/>
      <c r="C11" s="2853"/>
      <c r="D11" s="2862" t="s">
        <v>10</v>
      </c>
      <c r="E11" s="2863"/>
      <c r="F11" s="2860">
        <v>271126</v>
      </c>
      <c r="G11" s="2860">
        <v>301034</v>
      </c>
      <c r="H11" s="2860">
        <v>300161</v>
      </c>
      <c r="I11" s="2860">
        <v>287667</v>
      </c>
      <c r="J11" s="2860">
        <v>274616</v>
      </c>
      <c r="K11" s="2860">
        <v>266460</v>
      </c>
      <c r="L11" s="2860">
        <v>274159</v>
      </c>
      <c r="M11" s="2860">
        <v>290539</v>
      </c>
      <c r="N11" s="2860">
        <v>307922</v>
      </c>
      <c r="O11" s="2860">
        <v>326294</v>
      </c>
      <c r="P11" s="2860">
        <v>341019</v>
      </c>
      <c r="Q11" s="2860">
        <v>334030</v>
      </c>
      <c r="R11" s="2864">
        <v>332662</v>
      </c>
      <c r="S11" s="2864" t="s">
        <v>1039</v>
      </c>
      <c r="T11" s="2864">
        <v>348814</v>
      </c>
      <c r="U11" s="2864">
        <v>359580</v>
      </c>
      <c r="V11" s="2864">
        <v>380350</v>
      </c>
      <c r="W11" s="2864">
        <v>394664</v>
      </c>
      <c r="X11" s="2864">
        <v>398368</v>
      </c>
      <c r="Y11" s="2864">
        <v>409988</v>
      </c>
      <c r="Z11" s="2902">
        <v>404365</v>
      </c>
      <c r="AC11" s="2843" t="s">
        <v>1032</v>
      </c>
      <c r="AE11" s="2857">
        <v>20598</v>
      </c>
      <c r="AF11" s="2857">
        <v>20456</v>
      </c>
      <c r="AG11" s="2857">
        <v>21682</v>
      </c>
      <c r="AH11" s="2857">
        <v>22904</v>
      </c>
      <c r="AI11" s="2857">
        <v>22506</v>
      </c>
      <c r="AJ11" s="2857">
        <v>23269</v>
      </c>
      <c r="AK11" s="2857">
        <v>23679</v>
      </c>
      <c r="AL11" s="2857">
        <v>24907</v>
      </c>
      <c r="AM11" s="2857">
        <v>27240</v>
      </c>
      <c r="AN11" s="2857">
        <v>29495</v>
      </c>
      <c r="AO11" s="2857">
        <v>31436</v>
      </c>
      <c r="AP11" s="2857">
        <v>33506</v>
      </c>
      <c r="AQ11" s="2857">
        <v>35562</v>
      </c>
      <c r="AR11" s="2857">
        <v>36429</v>
      </c>
      <c r="AS11" s="2857">
        <v>38819</v>
      </c>
      <c r="AT11" s="2857">
        <v>40973</v>
      </c>
      <c r="AU11" s="2857">
        <v>42759.582999999999</v>
      </c>
      <c r="AV11" s="2857">
        <v>45841</v>
      </c>
      <c r="AW11" s="2857">
        <v>48848.75</v>
      </c>
      <c r="AX11" s="2857">
        <v>53176</v>
      </c>
      <c r="AY11" s="2857">
        <v>55574</v>
      </c>
    </row>
    <row r="12" spans="1:51" x14ac:dyDescent="0.25">
      <c r="A12" s="2839"/>
      <c r="B12" s="2840"/>
      <c r="C12" s="2853"/>
      <c r="D12" s="2865" t="s">
        <v>1034</v>
      </c>
      <c r="E12" s="2866"/>
      <c r="F12" s="2867" t="s">
        <v>838</v>
      </c>
      <c r="G12" s="2867" t="s">
        <v>838</v>
      </c>
      <c r="H12" s="2867" t="s">
        <v>838</v>
      </c>
      <c r="I12" s="2867" t="s">
        <v>838</v>
      </c>
      <c r="J12" s="2867" t="s">
        <v>838</v>
      </c>
      <c r="K12" s="2867">
        <v>5008</v>
      </c>
      <c r="L12" s="2867">
        <v>181</v>
      </c>
      <c r="M12" s="2867">
        <v>197</v>
      </c>
      <c r="N12" s="2867">
        <v>10</v>
      </c>
      <c r="O12" s="2867">
        <v>1</v>
      </c>
      <c r="P12" s="2867">
        <v>5</v>
      </c>
      <c r="Q12" s="2867">
        <v>1</v>
      </c>
      <c r="R12" s="2867"/>
      <c r="S12" s="2867" t="s">
        <v>1038</v>
      </c>
      <c r="T12" s="2867">
        <v>25</v>
      </c>
      <c r="U12" s="2867">
        <v>24</v>
      </c>
      <c r="V12" s="2867">
        <v>13</v>
      </c>
      <c r="W12" s="2867">
        <v>87</v>
      </c>
      <c r="X12" s="2867">
        <v>165</v>
      </c>
      <c r="Y12" s="2867">
        <v>12</v>
      </c>
      <c r="Z12" s="2903">
        <v>5</v>
      </c>
      <c r="AC12" s="2843" t="s">
        <v>1028</v>
      </c>
      <c r="AE12" s="2843">
        <v>27.8</v>
      </c>
      <c r="AF12" s="2843">
        <v>25</v>
      </c>
      <c r="AG12" s="2843">
        <v>25.2</v>
      </c>
      <c r="AH12" s="2843">
        <v>26</v>
      </c>
      <c r="AI12" s="2843">
        <v>26</v>
      </c>
      <c r="AJ12" s="2843">
        <v>25.2</v>
      </c>
      <c r="AK12" s="2843">
        <v>25.5</v>
      </c>
      <c r="AL12" s="2843">
        <v>26</v>
      </c>
      <c r="AM12" s="2843">
        <v>27</v>
      </c>
      <c r="AN12" s="2843">
        <v>27.2</v>
      </c>
      <c r="AO12" s="2843">
        <v>26.8</v>
      </c>
      <c r="AP12" s="2843">
        <v>27.8</v>
      </c>
      <c r="AQ12" s="2843">
        <v>28.5</v>
      </c>
      <c r="AR12" s="2843">
        <v>28.8</v>
      </c>
      <c r="AS12" s="2843">
        <v>29.1</v>
      </c>
      <c r="AT12" s="2843">
        <v>28.3</v>
      </c>
      <c r="AU12" s="2843">
        <v>27.9</v>
      </c>
      <c r="AV12" s="2843">
        <v>28.597005614472863</v>
      </c>
      <c r="AW12" s="2843">
        <v>29.427844212175064</v>
      </c>
      <c r="AX12" s="2843">
        <v>29.407763392931209</v>
      </c>
      <c r="AY12" s="2843">
        <v>29.979231287929871</v>
      </c>
    </row>
    <row r="13" spans="1:51" x14ac:dyDescent="0.25">
      <c r="A13" s="2839"/>
      <c r="B13" s="2840"/>
      <c r="C13" s="2853">
        <v>2</v>
      </c>
      <c r="D13" s="2868" t="s">
        <v>1037</v>
      </c>
      <c r="E13" s="2869"/>
      <c r="F13" s="2870">
        <v>74137</v>
      </c>
      <c r="G13" s="2870">
        <v>81684</v>
      </c>
      <c r="H13" s="2870">
        <v>86215</v>
      </c>
      <c r="I13" s="2870">
        <v>88221</v>
      </c>
      <c r="J13" s="2870">
        <v>86625</v>
      </c>
      <c r="K13" s="2870">
        <v>92499</v>
      </c>
      <c r="L13" s="2870">
        <v>92819</v>
      </c>
      <c r="M13" s="2870">
        <v>95940</v>
      </c>
      <c r="N13" s="2870">
        <v>101047</v>
      </c>
      <c r="O13" s="2870">
        <v>108263</v>
      </c>
      <c r="P13" s="2870">
        <v>117240</v>
      </c>
      <c r="Q13" s="2870">
        <v>120385</v>
      </c>
      <c r="R13" s="2870">
        <v>124615</v>
      </c>
      <c r="S13" s="2870">
        <v>126617</v>
      </c>
      <c r="T13" s="2870">
        <v>133757</v>
      </c>
      <c r="U13" s="2870">
        <v>145426</v>
      </c>
      <c r="V13" s="2870">
        <v>153325</v>
      </c>
      <c r="W13" s="2870">
        <v>160300</v>
      </c>
      <c r="X13" s="2870">
        <v>165995</v>
      </c>
      <c r="Y13" s="2870">
        <v>180822</v>
      </c>
      <c r="Z13" s="2904">
        <v>185375</v>
      </c>
    </row>
    <row r="14" spans="1:51" x14ac:dyDescent="0.25">
      <c r="A14" s="2839"/>
      <c r="B14" s="2840"/>
      <c r="C14" s="2853"/>
      <c r="D14" s="2858" t="s">
        <v>11</v>
      </c>
      <c r="E14" s="2859"/>
      <c r="F14" s="2860">
        <v>36195</v>
      </c>
      <c r="G14" s="2860">
        <v>41194</v>
      </c>
      <c r="H14" s="2860">
        <v>44721</v>
      </c>
      <c r="I14" s="2860">
        <v>46395</v>
      </c>
      <c r="J14" s="2860">
        <v>47390</v>
      </c>
      <c r="K14" s="2860">
        <v>49653</v>
      </c>
      <c r="L14" s="2860">
        <v>52389</v>
      </c>
      <c r="M14" s="2860">
        <v>54978</v>
      </c>
      <c r="N14" s="2860">
        <v>58561</v>
      </c>
      <c r="O14" s="2860">
        <v>62397</v>
      </c>
      <c r="P14" s="2860">
        <v>68157</v>
      </c>
      <c r="Q14" s="2860">
        <v>70845</v>
      </c>
      <c r="R14" s="2864">
        <v>73959</v>
      </c>
      <c r="S14" s="2864" t="s">
        <v>1036</v>
      </c>
      <c r="T14" s="2864">
        <v>79320</v>
      </c>
      <c r="U14" s="2864">
        <v>88073</v>
      </c>
      <c r="V14" s="2864">
        <v>93062</v>
      </c>
      <c r="W14" s="2864">
        <v>96816</v>
      </c>
      <c r="X14" s="2864">
        <v>99945</v>
      </c>
      <c r="Y14" s="2864">
        <v>109979</v>
      </c>
      <c r="Z14" s="2902">
        <v>112629</v>
      </c>
    </row>
    <row r="15" spans="1:51" x14ac:dyDescent="0.25">
      <c r="A15" s="2839"/>
      <c r="B15" s="2840"/>
      <c r="C15" s="2853"/>
      <c r="D15" s="2862" t="s">
        <v>10</v>
      </c>
      <c r="E15" s="2863"/>
      <c r="F15" s="2860">
        <v>37942</v>
      </c>
      <c r="G15" s="2860">
        <v>40490</v>
      </c>
      <c r="H15" s="2860">
        <v>41493</v>
      </c>
      <c r="I15" s="2860">
        <v>41827</v>
      </c>
      <c r="J15" s="2860">
        <v>39235</v>
      </c>
      <c r="K15" s="2860">
        <v>39913</v>
      </c>
      <c r="L15" s="2860">
        <v>40296</v>
      </c>
      <c r="M15" s="2860">
        <v>40955</v>
      </c>
      <c r="N15" s="2860">
        <v>42485</v>
      </c>
      <c r="O15" s="2860">
        <v>45866</v>
      </c>
      <c r="P15" s="2860">
        <v>49083</v>
      </c>
      <c r="Q15" s="2860">
        <v>49540</v>
      </c>
      <c r="R15" s="2864">
        <v>50717</v>
      </c>
      <c r="S15" s="2864" t="s">
        <v>1035</v>
      </c>
      <c r="T15" s="2864">
        <v>53921</v>
      </c>
      <c r="U15" s="2864">
        <v>56778</v>
      </c>
      <c r="V15" s="2864">
        <v>60260</v>
      </c>
      <c r="W15" s="2864">
        <v>63478</v>
      </c>
      <c r="X15" s="2864">
        <v>66042</v>
      </c>
      <c r="Y15" s="2864">
        <v>70844</v>
      </c>
      <c r="Z15" s="2902">
        <v>72746</v>
      </c>
    </row>
    <row r="16" spans="1:51" x14ac:dyDescent="0.25">
      <c r="A16" s="2839"/>
      <c r="B16" s="2840"/>
      <c r="C16" s="2853"/>
      <c r="D16" s="2865" t="s">
        <v>1034</v>
      </c>
      <c r="E16" s="2866"/>
      <c r="F16" s="2867"/>
      <c r="G16" s="2867"/>
      <c r="H16" s="2867"/>
      <c r="I16" s="2867"/>
      <c r="J16" s="2867"/>
      <c r="K16" s="2867">
        <v>2933</v>
      </c>
      <c r="L16" s="2867">
        <v>134</v>
      </c>
      <c r="M16" s="2867">
        <v>7</v>
      </c>
      <c r="N16" s="2867">
        <v>1</v>
      </c>
      <c r="O16" s="2867"/>
      <c r="P16" s="2867"/>
      <c r="Q16" s="2867"/>
      <c r="R16" s="2867"/>
      <c r="S16" s="2867"/>
      <c r="T16" s="2867"/>
      <c r="U16" s="2867">
        <v>1</v>
      </c>
      <c r="V16" s="2867"/>
      <c r="W16" s="2867">
        <v>6</v>
      </c>
      <c r="X16" s="2867">
        <v>8</v>
      </c>
      <c r="Y16" s="2867">
        <v>0</v>
      </c>
      <c r="Z16" s="2905">
        <v>0</v>
      </c>
      <c r="AR16" s="2871" t="s">
        <v>1033</v>
      </c>
    </row>
    <row r="17" spans="1:44" x14ac:dyDescent="0.25">
      <c r="A17" s="2839"/>
      <c r="B17" s="2840"/>
      <c r="C17" s="2853">
        <v>3</v>
      </c>
      <c r="D17" s="2872" t="s">
        <v>1032</v>
      </c>
      <c r="E17" s="2873"/>
      <c r="F17" s="2873">
        <v>20598</v>
      </c>
      <c r="G17" s="2873">
        <v>20456</v>
      </c>
      <c r="H17" s="2873">
        <v>21682</v>
      </c>
      <c r="I17" s="2873">
        <v>22904</v>
      </c>
      <c r="J17" s="2873">
        <v>22506</v>
      </c>
      <c r="K17" s="2873">
        <v>23269</v>
      </c>
      <c r="L17" s="2873">
        <v>24235</v>
      </c>
      <c r="M17" s="2873">
        <v>25087</v>
      </c>
      <c r="N17" s="2873">
        <v>27014</v>
      </c>
      <c r="O17" s="2873">
        <v>29695</v>
      </c>
      <c r="P17" s="2873">
        <v>31483</v>
      </c>
      <c r="Q17" s="2873">
        <v>33506</v>
      </c>
      <c r="R17" s="2873">
        <v>35542</v>
      </c>
      <c r="S17" s="2873">
        <v>36429</v>
      </c>
      <c r="T17" s="2873">
        <v>39306</v>
      </c>
      <c r="U17" s="2874">
        <v>41509</v>
      </c>
      <c r="V17" s="2875">
        <v>42759.582999999999</v>
      </c>
      <c r="W17" s="2875">
        <v>46101</v>
      </c>
      <c r="X17" s="2875">
        <v>48848.75</v>
      </c>
      <c r="Y17" s="2875">
        <v>53176</v>
      </c>
      <c r="Z17" s="2904">
        <v>55574</v>
      </c>
      <c r="AR17" s="2871" t="s">
        <v>1031</v>
      </c>
    </row>
    <row r="18" spans="1:44" x14ac:dyDescent="0.25">
      <c r="A18" s="2839"/>
      <c r="B18" s="2876"/>
      <c r="C18" s="2853">
        <v>4</v>
      </c>
      <c r="D18" s="2877" t="s">
        <v>1030</v>
      </c>
      <c r="E18" s="2878"/>
      <c r="F18" s="2879"/>
      <c r="G18" s="2879"/>
      <c r="H18" s="2879"/>
      <c r="I18" s="2879"/>
      <c r="J18" s="2879"/>
      <c r="K18" s="2879"/>
      <c r="L18" s="2879"/>
      <c r="M18" s="2879"/>
      <c r="N18" s="2879"/>
      <c r="O18" s="2879"/>
      <c r="P18" s="2879"/>
      <c r="Q18" s="2879"/>
      <c r="R18" s="2879"/>
      <c r="S18" s="2879"/>
      <c r="T18" s="2880"/>
      <c r="U18" s="2881">
        <v>8424</v>
      </c>
      <c r="V18" s="2881">
        <v>8792</v>
      </c>
      <c r="W18" s="2881">
        <v>9193</v>
      </c>
      <c r="X18" s="2881">
        <v>9974</v>
      </c>
      <c r="Y18" s="2881">
        <v>11441</v>
      </c>
      <c r="Z18" s="2906">
        <v>12058</v>
      </c>
      <c r="AR18" s="2871">
        <v>36429</v>
      </c>
    </row>
    <row r="19" spans="1:44" x14ac:dyDescent="0.25">
      <c r="A19" s="2843"/>
      <c r="B19" s="2843"/>
      <c r="C19" s="2853">
        <v>5</v>
      </c>
      <c r="D19" s="2882"/>
      <c r="E19" s="2882" t="s">
        <v>1029</v>
      </c>
      <c r="F19" s="2883"/>
      <c r="G19" s="2883"/>
      <c r="H19" s="2883"/>
      <c r="I19" s="2883"/>
      <c r="J19" s="2883"/>
      <c r="K19" s="2883"/>
      <c r="L19" s="2883"/>
      <c r="M19" s="2883"/>
      <c r="N19" s="2883"/>
      <c r="O19" s="2883"/>
      <c r="P19" s="2883"/>
      <c r="Q19" s="2883"/>
      <c r="R19" s="2883"/>
      <c r="S19" s="2883"/>
      <c r="T19" s="2884"/>
      <c r="U19" s="2885"/>
      <c r="V19" s="2885">
        <v>9773</v>
      </c>
      <c r="W19" s="2885">
        <v>10877</v>
      </c>
      <c r="X19" s="2885">
        <v>9387</v>
      </c>
      <c r="Y19" s="2885">
        <v>10000</v>
      </c>
      <c r="Z19" s="2908">
        <v>10100</v>
      </c>
    </row>
    <row r="20" spans="1:44" ht="12.75" customHeight="1" x14ac:dyDescent="0.25">
      <c r="A20" s="2839"/>
      <c r="B20" s="2840"/>
      <c r="C20" s="2853">
        <v>6</v>
      </c>
      <c r="D20" s="2886" t="s">
        <v>1028</v>
      </c>
      <c r="E20" s="2887"/>
      <c r="F20" s="2888">
        <v>27.8</v>
      </c>
      <c r="G20" s="2888">
        <v>25</v>
      </c>
      <c r="H20" s="2888">
        <v>25.2</v>
      </c>
      <c r="I20" s="2888">
        <v>26</v>
      </c>
      <c r="J20" s="2888">
        <v>26</v>
      </c>
      <c r="K20" s="2888">
        <v>25.2</v>
      </c>
      <c r="L20" s="2888">
        <v>25.5</v>
      </c>
      <c r="M20" s="2888">
        <v>26</v>
      </c>
      <c r="N20" s="2888">
        <v>27</v>
      </c>
      <c r="O20" s="2888">
        <v>27.2</v>
      </c>
      <c r="P20" s="2888">
        <v>26.8</v>
      </c>
      <c r="Q20" s="2888">
        <v>27.8</v>
      </c>
      <c r="R20" s="2888">
        <v>28.5</v>
      </c>
      <c r="S20" s="2888">
        <v>28.8</v>
      </c>
      <c r="T20" s="2888">
        <v>29.1</v>
      </c>
      <c r="U20" s="2888">
        <v>28.3</v>
      </c>
      <c r="V20" s="2888">
        <v>27.9</v>
      </c>
      <c r="W20" s="2888">
        <v>28.597005614472863</v>
      </c>
      <c r="X20" s="2888">
        <f>X17/X13*100</f>
        <v>29.427844212175064</v>
      </c>
      <c r="Y20" s="2888">
        <f>Y17/Y13*100</f>
        <v>29.407926026700292</v>
      </c>
      <c r="Z20" s="2907">
        <f>Z17/Z13*100</f>
        <v>29.979231287929871</v>
      </c>
    </row>
    <row r="21" spans="1:44" x14ac:dyDescent="0.25">
      <c r="A21" s="2839"/>
      <c r="B21" s="2839"/>
      <c r="C21" s="2839"/>
      <c r="D21" s="2889"/>
      <c r="E21" s="2889"/>
      <c r="F21" s="2890"/>
      <c r="G21" s="2890"/>
      <c r="H21" s="2890"/>
      <c r="I21" s="2890"/>
      <c r="J21" s="2890"/>
      <c r="K21" s="2890"/>
      <c r="L21" s="2890"/>
      <c r="M21" s="2890"/>
      <c r="N21" s="2890"/>
      <c r="O21" s="2890"/>
      <c r="P21" s="2890"/>
      <c r="Q21" s="2890"/>
      <c r="R21" s="2890"/>
      <c r="S21" s="2890"/>
      <c r="T21" s="2850"/>
      <c r="U21" s="2891"/>
      <c r="V21" s="2891"/>
      <c r="W21" s="2891"/>
    </row>
    <row r="22" spans="1:44" x14ac:dyDescent="0.25">
      <c r="A22" s="2839"/>
      <c r="B22" s="2839"/>
      <c r="C22" s="2839"/>
      <c r="D22" s="2889"/>
      <c r="E22" s="2889"/>
      <c r="F22" s="2890"/>
      <c r="G22" s="2890"/>
      <c r="H22" s="2890"/>
      <c r="I22" s="2890"/>
      <c r="J22" s="2890"/>
      <c r="K22" s="2890"/>
      <c r="L22" s="2890"/>
      <c r="M22" s="2890"/>
      <c r="N22" s="2890"/>
      <c r="O22" s="2890"/>
      <c r="P22" s="2890"/>
      <c r="Q22" s="2890"/>
      <c r="R22" s="2890"/>
      <c r="S22" s="2890"/>
      <c r="T22" s="2850"/>
      <c r="U22" s="2891"/>
      <c r="V22" s="2891"/>
      <c r="W22" s="2891"/>
    </row>
    <row r="23" spans="1:44" x14ac:dyDescent="0.25">
      <c r="A23" s="2839"/>
      <c r="B23" s="2839"/>
      <c r="C23" s="2839"/>
      <c r="D23" s="2889"/>
      <c r="E23" s="2889"/>
      <c r="F23" s="2890"/>
      <c r="G23" s="2890"/>
      <c r="H23" s="2890"/>
      <c r="I23" s="2890"/>
      <c r="J23" s="2890"/>
      <c r="K23" s="2890"/>
      <c r="L23" s="2890"/>
      <c r="M23" s="2890"/>
      <c r="N23" s="2890"/>
      <c r="O23" s="2890"/>
      <c r="P23" s="2890"/>
      <c r="Q23" s="2890"/>
      <c r="R23" s="2890"/>
      <c r="S23" s="2890"/>
      <c r="T23" s="2850"/>
      <c r="U23" s="2891"/>
      <c r="V23" s="2891"/>
      <c r="W23" s="2891"/>
    </row>
    <row r="24" spans="1:44" x14ac:dyDescent="0.25">
      <c r="A24" s="2839">
        <v>5</v>
      </c>
      <c r="B24" s="2839" t="s">
        <v>77</v>
      </c>
      <c r="C24" s="2840"/>
      <c r="D24" s="2841"/>
      <c r="E24" s="2841"/>
      <c r="F24" s="2892"/>
      <c r="G24" s="2892"/>
      <c r="H24" s="2892"/>
      <c r="I24" s="2892"/>
      <c r="J24" s="2892"/>
      <c r="K24" s="2892"/>
      <c r="L24" s="2892"/>
      <c r="M24" s="2892"/>
      <c r="N24" s="2892"/>
      <c r="O24" s="2892"/>
      <c r="P24" s="2892"/>
      <c r="Q24" s="2892"/>
      <c r="R24" s="2892"/>
      <c r="S24" s="2892"/>
      <c r="T24" s="2892"/>
      <c r="U24" s="2892"/>
      <c r="V24" s="2850"/>
      <c r="W24" s="2850"/>
    </row>
    <row r="25" spans="1:44" x14ac:dyDescent="0.25">
      <c r="A25" s="2839"/>
      <c r="B25" s="2840"/>
      <c r="C25" s="2840"/>
      <c r="D25" s="2841"/>
      <c r="E25" s="2841"/>
      <c r="F25" s="2892"/>
      <c r="G25" s="2892"/>
      <c r="H25" s="2892"/>
      <c r="I25" s="2892"/>
      <c r="J25" s="2892"/>
      <c r="K25" s="2892"/>
      <c r="L25" s="2892"/>
      <c r="M25" s="2892"/>
      <c r="N25" s="2892"/>
      <c r="O25" s="2892"/>
      <c r="P25" s="2892"/>
      <c r="Q25" s="2892"/>
      <c r="R25" s="2892"/>
      <c r="S25" s="2892"/>
      <c r="T25" s="2892"/>
      <c r="U25" s="2892"/>
      <c r="V25" s="2850"/>
      <c r="W25" s="2850"/>
    </row>
    <row r="26" spans="1:44" x14ac:dyDescent="0.25">
      <c r="A26" s="2839"/>
      <c r="B26" s="2840"/>
      <c r="C26" s="2840"/>
      <c r="D26" s="2841"/>
      <c r="E26" s="2841"/>
      <c r="F26" s="2892"/>
      <c r="G26" s="2892"/>
      <c r="H26" s="2892"/>
      <c r="I26" s="2892"/>
      <c r="J26" s="2892"/>
      <c r="K26" s="2892"/>
      <c r="L26" s="2892"/>
      <c r="M26" s="2892"/>
      <c r="N26" s="2892"/>
      <c r="O26" s="2892"/>
      <c r="P26" s="2892"/>
      <c r="Q26" s="2892"/>
      <c r="R26" s="2892"/>
      <c r="S26" s="2892"/>
      <c r="T26" s="2841"/>
      <c r="U26" s="2841"/>
      <c r="V26" s="2842"/>
      <c r="W26" s="2842"/>
    </row>
    <row r="27" spans="1:44" x14ac:dyDescent="0.25">
      <c r="A27" s="2839"/>
      <c r="B27" s="2840"/>
      <c r="C27" s="2840"/>
      <c r="D27" s="2841"/>
      <c r="E27" s="2841"/>
      <c r="F27" s="2892"/>
      <c r="G27" s="2892"/>
      <c r="H27" s="2892"/>
      <c r="I27" s="2892"/>
      <c r="J27" s="2892"/>
      <c r="K27" s="2892"/>
      <c r="L27" s="2892"/>
      <c r="M27" s="2892"/>
      <c r="N27" s="2841"/>
      <c r="O27" s="2893"/>
      <c r="P27" s="2894"/>
      <c r="Q27" s="2894"/>
      <c r="R27" s="2894"/>
      <c r="S27" s="2894"/>
      <c r="T27" s="2841"/>
      <c r="U27" s="2841"/>
      <c r="V27" s="2842"/>
      <c r="W27" s="2842"/>
    </row>
    <row r="28" spans="1:44" x14ac:dyDescent="0.25">
      <c r="A28" s="2839"/>
      <c r="B28" s="2840"/>
      <c r="C28" s="2840"/>
      <c r="D28" s="2841"/>
      <c r="E28" s="2841"/>
      <c r="F28" s="2892"/>
      <c r="G28" s="2892"/>
      <c r="H28" s="2892"/>
      <c r="I28" s="2892"/>
      <c r="J28" s="2892"/>
      <c r="K28" s="2892"/>
      <c r="L28" s="2892"/>
      <c r="M28" s="2892"/>
      <c r="N28" s="2841"/>
      <c r="O28" s="2894"/>
      <c r="P28" s="2894"/>
      <c r="Q28" s="2894"/>
      <c r="R28" s="2894"/>
      <c r="S28" s="2894"/>
      <c r="T28" s="2892"/>
      <c r="U28" s="2892"/>
      <c r="V28" s="2850"/>
      <c r="W28" s="2850"/>
    </row>
    <row r="29" spans="1:44" x14ac:dyDescent="0.25">
      <c r="A29" s="2839"/>
      <c r="B29" s="2840"/>
      <c r="C29" s="2840"/>
      <c r="D29" s="2841"/>
      <c r="E29" s="2841"/>
      <c r="F29" s="2892"/>
      <c r="G29" s="2892"/>
      <c r="H29" s="2892"/>
      <c r="I29" s="2892"/>
      <c r="J29" s="2892"/>
      <c r="K29" s="2892"/>
      <c r="L29" s="2892"/>
      <c r="M29" s="2892"/>
      <c r="N29" s="2894"/>
      <c r="O29" s="2894"/>
      <c r="P29" s="2894"/>
      <c r="Q29" s="2894"/>
      <c r="R29" s="2894"/>
      <c r="S29" s="2894"/>
      <c r="T29" s="2892"/>
      <c r="U29" s="2892"/>
      <c r="V29" s="2850"/>
      <c r="W29" s="2850"/>
    </row>
    <row r="30" spans="1:44" x14ac:dyDescent="0.25">
      <c r="A30" s="2839"/>
      <c r="B30" s="2840"/>
      <c r="C30" s="2840"/>
      <c r="D30" s="2841"/>
      <c r="E30" s="2841"/>
      <c r="F30" s="2892"/>
      <c r="G30" s="2892"/>
      <c r="H30" s="2892"/>
      <c r="I30" s="2892"/>
      <c r="J30" s="2892"/>
      <c r="K30" s="2892"/>
      <c r="L30" s="2892"/>
      <c r="M30" s="2892"/>
      <c r="N30" s="2892"/>
      <c r="O30" s="2892"/>
      <c r="P30" s="2892"/>
      <c r="Q30" s="2892"/>
      <c r="R30" s="2892"/>
      <c r="S30" s="2892"/>
      <c r="T30" s="2892"/>
      <c r="U30" s="2892"/>
      <c r="V30" s="2850"/>
      <c r="W30" s="2850"/>
    </row>
    <row r="31" spans="1:44" x14ac:dyDescent="0.25">
      <c r="A31" s="2839"/>
      <c r="B31" s="2840"/>
      <c r="C31" s="2840"/>
      <c r="D31" s="2841"/>
      <c r="E31" s="2841"/>
      <c r="F31" s="2892"/>
      <c r="G31" s="2892"/>
      <c r="H31" s="2892"/>
      <c r="I31" s="2892"/>
      <c r="J31" s="2892"/>
      <c r="K31" s="2892"/>
      <c r="L31" s="2892"/>
      <c r="M31" s="2892"/>
      <c r="N31" s="2892"/>
      <c r="O31" s="2892"/>
      <c r="P31" s="2892"/>
      <c r="Q31" s="2892"/>
      <c r="R31" s="2892"/>
      <c r="S31" s="2892"/>
      <c r="T31" s="2892"/>
      <c r="U31" s="2892"/>
      <c r="V31" s="2850"/>
      <c r="W31" s="2850"/>
    </row>
    <row r="32" spans="1:44" x14ac:dyDescent="0.25">
      <c r="A32" s="2839"/>
      <c r="B32" s="2840"/>
      <c r="C32" s="2840"/>
      <c r="D32" s="2841"/>
      <c r="E32" s="2841"/>
      <c r="F32" s="2892"/>
      <c r="G32" s="2892"/>
      <c r="H32" s="2892"/>
      <c r="I32" s="2892"/>
      <c r="J32" s="2892"/>
      <c r="K32" s="2892"/>
      <c r="L32" s="2892"/>
      <c r="M32" s="2892"/>
      <c r="N32" s="2892"/>
      <c r="O32" s="2892"/>
      <c r="P32" s="2892"/>
      <c r="Q32" s="2892"/>
      <c r="R32" s="2892"/>
      <c r="S32" s="2892"/>
      <c r="T32" s="2892"/>
      <c r="U32" s="2892"/>
      <c r="V32" s="2850"/>
      <c r="W32" s="2850"/>
    </row>
    <row r="33" spans="1:37" x14ac:dyDescent="0.25">
      <c r="A33" s="2839"/>
      <c r="B33" s="2840"/>
      <c r="C33" s="2840"/>
      <c r="D33" s="2841"/>
      <c r="E33" s="2841"/>
      <c r="F33" s="2841"/>
      <c r="G33" s="2841"/>
      <c r="H33" s="2841"/>
      <c r="I33" s="2841"/>
      <c r="J33" s="2841"/>
      <c r="K33" s="2841"/>
      <c r="L33" s="2841"/>
      <c r="M33" s="2841"/>
      <c r="N33" s="2841"/>
      <c r="O33" s="2841"/>
      <c r="P33" s="2841"/>
      <c r="Q33" s="2841"/>
      <c r="R33" s="2841"/>
      <c r="S33" s="2841"/>
      <c r="T33" s="2841"/>
      <c r="U33" s="2841"/>
      <c r="V33" s="2842"/>
      <c r="W33" s="2842"/>
    </row>
    <row r="34" spans="1:37" x14ac:dyDescent="0.25">
      <c r="A34" s="2839"/>
      <c r="B34" s="2840"/>
      <c r="C34" s="2840"/>
      <c r="D34" s="2841"/>
      <c r="E34" s="2841"/>
      <c r="F34" s="2841"/>
      <c r="G34" s="2841"/>
      <c r="H34" s="2841"/>
      <c r="I34" s="2841"/>
      <c r="J34" s="2841"/>
      <c r="K34" s="2841"/>
      <c r="L34" s="2841"/>
      <c r="M34" s="2841"/>
      <c r="N34" s="2841"/>
      <c r="O34" s="2841"/>
      <c r="P34" s="2841"/>
      <c r="Q34" s="2841"/>
      <c r="R34" s="2841"/>
      <c r="S34" s="2841"/>
      <c r="T34" s="2841"/>
      <c r="U34" s="2841"/>
      <c r="V34" s="2842"/>
      <c r="W34" s="2842"/>
    </row>
    <row r="35" spans="1:37" x14ac:dyDescent="0.25">
      <c r="A35" s="2839"/>
      <c r="B35" s="2840"/>
      <c r="C35" s="2840"/>
      <c r="D35" s="2841"/>
      <c r="E35" s="2841"/>
      <c r="F35" s="2841"/>
      <c r="G35" s="2841"/>
      <c r="H35" s="2841"/>
      <c r="I35" s="2841"/>
      <c r="J35" s="2841"/>
      <c r="K35" s="2841"/>
      <c r="L35" s="2841"/>
      <c r="M35" s="2841"/>
      <c r="N35" s="2841"/>
      <c r="O35" s="2841"/>
      <c r="P35" s="2841"/>
      <c r="Q35" s="2841"/>
      <c r="R35" s="2841"/>
      <c r="S35" s="2841"/>
      <c r="T35" s="2841"/>
      <c r="U35" s="2841"/>
      <c r="V35" s="2842"/>
      <c r="W35" s="2842"/>
    </row>
    <row r="36" spans="1:37" x14ac:dyDescent="0.25">
      <c r="A36" s="2839"/>
      <c r="B36" s="2840"/>
      <c r="C36" s="2840"/>
      <c r="D36" s="2841"/>
      <c r="E36" s="2841"/>
      <c r="F36" s="2841"/>
      <c r="G36" s="2841"/>
      <c r="H36" s="2841"/>
      <c r="I36" s="2841"/>
      <c r="J36" s="2841"/>
      <c r="K36" s="2841"/>
      <c r="L36" s="2841"/>
      <c r="M36" s="2841"/>
      <c r="N36" s="2841"/>
      <c r="O36" s="2841"/>
      <c r="P36" s="2841"/>
      <c r="Q36" s="2841"/>
      <c r="R36" s="2841"/>
      <c r="S36" s="2841"/>
      <c r="T36" s="2841"/>
      <c r="U36" s="2841"/>
      <c r="V36" s="2842"/>
      <c r="W36" s="2842"/>
      <c r="AK36" s="2843" t="s">
        <v>1027</v>
      </c>
    </row>
    <row r="37" spans="1:37" x14ac:dyDescent="0.25">
      <c r="A37" s="2839"/>
      <c r="B37" s="2840"/>
      <c r="C37" s="2840"/>
      <c r="D37" s="2841"/>
      <c r="E37" s="2841"/>
      <c r="F37" s="2841"/>
      <c r="G37" s="2841"/>
      <c r="H37" s="2841"/>
      <c r="I37" s="2841"/>
      <c r="J37" s="2841"/>
      <c r="K37" s="2841"/>
      <c r="L37" s="2841"/>
      <c r="M37" s="2841"/>
      <c r="N37" s="2841"/>
      <c r="O37" s="2841"/>
      <c r="P37" s="2841"/>
      <c r="Q37" s="2841"/>
      <c r="R37" s="2841"/>
      <c r="S37" s="2841"/>
      <c r="T37" s="2841"/>
      <c r="U37" s="2841"/>
      <c r="V37" s="2842"/>
      <c r="W37" s="2842"/>
    </row>
    <row r="38" spans="1:37" x14ac:dyDescent="0.25">
      <c r="A38" s="2839"/>
      <c r="B38" s="2840"/>
      <c r="C38" s="2840"/>
      <c r="D38" s="2841"/>
      <c r="E38" s="2841"/>
      <c r="F38" s="2841"/>
      <c r="G38" s="2841"/>
      <c r="H38" s="2841"/>
      <c r="I38" s="2841"/>
      <c r="J38" s="2841"/>
      <c r="K38" s="2841"/>
      <c r="L38" s="2841"/>
      <c r="M38" s="2841"/>
      <c r="N38" s="2841"/>
      <c r="O38" s="2841"/>
      <c r="P38" s="2841"/>
      <c r="Q38" s="2841"/>
      <c r="R38" s="2841"/>
      <c r="S38" s="2841"/>
      <c r="T38" s="2841"/>
      <c r="U38" s="2841"/>
      <c r="V38" s="2842"/>
      <c r="W38" s="2842"/>
    </row>
    <row r="39" spans="1:37" x14ac:dyDescent="0.25">
      <c r="A39" s="2839"/>
      <c r="B39" s="2840"/>
      <c r="C39" s="2840"/>
      <c r="D39" s="2841"/>
      <c r="E39" s="2841"/>
      <c r="F39" s="2841"/>
      <c r="G39" s="2841"/>
      <c r="H39" s="2841"/>
      <c r="I39" s="2841"/>
      <c r="J39" s="2841"/>
      <c r="K39" s="2841"/>
      <c r="L39" s="2841"/>
      <c r="M39" s="2841"/>
      <c r="N39" s="2841"/>
      <c r="O39" s="2841"/>
      <c r="P39" s="2841"/>
      <c r="Q39" s="2841"/>
      <c r="R39" s="2841"/>
      <c r="S39" s="2841"/>
      <c r="T39" s="2841"/>
      <c r="U39" s="2841"/>
      <c r="V39" s="2842"/>
      <c r="W39" s="2842"/>
    </row>
    <row r="40" spans="1:37" x14ac:dyDescent="0.25">
      <c r="A40" s="2839"/>
      <c r="B40" s="2840"/>
      <c r="C40" s="2840"/>
      <c r="D40" s="2841"/>
      <c r="E40" s="2841"/>
      <c r="F40" s="2841"/>
      <c r="G40" s="2841"/>
      <c r="H40" s="2841"/>
      <c r="I40" s="2841"/>
      <c r="J40" s="2841"/>
      <c r="K40" s="2841"/>
      <c r="L40" s="2841"/>
      <c r="M40" s="2841"/>
      <c r="N40" s="2841"/>
      <c r="O40" s="2841"/>
      <c r="P40" s="2841"/>
      <c r="Q40" s="2841"/>
      <c r="R40" s="2841"/>
      <c r="S40" s="2841"/>
      <c r="T40" s="2841"/>
      <c r="U40" s="2841"/>
      <c r="V40" s="2842"/>
      <c r="W40" s="2842"/>
    </row>
    <row r="41" spans="1:37" x14ac:dyDescent="0.25">
      <c r="A41" s="2839"/>
      <c r="B41" s="2840"/>
      <c r="C41" s="2840"/>
      <c r="D41" s="2841"/>
      <c r="E41" s="2841"/>
      <c r="F41" s="2841"/>
      <c r="G41" s="2841"/>
      <c r="H41" s="2841"/>
      <c r="I41" s="2841"/>
      <c r="J41" s="2841"/>
      <c r="K41" s="2841"/>
      <c r="L41" s="2841"/>
      <c r="M41" s="2841"/>
      <c r="N41" s="2841"/>
      <c r="O41" s="2841"/>
      <c r="P41" s="2841"/>
      <c r="Q41" s="2841"/>
      <c r="R41" s="2841"/>
      <c r="S41" s="2841"/>
      <c r="T41" s="2841"/>
      <c r="U41" s="2841"/>
      <c r="V41" s="2842"/>
      <c r="W41" s="2842"/>
    </row>
    <row r="42" spans="1:37" x14ac:dyDescent="0.25">
      <c r="A42" s="2839">
        <v>6</v>
      </c>
      <c r="B42" s="2839" t="s">
        <v>78</v>
      </c>
      <c r="C42" s="2839"/>
      <c r="D42" s="3843" t="s">
        <v>718</v>
      </c>
      <c r="E42" s="3844"/>
      <c r="F42" s="3844"/>
      <c r="G42" s="3844"/>
      <c r="H42" s="3844"/>
      <c r="I42" s="3844"/>
      <c r="J42" s="3844"/>
      <c r="K42" s="3844"/>
      <c r="L42" s="3844"/>
      <c r="M42" s="3844"/>
      <c r="N42" s="3844"/>
      <c r="O42" s="3844"/>
      <c r="P42" s="3844"/>
      <c r="Q42" s="3844"/>
      <c r="R42" s="3844"/>
      <c r="S42" s="3844"/>
      <c r="T42" s="3844"/>
      <c r="U42" s="3844"/>
      <c r="V42" s="3844"/>
      <c r="W42" s="3844"/>
      <c r="X42" s="3844"/>
      <c r="Y42" s="3844"/>
      <c r="Z42" s="3845"/>
    </row>
    <row r="43" spans="1:37" ht="14.25" customHeight="1" x14ac:dyDescent="0.25">
      <c r="A43" s="2895">
        <v>7</v>
      </c>
      <c r="B43" s="2895" t="s">
        <v>80</v>
      </c>
      <c r="C43" s="2895"/>
      <c r="D43" s="3846" t="s">
        <v>1026</v>
      </c>
      <c r="E43" s="3847"/>
      <c r="F43" s="3847"/>
      <c r="G43" s="3847"/>
      <c r="H43" s="3847"/>
      <c r="I43" s="3847"/>
      <c r="J43" s="3847"/>
      <c r="K43" s="3847"/>
      <c r="L43" s="3847"/>
      <c r="M43" s="3847"/>
      <c r="N43" s="3847"/>
      <c r="O43" s="3847"/>
      <c r="P43" s="3847"/>
      <c r="Q43" s="3847"/>
      <c r="R43" s="3847"/>
      <c r="S43" s="3847"/>
      <c r="T43" s="3847"/>
      <c r="U43" s="3847"/>
      <c r="V43" s="3847"/>
      <c r="W43" s="3847"/>
      <c r="X43" s="3847"/>
      <c r="Y43" s="3847"/>
      <c r="Z43" s="3848"/>
    </row>
    <row r="44" spans="1:37" ht="15" customHeight="1" x14ac:dyDescent="0.25">
      <c r="A44" s="2839">
        <v>8</v>
      </c>
      <c r="B44" s="2839" t="s">
        <v>20</v>
      </c>
      <c r="C44" s="2839"/>
      <c r="D44" s="3849" t="s">
        <v>1025</v>
      </c>
      <c r="E44" s="3850"/>
      <c r="F44" s="3850"/>
      <c r="G44" s="3850"/>
      <c r="H44" s="3850"/>
      <c r="I44" s="3850"/>
      <c r="J44" s="3850"/>
      <c r="K44" s="3850"/>
      <c r="L44" s="3850"/>
      <c r="M44" s="3850"/>
      <c r="N44" s="3850"/>
      <c r="O44" s="3850"/>
      <c r="P44" s="3850"/>
      <c r="Q44" s="3850"/>
      <c r="R44" s="3850"/>
      <c r="S44" s="3850"/>
      <c r="T44" s="3850"/>
      <c r="U44" s="3850"/>
      <c r="V44" s="3850"/>
      <c r="W44" s="3850"/>
      <c r="X44" s="3850"/>
      <c r="Y44" s="3850"/>
      <c r="Z44" s="3851"/>
    </row>
    <row r="45" spans="1:37" ht="15" customHeight="1" x14ac:dyDescent="0.25">
      <c r="A45" s="2839">
        <v>9</v>
      </c>
      <c r="B45" s="2839" t="s">
        <v>157</v>
      </c>
      <c r="C45" s="2896"/>
      <c r="D45" s="3843" t="s">
        <v>910</v>
      </c>
      <c r="E45" s="3844"/>
      <c r="F45" s="3844"/>
      <c r="G45" s="3844"/>
      <c r="H45" s="3844"/>
      <c r="I45" s="3844"/>
      <c r="J45" s="3844"/>
      <c r="K45" s="3844"/>
      <c r="L45" s="3844"/>
      <c r="M45" s="3844"/>
      <c r="N45" s="3844"/>
      <c r="O45" s="3844"/>
      <c r="P45" s="3844"/>
      <c r="Q45" s="3844"/>
      <c r="R45" s="3844"/>
      <c r="S45" s="3844"/>
      <c r="T45" s="3844"/>
      <c r="U45" s="3844"/>
      <c r="V45" s="3844"/>
      <c r="W45" s="3844"/>
      <c r="X45" s="3844"/>
      <c r="Y45" s="3844"/>
      <c r="Z45" s="3845"/>
    </row>
  </sheetData>
  <mergeCells count="7">
    <mergeCell ref="D2:Z2"/>
    <mergeCell ref="D42:Z42"/>
    <mergeCell ref="D43:Z43"/>
    <mergeCell ref="D44:Z44"/>
    <mergeCell ref="D45:Z45"/>
    <mergeCell ref="D3:Z3"/>
    <mergeCell ref="D4:Z4"/>
  </mergeCells>
  <pageMargins left="0.74803149606299213" right="0.74803149606299213" top="0.98425196850393704" bottom="0.98425196850393704" header="0.51181102362204722" footer="0.51181102362204722"/>
  <pageSetup paperSize="9" scale="5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90"/>
  <sheetViews>
    <sheetView showGridLines="0" view="pageBreakPreview" zoomScaleNormal="100" zoomScaleSheetLayoutView="100" workbookViewId="0">
      <selection activeCell="V28" sqref="V28"/>
    </sheetView>
  </sheetViews>
  <sheetFormatPr defaultRowHeight="12.75" x14ac:dyDescent="0.2"/>
  <cols>
    <col min="1" max="1" width="3" style="1664" bestFit="1" customWidth="1"/>
    <col min="2" max="2" width="14.28515625" style="1664" bestFit="1" customWidth="1"/>
    <col min="3" max="3" width="3" style="1664" bestFit="1" customWidth="1"/>
    <col min="4" max="4" width="12.140625" style="1664" customWidth="1"/>
    <col min="5" max="24" width="9.7109375" style="1664" customWidth="1"/>
    <col min="25" max="25" width="9.140625" style="1664"/>
    <col min="26" max="26" width="9.140625" style="1664" customWidth="1"/>
    <col min="27" max="259" width="9.140625" style="1664"/>
    <col min="260" max="260" width="3" style="1664" bestFit="1" customWidth="1"/>
    <col min="261" max="261" width="14.28515625" style="1664" bestFit="1" customWidth="1"/>
    <col min="262" max="262" width="3" style="1664" bestFit="1" customWidth="1"/>
    <col min="263" max="263" width="12.140625" style="1664" customWidth="1"/>
    <col min="264" max="271" width="7.28515625" style="1664" customWidth="1"/>
    <col min="272" max="273" width="12.140625" style="1664" customWidth="1"/>
    <col min="274" max="274" width="7.28515625" style="1664" customWidth="1"/>
    <col min="275" max="275" width="9.7109375" style="1664" customWidth="1"/>
    <col min="276" max="515" width="9.140625" style="1664"/>
    <col min="516" max="516" width="3" style="1664" bestFit="1" customWidth="1"/>
    <col min="517" max="517" width="14.28515625" style="1664" bestFit="1" customWidth="1"/>
    <col min="518" max="518" width="3" style="1664" bestFit="1" customWidth="1"/>
    <col min="519" max="519" width="12.140625" style="1664" customWidth="1"/>
    <col min="520" max="527" width="7.28515625" style="1664" customWidth="1"/>
    <col min="528" max="529" width="12.140625" style="1664" customWidth="1"/>
    <col min="530" max="530" width="7.28515625" style="1664" customWidth="1"/>
    <col min="531" max="531" width="9.7109375" style="1664" customWidth="1"/>
    <col min="532" max="771" width="9.140625" style="1664"/>
    <col min="772" max="772" width="3" style="1664" bestFit="1" customWidth="1"/>
    <col min="773" max="773" width="14.28515625" style="1664" bestFit="1" customWidth="1"/>
    <col min="774" max="774" width="3" style="1664" bestFit="1" customWidth="1"/>
    <col min="775" max="775" width="12.140625" style="1664" customWidth="1"/>
    <col min="776" max="783" width="7.28515625" style="1664" customWidth="1"/>
    <col min="784" max="785" width="12.140625" style="1664" customWidth="1"/>
    <col min="786" max="786" width="7.28515625" style="1664" customWidth="1"/>
    <col min="787" max="787" width="9.7109375" style="1664" customWidth="1"/>
    <col min="788" max="1027" width="9.140625" style="1664"/>
    <col min="1028" max="1028" width="3" style="1664" bestFit="1" customWidth="1"/>
    <col min="1029" max="1029" width="14.28515625" style="1664" bestFit="1" customWidth="1"/>
    <col min="1030" max="1030" width="3" style="1664" bestFit="1" customWidth="1"/>
    <col min="1031" max="1031" width="12.140625" style="1664" customWidth="1"/>
    <col min="1032" max="1039" width="7.28515625" style="1664" customWidth="1"/>
    <col min="1040" max="1041" width="12.140625" style="1664" customWidth="1"/>
    <col min="1042" max="1042" width="7.28515625" style="1664" customWidth="1"/>
    <col min="1043" max="1043" width="9.7109375" style="1664" customWidth="1"/>
    <col min="1044" max="1283" width="9.140625" style="1664"/>
    <col min="1284" max="1284" width="3" style="1664" bestFit="1" customWidth="1"/>
    <col min="1285" max="1285" width="14.28515625" style="1664" bestFit="1" customWidth="1"/>
    <col min="1286" max="1286" width="3" style="1664" bestFit="1" customWidth="1"/>
    <col min="1287" max="1287" width="12.140625" style="1664" customWidth="1"/>
    <col min="1288" max="1295" width="7.28515625" style="1664" customWidth="1"/>
    <col min="1296" max="1297" width="12.140625" style="1664" customWidth="1"/>
    <col min="1298" max="1298" width="7.28515625" style="1664" customWidth="1"/>
    <col min="1299" max="1299" width="9.7109375" style="1664" customWidth="1"/>
    <col min="1300" max="1539" width="9.140625" style="1664"/>
    <col min="1540" max="1540" width="3" style="1664" bestFit="1" customWidth="1"/>
    <col min="1541" max="1541" width="14.28515625" style="1664" bestFit="1" customWidth="1"/>
    <col min="1542" max="1542" width="3" style="1664" bestFit="1" customWidth="1"/>
    <col min="1543" max="1543" width="12.140625" style="1664" customWidth="1"/>
    <col min="1544" max="1551" width="7.28515625" style="1664" customWidth="1"/>
    <col min="1552" max="1553" width="12.140625" style="1664" customWidth="1"/>
    <col min="1554" max="1554" width="7.28515625" style="1664" customWidth="1"/>
    <col min="1555" max="1555" width="9.7109375" style="1664" customWidth="1"/>
    <col min="1556" max="1795" width="9.140625" style="1664"/>
    <col min="1796" max="1796" width="3" style="1664" bestFit="1" customWidth="1"/>
    <col min="1797" max="1797" width="14.28515625" style="1664" bestFit="1" customWidth="1"/>
    <col min="1798" max="1798" width="3" style="1664" bestFit="1" customWidth="1"/>
    <col min="1799" max="1799" width="12.140625" style="1664" customWidth="1"/>
    <col min="1800" max="1807" width="7.28515625" style="1664" customWidth="1"/>
    <col min="1808" max="1809" width="12.140625" style="1664" customWidth="1"/>
    <col min="1810" max="1810" width="7.28515625" style="1664" customWidth="1"/>
    <col min="1811" max="1811" width="9.7109375" style="1664" customWidth="1"/>
    <col min="1812" max="2051" width="9.140625" style="1664"/>
    <col min="2052" max="2052" width="3" style="1664" bestFit="1" customWidth="1"/>
    <col min="2053" max="2053" width="14.28515625" style="1664" bestFit="1" customWidth="1"/>
    <col min="2054" max="2054" width="3" style="1664" bestFit="1" customWidth="1"/>
    <col min="2055" max="2055" width="12.140625" style="1664" customWidth="1"/>
    <col min="2056" max="2063" width="7.28515625" style="1664" customWidth="1"/>
    <col min="2064" max="2065" width="12.140625" style="1664" customWidth="1"/>
    <col min="2066" max="2066" width="7.28515625" style="1664" customWidth="1"/>
    <col min="2067" max="2067" width="9.7109375" style="1664" customWidth="1"/>
    <col min="2068" max="2307" width="9.140625" style="1664"/>
    <col min="2308" max="2308" width="3" style="1664" bestFit="1" customWidth="1"/>
    <col min="2309" max="2309" width="14.28515625" style="1664" bestFit="1" customWidth="1"/>
    <col min="2310" max="2310" width="3" style="1664" bestFit="1" customWidth="1"/>
    <col min="2311" max="2311" width="12.140625" style="1664" customWidth="1"/>
    <col min="2312" max="2319" width="7.28515625" style="1664" customWidth="1"/>
    <col min="2320" max="2321" width="12.140625" style="1664" customWidth="1"/>
    <col min="2322" max="2322" width="7.28515625" style="1664" customWidth="1"/>
    <col min="2323" max="2323" width="9.7109375" style="1664" customWidth="1"/>
    <col min="2324" max="2563" width="9.140625" style="1664"/>
    <col min="2564" max="2564" width="3" style="1664" bestFit="1" customWidth="1"/>
    <col min="2565" max="2565" width="14.28515625" style="1664" bestFit="1" customWidth="1"/>
    <col min="2566" max="2566" width="3" style="1664" bestFit="1" customWidth="1"/>
    <col min="2567" max="2567" width="12.140625" style="1664" customWidth="1"/>
    <col min="2568" max="2575" width="7.28515625" style="1664" customWidth="1"/>
    <col min="2576" max="2577" width="12.140625" style="1664" customWidth="1"/>
    <col min="2578" max="2578" width="7.28515625" style="1664" customWidth="1"/>
    <col min="2579" max="2579" width="9.7109375" style="1664" customWidth="1"/>
    <col min="2580" max="2819" width="9.140625" style="1664"/>
    <col min="2820" max="2820" width="3" style="1664" bestFit="1" customWidth="1"/>
    <col min="2821" max="2821" width="14.28515625" style="1664" bestFit="1" customWidth="1"/>
    <col min="2822" max="2822" width="3" style="1664" bestFit="1" customWidth="1"/>
    <col min="2823" max="2823" width="12.140625" style="1664" customWidth="1"/>
    <col min="2824" max="2831" width="7.28515625" style="1664" customWidth="1"/>
    <col min="2832" max="2833" width="12.140625" style="1664" customWidth="1"/>
    <col min="2834" max="2834" width="7.28515625" style="1664" customWidth="1"/>
    <col min="2835" max="2835" width="9.7109375" style="1664" customWidth="1"/>
    <col min="2836" max="3075" width="9.140625" style="1664"/>
    <col min="3076" max="3076" width="3" style="1664" bestFit="1" customWidth="1"/>
    <col min="3077" max="3077" width="14.28515625" style="1664" bestFit="1" customWidth="1"/>
    <col min="3078" max="3078" width="3" style="1664" bestFit="1" customWidth="1"/>
    <col min="3079" max="3079" width="12.140625" style="1664" customWidth="1"/>
    <col min="3080" max="3087" width="7.28515625" style="1664" customWidth="1"/>
    <col min="3088" max="3089" width="12.140625" style="1664" customWidth="1"/>
    <col min="3090" max="3090" width="7.28515625" style="1664" customWidth="1"/>
    <col min="3091" max="3091" width="9.7109375" style="1664" customWidth="1"/>
    <col min="3092" max="3331" width="9.140625" style="1664"/>
    <col min="3332" max="3332" width="3" style="1664" bestFit="1" customWidth="1"/>
    <col min="3333" max="3333" width="14.28515625" style="1664" bestFit="1" customWidth="1"/>
    <col min="3334" max="3334" width="3" style="1664" bestFit="1" customWidth="1"/>
    <col min="3335" max="3335" width="12.140625" style="1664" customWidth="1"/>
    <col min="3336" max="3343" width="7.28515625" style="1664" customWidth="1"/>
    <col min="3344" max="3345" width="12.140625" style="1664" customWidth="1"/>
    <col min="3346" max="3346" width="7.28515625" style="1664" customWidth="1"/>
    <col min="3347" max="3347" width="9.7109375" style="1664" customWidth="1"/>
    <col min="3348" max="3587" width="9.140625" style="1664"/>
    <col min="3588" max="3588" width="3" style="1664" bestFit="1" customWidth="1"/>
    <col min="3589" max="3589" width="14.28515625" style="1664" bestFit="1" customWidth="1"/>
    <col min="3590" max="3590" width="3" style="1664" bestFit="1" customWidth="1"/>
    <col min="3591" max="3591" width="12.140625" style="1664" customWidth="1"/>
    <col min="3592" max="3599" width="7.28515625" style="1664" customWidth="1"/>
    <col min="3600" max="3601" width="12.140625" style="1664" customWidth="1"/>
    <col min="3602" max="3602" width="7.28515625" style="1664" customWidth="1"/>
    <col min="3603" max="3603" width="9.7109375" style="1664" customWidth="1"/>
    <col min="3604" max="3843" width="9.140625" style="1664"/>
    <col min="3844" max="3844" width="3" style="1664" bestFit="1" customWidth="1"/>
    <col min="3845" max="3845" width="14.28515625" style="1664" bestFit="1" customWidth="1"/>
    <col min="3846" max="3846" width="3" style="1664" bestFit="1" customWidth="1"/>
    <col min="3847" max="3847" width="12.140625" style="1664" customWidth="1"/>
    <col min="3848" max="3855" width="7.28515625" style="1664" customWidth="1"/>
    <col min="3856" max="3857" width="12.140625" style="1664" customWidth="1"/>
    <col min="3858" max="3858" width="7.28515625" style="1664" customWidth="1"/>
    <col min="3859" max="3859" width="9.7109375" style="1664" customWidth="1"/>
    <col min="3860" max="4099" width="9.140625" style="1664"/>
    <col min="4100" max="4100" width="3" style="1664" bestFit="1" customWidth="1"/>
    <col min="4101" max="4101" width="14.28515625" style="1664" bestFit="1" customWidth="1"/>
    <col min="4102" max="4102" width="3" style="1664" bestFit="1" customWidth="1"/>
    <col min="4103" max="4103" width="12.140625" style="1664" customWidth="1"/>
    <col min="4104" max="4111" width="7.28515625" style="1664" customWidth="1"/>
    <col min="4112" max="4113" width="12.140625" style="1664" customWidth="1"/>
    <col min="4114" max="4114" width="7.28515625" style="1664" customWidth="1"/>
    <col min="4115" max="4115" width="9.7109375" style="1664" customWidth="1"/>
    <col min="4116" max="4355" width="9.140625" style="1664"/>
    <col min="4356" max="4356" width="3" style="1664" bestFit="1" customWidth="1"/>
    <col min="4357" max="4357" width="14.28515625" style="1664" bestFit="1" customWidth="1"/>
    <col min="4358" max="4358" width="3" style="1664" bestFit="1" customWidth="1"/>
    <col min="4359" max="4359" width="12.140625" style="1664" customWidth="1"/>
    <col min="4360" max="4367" width="7.28515625" style="1664" customWidth="1"/>
    <col min="4368" max="4369" width="12.140625" style="1664" customWidth="1"/>
    <col min="4370" max="4370" width="7.28515625" style="1664" customWidth="1"/>
    <col min="4371" max="4371" width="9.7109375" style="1664" customWidth="1"/>
    <col min="4372" max="4611" width="9.140625" style="1664"/>
    <col min="4612" max="4612" width="3" style="1664" bestFit="1" customWidth="1"/>
    <col min="4613" max="4613" width="14.28515625" style="1664" bestFit="1" customWidth="1"/>
    <col min="4614" max="4614" width="3" style="1664" bestFit="1" customWidth="1"/>
    <col min="4615" max="4615" width="12.140625" style="1664" customWidth="1"/>
    <col min="4616" max="4623" width="7.28515625" style="1664" customWidth="1"/>
    <col min="4624" max="4625" width="12.140625" style="1664" customWidth="1"/>
    <col min="4626" max="4626" width="7.28515625" style="1664" customWidth="1"/>
    <col min="4627" max="4627" width="9.7109375" style="1664" customWidth="1"/>
    <col min="4628" max="4867" width="9.140625" style="1664"/>
    <col min="4868" max="4868" width="3" style="1664" bestFit="1" customWidth="1"/>
    <col min="4869" max="4869" width="14.28515625" style="1664" bestFit="1" customWidth="1"/>
    <col min="4870" max="4870" width="3" style="1664" bestFit="1" customWidth="1"/>
    <col min="4871" max="4871" width="12.140625" style="1664" customWidth="1"/>
    <col min="4872" max="4879" width="7.28515625" style="1664" customWidth="1"/>
    <col min="4880" max="4881" width="12.140625" style="1664" customWidth="1"/>
    <col min="4882" max="4882" width="7.28515625" style="1664" customWidth="1"/>
    <col min="4883" max="4883" width="9.7109375" style="1664" customWidth="1"/>
    <col min="4884" max="5123" width="9.140625" style="1664"/>
    <col min="5124" max="5124" width="3" style="1664" bestFit="1" customWidth="1"/>
    <col min="5125" max="5125" width="14.28515625" style="1664" bestFit="1" customWidth="1"/>
    <col min="5126" max="5126" width="3" style="1664" bestFit="1" customWidth="1"/>
    <col min="5127" max="5127" width="12.140625" style="1664" customWidth="1"/>
    <col min="5128" max="5135" width="7.28515625" style="1664" customWidth="1"/>
    <col min="5136" max="5137" width="12.140625" style="1664" customWidth="1"/>
    <col min="5138" max="5138" width="7.28515625" style="1664" customWidth="1"/>
    <col min="5139" max="5139" width="9.7109375" style="1664" customWidth="1"/>
    <col min="5140" max="5379" width="9.140625" style="1664"/>
    <col min="5380" max="5380" width="3" style="1664" bestFit="1" customWidth="1"/>
    <col min="5381" max="5381" width="14.28515625" style="1664" bestFit="1" customWidth="1"/>
    <col min="5382" max="5382" width="3" style="1664" bestFit="1" customWidth="1"/>
    <col min="5383" max="5383" width="12.140625" style="1664" customWidth="1"/>
    <col min="5384" max="5391" width="7.28515625" style="1664" customWidth="1"/>
    <col min="5392" max="5393" width="12.140625" style="1664" customWidth="1"/>
    <col min="5394" max="5394" width="7.28515625" style="1664" customWidth="1"/>
    <col min="5395" max="5395" width="9.7109375" style="1664" customWidth="1"/>
    <col min="5396" max="5635" width="9.140625" style="1664"/>
    <col min="5636" max="5636" width="3" style="1664" bestFit="1" customWidth="1"/>
    <col min="5637" max="5637" width="14.28515625" style="1664" bestFit="1" customWidth="1"/>
    <col min="5638" max="5638" width="3" style="1664" bestFit="1" customWidth="1"/>
    <col min="5639" max="5639" width="12.140625" style="1664" customWidth="1"/>
    <col min="5640" max="5647" width="7.28515625" style="1664" customWidth="1"/>
    <col min="5648" max="5649" width="12.140625" style="1664" customWidth="1"/>
    <col min="5650" max="5650" width="7.28515625" style="1664" customWidth="1"/>
    <col min="5651" max="5651" width="9.7109375" style="1664" customWidth="1"/>
    <col min="5652" max="5891" width="9.140625" style="1664"/>
    <col min="5892" max="5892" width="3" style="1664" bestFit="1" customWidth="1"/>
    <col min="5893" max="5893" width="14.28515625" style="1664" bestFit="1" customWidth="1"/>
    <col min="5894" max="5894" width="3" style="1664" bestFit="1" customWidth="1"/>
    <col min="5895" max="5895" width="12.140625" style="1664" customWidth="1"/>
    <col min="5896" max="5903" width="7.28515625" style="1664" customWidth="1"/>
    <col min="5904" max="5905" width="12.140625" style="1664" customWidth="1"/>
    <col min="5906" max="5906" width="7.28515625" style="1664" customWidth="1"/>
    <col min="5907" max="5907" width="9.7109375" style="1664" customWidth="1"/>
    <col min="5908" max="6147" width="9.140625" style="1664"/>
    <col min="6148" max="6148" width="3" style="1664" bestFit="1" customWidth="1"/>
    <col min="6149" max="6149" width="14.28515625" style="1664" bestFit="1" customWidth="1"/>
    <col min="6150" max="6150" width="3" style="1664" bestFit="1" customWidth="1"/>
    <col min="6151" max="6151" width="12.140625" style="1664" customWidth="1"/>
    <col min="6152" max="6159" width="7.28515625" style="1664" customWidth="1"/>
    <col min="6160" max="6161" width="12.140625" style="1664" customWidth="1"/>
    <col min="6162" max="6162" width="7.28515625" style="1664" customWidth="1"/>
    <col min="6163" max="6163" width="9.7109375" style="1664" customWidth="1"/>
    <col min="6164" max="6403" width="9.140625" style="1664"/>
    <col min="6404" max="6404" width="3" style="1664" bestFit="1" customWidth="1"/>
    <col min="6405" max="6405" width="14.28515625" style="1664" bestFit="1" customWidth="1"/>
    <col min="6406" max="6406" width="3" style="1664" bestFit="1" customWidth="1"/>
    <col min="6407" max="6407" width="12.140625" style="1664" customWidth="1"/>
    <col min="6408" max="6415" width="7.28515625" style="1664" customWidth="1"/>
    <col min="6416" max="6417" width="12.140625" style="1664" customWidth="1"/>
    <col min="6418" max="6418" width="7.28515625" style="1664" customWidth="1"/>
    <col min="6419" max="6419" width="9.7109375" style="1664" customWidth="1"/>
    <col min="6420" max="6659" width="9.140625" style="1664"/>
    <col min="6660" max="6660" width="3" style="1664" bestFit="1" customWidth="1"/>
    <col min="6661" max="6661" width="14.28515625" style="1664" bestFit="1" customWidth="1"/>
    <col min="6662" max="6662" width="3" style="1664" bestFit="1" customWidth="1"/>
    <col min="6663" max="6663" width="12.140625" style="1664" customWidth="1"/>
    <col min="6664" max="6671" width="7.28515625" style="1664" customWidth="1"/>
    <col min="6672" max="6673" width="12.140625" style="1664" customWidth="1"/>
    <col min="6674" max="6674" width="7.28515625" style="1664" customWidth="1"/>
    <col min="6675" max="6675" width="9.7109375" style="1664" customWidth="1"/>
    <col min="6676" max="6915" width="9.140625" style="1664"/>
    <col min="6916" max="6916" width="3" style="1664" bestFit="1" customWidth="1"/>
    <col min="6917" max="6917" width="14.28515625" style="1664" bestFit="1" customWidth="1"/>
    <col min="6918" max="6918" width="3" style="1664" bestFit="1" customWidth="1"/>
    <col min="6919" max="6919" width="12.140625" style="1664" customWidth="1"/>
    <col min="6920" max="6927" width="7.28515625" style="1664" customWidth="1"/>
    <col min="6928" max="6929" width="12.140625" style="1664" customWidth="1"/>
    <col min="6930" max="6930" width="7.28515625" style="1664" customWidth="1"/>
    <col min="6931" max="6931" width="9.7109375" style="1664" customWidth="1"/>
    <col min="6932" max="7171" width="9.140625" style="1664"/>
    <col min="7172" max="7172" width="3" style="1664" bestFit="1" customWidth="1"/>
    <col min="7173" max="7173" width="14.28515625" style="1664" bestFit="1" customWidth="1"/>
    <col min="7174" max="7174" width="3" style="1664" bestFit="1" customWidth="1"/>
    <col min="7175" max="7175" width="12.140625" style="1664" customWidth="1"/>
    <col min="7176" max="7183" width="7.28515625" style="1664" customWidth="1"/>
    <col min="7184" max="7185" width="12.140625" style="1664" customWidth="1"/>
    <col min="7186" max="7186" width="7.28515625" style="1664" customWidth="1"/>
    <col min="7187" max="7187" width="9.7109375" style="1664" customWidth="1"/>
    <col min="7188" max="7427" width="9.140625" style="1664"/>
    <col min="7428" max="7428" width="3" style="1664" bestFit="1" customWidth="1"/>
    <col min="7429" max="7429" width="14.28515625" style="1664" bestFit="1" customWidth="1"/>
    <col min="7430" max="7430" width="3" style="1664" bestFit="1" customWidth="1"/>
    <col min="7431" max="7431" width="12.140625" style="1664" customWidth="1"/>
    <col min="7432" max="7439" width="7.28515625" style="1664" customWidth="1"/>
    <col min="7440" max="7441" width="12.140625" style="1664" customWidth="1"/>
    <col min="7442" max="7442" width="7.28515625" style="1664" customWidth="1"/>
    <col min="7443" max="7443" width="9.7109375" style="1664" customWidth="1"/>
    <col min="7444" max="7683" width="9.140625" style="1664"/>
    <col min="7684" max="7684" width="3" style="1664" bestFit="1" customWidth="1"/>
    <col min="7685" max="7685" width="14.28515625" style="1664" bestFit="1" customWidth="1"/>
    <col min="7686" max="7686" width="3" style="1664" bestFit="1" customWidth="1"/>
    <col min="7687" max="7687" width="12.140625" style="1664" customWidth="1"/>
    <col min="7688" max="7695" width="7.28515625" style="1664" customWidth="1"/>
    <col min="7696" max="7697" width="12.140625" style="1664" customWidth="1"/>
    <col min="7698" max="7698" width="7.28515625" style="1664" customWidth="1"/>
    <col min="7699" max="7699" width="9.7109375" style="1664" customWidth="1"/>
    <col min="7700" max="7939" width="9.140625" style="1664"/>
    <col min="7940" max="7940" width="3" style="1664" bestFit="1" customWidth="1"/>
    <col min="7941" max="7941" width="14.28515625" style="1664" bestFit="1" customWidth="1"/>
    <col min="7942" max="7942" width="3" style="1664" bestFit="1" customWidth="1"/>
    <col min="7943" max="7943" width="12.140625" style="1664" customWidth="1"/>
    <col min="7944" max="7951" width="7.28515625" style="1664" customWidth="1"/>
    <col min="7952" max="7953" width="12.140625" style="1664" customWidth="1"/>
    <col min="7954" max="7954" width="7.28515625" style="1664" customWidth="1"/>
    <col min="7955" max="7955" width="9.7109375" style="1664" customWidth="1"/>
    <col min="7956" max="8195" width="9.140625" style="1664"/>
    <col min="8196" max="8196" width="3" style="1664" bestFit="1" customWidth="1"/>
    <col min="8197" max="8197" width="14.28515625" style="1664" bestFit="1" customWidth="1"/>
    <col min="8198" max="8198" width="3" style="1664" bestFit="1" customWidth="1"/>
    <col min="8199" max="8199" width="12.140625" style="1664" customWidth="1"/>
    <col min="8200" max="8207" width="7.28515625" style="1664" customWidth="1"/>
    <col min="8208" max="8209" width="12.140625" style="1664" customWidth="1"/>
    <col min="8210" max="8210" width="7.28515625" style="1664" customWidth="1"/>
    <col min="8211" max="8211" width="9.7109375" style="1664" customWidth="1"/>
    <col min="8212" max="8451" width="9.140625" style="1664"/>
    <col min="8452" max="8452" width="3" style="1664" bestFit="1" customWidth="1"/>
    <col min="8453" max="8453" width="14.28515625" style="1664" bestFit="1" customWidth="1"/>
    <col min="8454" max="8454" width="3" style="1664" bestFit="1" customWidth="1"/>
    <col min="8455" max="8455" width="12.140625" style="1664" customWidth="1"/>
    <col min="8456" max="8463" width="7.28515625" style="1664" customWidth="1"/>
    <col min="8464" max="8465" width="12.140625" style="1664" customWidth="1"/>
    <col min="8466" max="8466" width="7.28515625" style="1664" customWidth="1"/>
    <col min="8467" max="8467" width="9.7109375" style="1664" customWidth="1"/>
    <col min="8468" max="8707" width="9.140625" style="1664"/>
    <col min="8708" max="8708" width="3" style="1664" bestFit="1" customWidth="1"/>
    <col min="8709" max="8709" width="14.28515625" style="1664" bestFit="1" customWidth="1"/>
    <col min="8710" max="8710" width="3" style="1664" bestFit="1" customWidth="1"/>
    <col min="8711" max="8711" width="12.140625" style="1664" customWidth="1"/>
    <col min="8712" max="8719" width="7.28515625" style="1664" customWidth="1"/>
    <col min="8720" max="8721" width="12.140625" style="1664" customWidth="1"/>
    <col min="8722" max="8722" width="7.28515625" style="1664" customWidth="1"/>
    <col min="8723" max="8723" width="9.7109375" style="1664" customWidth="1"/>
    <col min="8724" max="8963" width="9.140625" style="1664"/>
    <col min="8964" max="8964" width="3" style="1664" bestFit="1" customWidth="1"/>
    <col min="8965" max="8965" width="14.28515625" style="1664" bestFit="1" customWidth="1"/>
    <col min="8966" max="8966" width="3" style="1664" bestFit="1" customWidth="1"/>
    <col min="8967" max="8967" width="12.140625" style="1664" customWidth="1"/>
    <col min="8968" max="8975" width="7.28515625" style="1664" customWidth="1"/>
    <col min="8976" max="8977" width="12.140625" style="1664" customWidth="1"/>
    <col min="8978" max="8978" width="7.28515625" style="1664" customWidth="1"/>
    <col min="8979" max="8979" width="9.7109375" style="1664" customWidth="1"/>
    <col min="8980" max="9219" width="9.140625" style="1664"/>
    <col min="9220" max="9220" width="3" style="1664" bestFit="1" customWidth="1"/>
    <col min="9221" max="9221" width="14.28515625" style="1664" bestFit="1" customWidth="1"/>
    <col min="9222" max="9222" width="3" style="1664" bestFit="1" customWidth="1"/>
    <col min="9223" max="9223" width="12.140625" style="1664" customWidth="1"/>
    <col min="9224" max="9231" width="7.28515625" style="1664" customWidth="1"/>
    <col min="9232" max="9233" width="12.140625" style="1664" customWidth="1"/>
    <col min="9234" max="9234" width="7.28515625" style="1664" customWidth="1"/>
    <col min="9235" max="9235" width="9.7109375" style="1664" customWidth="1"/>
    <col min="9236" max="9475" width="9.140625" style="1664"/>
    <col min="9476" max="9476" width="3" style="1664" bestFit="1" customWidth="1"/>
    <col min="9477" max="9477" width="14.28515625" style="1664" bestFit="1" customWidth="1"/>
    <col min="9478" max="9478" width="3" style="1664" bestFit="1" customWidth="1"/>
    <col min="9479" max="9479" width="12.140625" style="1664" customWidth="1"/>
    <col min="9480" max="9487" width="7.28515625" style="1664" customWidth="1"/>
    <col min="9488" max="9489" width="12.140625" style="1664" customWidth="1"/>
    <col min="9490" max="9490" width="7.28515625" style="1664" customWidth="1"/>
    <col min="9491" max="9491" width="9.7109375" style="1664" customWidth="1"/>
    <col min="9492" max="9731" width="9.140625" style="1664"/>
    <col min="9732" max="9732" width="3" style="1664" bestFit="1" customWidth="1"/>
    <col min="9733" max="9733" width="14.28515625" style="1664" bestFit="1" customWidth="1"/>
    <col min="9734" max="9734" width="3" style="1664" bestFit="1" customWidth="1"/>
    <col min="9735" max="9735" width="12.140625" style="1664" customWidth="1"/>
    <col min="9736" max="9743" width="7.28515625" style="1664" customWidth="1"/>
    <col min="9744" max="9745" width="12.140625" style="1664" customWidth="1"/>
    <col min="9746" max="9746" width="7.28515625" style="1664" customWidth="1"/>
    <col min="9747" max="9747" width="9.7109375" style="1664" customWidth="1"/>
    <col min="9748" max="9987" width="9.140625" style="1664"/>
    <col min="9988" max="9988" width="3" style="1664" bestFit="1" customWidth="1"/>
    <col min="9989" max="9989" width="14.28515625" style="1664" bestFit="1" customWidth="1"/>
    <col min="9990" max="9990" width="3" style="1664" bestFit="1" customWidth="1"/>
    <col min="9991" max="9991" width="12.140625" style="1664" customWidth="1"/>
    <col min="9992" max="9999" width="7.28515625" style="1664" customWidth="1"/>
    <col min="10000" max="10001" width="12.140625" style="1664" customWidth="1"/>
    <col min="10002" max="10002" width="7.28515625" style="1664" customWidth="1"/>
    <col min="10003" max="10003" width="9.7109375" style="1664" customWidth="1"/>
    <col min="10004" max="10243" width="9.140625" style="1664"/>
    <col min="10244" max="10244" width="3" style="1664" bestFit="1" customWidth="1"/>
    <col min="10245" max="10245" width="14.28515625" style="1664" bestFit="1" customWidth="1"/>
    <col min="10246" max="10246" width="3" style="1664" bestFit="1" customWidth="1"/>
    <col min="10247" max="10247" width="12.140625" style="1664" customWidth="1"/>
    <col min="10248" max="10255" width="7.28515625" style="1664" customWidth="1"/>
    <col min="10256" max="10257" width="12.140625" style="1664" customWidth="1"/>
    <col min="10258" max="10258" width="7.28515625" style="1664" customWidth="1"/>
    <col min="10259" max="10259" width="9.7109375" style="1664" customWidth="1"/>
    <col min="10260" max="10499" width="9.140625" style="1664"/>
    <col min="10500" max="10500" width="3" style="1664" bestFit="1" customWidth="1"/>
    <col min="10501" max="10501" width="14.28515625" style="1664" bestFit="1" customWidth="1"/>
    <col min="10502" max="10502" width="3" style="1664" bestFit="1" customWidth="1"/>
    <col min="10503" max="10503" width="12.140625" style="1664" customWidth="1"/>
    <col min="10504" max="10511" width="7.28515625" style="1664" customWidth="1"/>
    <col min="10512" max="10513" width="12.140625" style="1664" customWidth="1"/>
    <col min="10514" max="10514" width="7.28515625" style="1664" customWidth="1"/>
    <col min="10515" max="10515" width="9.7109375" style="1664" customWidth="1"/>
    <col min="10516" max="10755" width="9.140625" style="1664"/>
    <col min="10756" max="10756" width="3" style="1664" bestFit="1" customWidth="1"/>
    <col min="10757" max="10757" width="14.28515625" style="1664" bestFit="1" customWidth="1"/>
    <col min="10758" max="10758" width="3" style="1664" bestFit="1" customWidth="1"/>
    <col min="10759" max="10759" width="12.140625" style="1664" customWidth="1"/>
    <col min="10760" max="10767" width="7.28515625" style="1664" customWidth="1"/>
    <col min="10768" max="10769" width="12.140625" style="1664" customWidth="1"/>
    <col min="10770" max="10770" width="7.28515625" style="1664" customWidth="1"/>
    <col min="10771" max="10771" width="9.7109375" style="1664" customWidth="1"/>
    <col min="10772" max="11011" width="9.140625" style="1664"/>
    <col min="11012" max="11012" width="3" style="1664" bestFit="1" customWidth="1"/>
    <col min="11013" max="11013" width="14.28515625" style="1664" bestFit="1" customWidth="1"/>
    <col min="11014" max="11014" width="3" style="1664" bestFit="1" customWidth="1"/>
    <col min="11015" max="11015" width="12.140625" style="1664" customWidth="1"/>
    <col min="11016" max="11023" width="7.28515625" style="1664" customWidth="1"/>
    <col min="11024" max="11025" width="12.140625" style="1664" customWidth="1"/>
    <col min="11026" max="11026" width="7.28515625" style="1664" customWidth="1"/>
    <col min="11027" max="11027" width="9.7109375" style="1664" customWidth="1"/>
    <col min="11028" max="11267" width="9.140625" style="1664"/>
    <col min="11268" max="11268" width="3" style="1664" bestFit="1" customWidth="1"/>
    <col min="11269" max="11269" width="14.28515625" style="1664" bestFit="1" customWidth="1"/>
    <col min="11270" max="11270" width="3" style="1664" bestFit="1" customWidth="1"/>
    <col min="11271" max="11271" width="12.140625" style="1664" customWidth="1"/>
    <col min="11272" max="11279" width="7.28515625" style="1664" customWidth="1"/>
    <col min="11280" max="11281" width="12.140625" style="1664" customWidth="1"/>
    <col min="11282" max="11282" width="7.28515625" style="1664" customWidth="1"/>
    <col min="11283" max="11283" width="9.7109375" style="1664" customWidth="1"/>
    <col min="11284" max="11523" width="9.140625" style="1664"/>
    <col min="11524" max="11524" width="3" style="1664" bestFit="1" customWidth="1"/>
    <col min="11525" max="11525" width="14.28515625" style="1664" bestFit="1" customWidth="1"/>
    <col min="11526" max="11526" width="3" style="1664" bestFit="1" customWidth="1"/>
    <col min="11527" max="11527" width="12.140625" style="1664" customWidth="1"/>
    <col min="11528" max="11535" width="7.28515625" style="1664" customWidth="1"/>
    <col min="11536" max="11537" width="12.140625" style="1664" customWidth="1"/>
    <col min="11538" max="11538" width="7.28515625" style="1664" customWidth="1"/>
    <col min="11539" max="11539" width="9.7109375" style="1664" customWidth="1"/>
    <col min="11540" max="11779" width="9.140625" style="1664"/>
    <col min="11780" max="11780" width="3" style="1664" bestFit="1" customWidth="1"/>
    <col min="11781" max="11781" width="14.28515625" style="1664" bestFit="1" customWidth="1"/>
    <col min="11782" max="11782" width="3" style="1664" bestFit="1" customWidth="1"/>
    <col min="11783" max="11783" width="12.140625" style="1664" customWidth="1"/>
    <col min="11784" max="11791" width="7.28515625" style="1664" customWidth="1"/>
    <col min="11792" max="11793" width="12.140625" style="1664" customWidth="1"/>
    <col min="11794" max="11794" width="7.28515625" style="1664" customWidth="1"/>
    <col min="11795" max="11795" width="9.7109375" style="1664" customWidth="1"/>
    <col min="11796" max="12035" width="9.140625" style="1664"/>
    <col min="12036" max="12036" width="3" style="1664" bestFit="1" customWidth="1"/>
    <col min="12037" max="12037" width="14.28515625" style="1664" bestFit="1" customWidth="1"/>
    <col min="12038" max="12038" width="3" style="1664" bestFit="1" customWidth="1"/>
    <col min="12039" max="12039" width="12.140625" style="1664" customWidth="1"/>
    <col min="12040" max="12047" width="7.28515625" style="1664" customWidth="1"/>
    <col min="12048" max="12049" width="12.140625" style="1664" customWidth="1"/>
    <col min="12050" max="12050" width="7.28515625" style="1664" customWidth="1"/>
    <col min="12051" max="12051" width="9.7109375" style="1664" customWidth="1"/>
    <col min="12052" max="12291" width="9.140625" style="1664"/>
    <col min="12292" max="12292" width="3" style="1664" bestFit="1" customWidth="1"/>
    <col min="12293" max="12293" width="14.28515625" style="1664" bestFit="1" customWidth="1"/>
    <col min="12294" max="12294" width="3" style="1664" bestFit="1" customWidth="1"/>
    <col min="12295" max="12295" width="12.140625" style="1664" customWidth="1"/>
    <col min="12296" max="12303" width="7.28515625" style="1664" customWidth="1"/>
    <col min="12304" max="12305" width="12.140625" style="1664" customWidth="1"/>
    <col min="12306" max="12306" width="7.28515625" style="1664" customWidth="1"/>
    <col min="12307" max="12307" width="9.7109375" style="1664" customWidth="1"/>
    <col min="12308" max="12547" width="9.140625" style="1664"/>
    <col min="12548" max="12548" width="3" style="1664" bestFit="1" customWidth="1"/>
    <col min="12549" max="12549" width="14.28515625" style="1664" bestFit="1" customWidth="1"/>
    <col min="12550" max="12550" width="3" style="1664" bestFit="1" customWidth="1"/>
    <col min="12551" max="12551" width="12.140625" style="1664" customWidth="1"/>
    <col min="12552" max="12559" width="7.28515625" style="1664" customWidth="1"/>
    <col min="12560" max="12561" width="12.140625" style="1664" customWidth="1"/>
    <col min="12562" max="12562" width="7.28515625" style="1664" customWidth="1"/>
    <col min="12563" max="12563" width="9.7109375" style="1664" customWidth="1"/>
    <col min="12564" max="12803" width="9.140625" style="1664"/>
    <col min="12804" max="12804" width="3" style="1664" bestFit="1" customWidth="1"/>
    <col min="12805" max="12805" width="14.28515625" style="1664" bestFit="1" customWidth="1"/>
    <col min="12806" max="12806" width="3" style="1664" bestFit="1" customWidth="1"/>
    <col min="12807" max="12807" width="12.140625" style="1664" customWidth="1"/>
    <col min="12808" max="12815" width="7.28515625" style="1664" customWidth="1"/>
    <col min="12816" max="12817" width="12.140625" style="1664" customWidth="1"/>
    <col min="12818" max="12818" width="7.28515625" style="1664" customWidth="1"/>
    <col min="12819" max="12819" width="9.7109375" style="1664" customWidth="1"/>
    <col min="12820" max="13059" width="9.140625" style="1664"/>
    <col min="13060" max="13060" width="3" style="1664" bestFit="1" customWidth="1"/>
    <col min="13061" max="13061" width="14.28515625" style="1664" bestFit="1" customWidth="1"/>
    <col min="13062" max="13062" width="3" style="1664" bestFit="1" customWidth="1"/>
    <col min="13063" max="13063" width="12.140625" style="1664" customWidth="1"/>
    <col min="13064" max="13071" width="7.28515625" style="1664" customWidth="1"/>
    <col min="13072" max="13073" width="12.140625" style="1664" customWidth="1"/>
    <col min="13074" max="13074" width="7.28515625" style="1664" customWidth="1"/>
    <col min="13075" max="13075" width="9.7109375" style="1664" customWidth="1"/>
    <col min="13076" max="13315" width="9.140625" style="1664"/>
    <col min="13316" max="13316" width="3" style="1664" bestFit="1" customWidth="1"/>
    <col min="13317" max="13317" width="14.28515625" style="1664" bestFit="1" customWidth="1"/>
    <col min="13318" max="13318" width="3" style="1664" bestFit="1" customWidth="1"/>
    <col min="13319" max="13319" width="12.140625" style="1664" customWidth="1"/>
    <col min="13320" max="13327" width="7.28515625" style="1664" customWidth="1"/>
    <col min="13328" max="13329" width="12.140625" style="1664" customWidth="1"/>
    <col min="13330" max="13330" width="7.28515625" style="1664" customWidth="1"/>
    <col min="13331" max="13331" width="9.7109375" style="1664" customWidth="1"/>
    <col min="13332" max="13571" width="9.140625" style="1664"/>
    <col min="13572" max="13572" width="3" style="1664" bestFit="1" customWidth="1"/>
    <col min="13573" max="13573" width="14.28515625" style="1664" bestFit="1" customWidth="1"/>
    <col min="13574" max="13574" width="3" style="1664" bestFit="1" customWidth="1"/>
    <col min="13575" max="13575" width="12.140625" style="1664" customWidth="1"/>
    <col min="13576" max="13583" width="7.28515625" style="1664" customWidth="1"/>
    <col min="13584" max="13585" width="12.140625" style="1664" customWidth="1"/>
    <col min="13586" max="13586" width="7.28515625" style="1664" customWidth="1"/>
    <col min="13587" max="13587" width="9.7109375" style="1664" customWidth="1"/>
    <col min="13588" max="13827" width="9.140625" style="1664"/>
    <col min="13828" max="13828" width="3" style="1664" bestFit="1" customWidth="1"/>
    <col min="13829" max="13829" width="14.28515625" style="1664" bestFit="1" customWidth="1"/>
    <col min="13830" max="13830" width="3" style="1664" bestFit="1" customWidth="1"/>
    <col min="13831" max="13831" width="12.140625" style="1664" customWidth="1"/>
    <col min="13832" max="13839" width="7.28515625" style="1664" customWidth="1"/>
    <col min="13840" max="13841" width="12.140625" style="1664" customWidth="1"/>
    <col min="13842" max="13842" width="7.28515625" style="1664" customWidth="1"/>
    <col min="13843" max="13843" width="9.7109375" style="1664" customWidth="1"/>
    <col min="13844" max="14083" width="9.140625" style="1664"/>
    <col min="14084" max="14084" width="3" style="1664" bestFit="1" customWidth="1"/>
    <col min="14085" max="14085" width="14.28515625" style="1664" bestFit="1" customWidth="1"/>
    <col min="14086" max="14086" width="3" style="1664" bestFit="1" customWidth="1"/>
    <col min="14087" max="14087" width="12.140625" style="1664" customWidth="1"/>
    <col min="14088" max="14095" width="7.28515625" style="1664" customWidth="1"/>
    <col min="14096" max="14097" width="12.140625" style="1664" customWidth="1"/>
    <col min="14098" max="14098" width="7.28515625" style="1664" customWidth="1"/>
    <col min="14099" max="14099" width="9.7109375" style="1664" customWidth="1"/>
    <col min="14100" max="14339" width="9.140625" style="1664"/>
    <col min="14340" max="14340" width="3" style="1664" bestFit="1" customWidth="1"/>
    <col min="14341" max="14341" width="14.28515625" style="1664" bestFit="1" customWidth="1"/>
    <col min="14342" max="14342" width="3" style="1664" bestFit="1" customWidth="1"/>
    <col min="14343" max="14343" width="12.140625" style="1664" customWidth="1"/>
    <col min="14344" max="14351" width="7.28515625" style="1664" customWidth="1"/>
    <col min="14352" max="14353" width="12.140625" style="1664" customWidth="1"/>
    <col min="14354" max="14354" width="7.28515625" style="1664" customWidth="1"/>
    <col min="14355" max="14355" width="9.7109375" style="1664" customWidth="1"/>
    <col min="14356" max="14595" width="9.140625" style="1664"/>
    <col min="14596" max="14596" width="3" style="1664" bestFit="1" customWidth="1"/>
    <col min="14597" max="14597" width="14.28515625" style="1664" bestFit="1" customWidth="1"/>
    <col min="14598" max="14598" width="3" style="1664" bestFit="1" customWidth="1"/>
    <col min="14599" max="14599" width="12.140625" style="1664" customWidth="1"/>
    <col min="14600" max="14607" width="7.28515625" style="1664" customWidth="1"/>
    <col min="14608" max="14609" width="12.140625" style="1664" customWidth="1"/>
    <col min="14610" max="14610" width="7.28515625" style="1664" customWidth="1"/>
    <col min="14611" max="14611" width="9.7109375" style="1664" customWidth="1"/>
    <col min="14612" max="14851" width="9.140625" style="1664"/>
    <col min="14852" max="14852" width="3" style="1664" bestFit="1" customWidth="1"/>
    <col min="14853" max="14853" width="14.28515625" style="1664" bestFit="1" customWidth="1"/>
    <col min="14854" max="14854" width="3" style="1664" bestFit="1" customWidth="1"/>
    <col min="14855" max="14855" width="12.140625" style="1664" customWidth="1"/>
    <col min="14856" max="14863" width="7.28515625" style="1664" customWidth="1"/>
    <col min="14864" max="14865" width="12.140625" style="1664" customWidth="1"/>
    <col min="14866" max="14866" width="7.28515625" style="1664" customWidth="1"/>
    <col min="14867" max="14867" width="9.7109375" style="1664" customWidth="1"/>
    <col min="14868" max="15107" width="9.140625" style="1664"/>
    <col min="15108" max="15108" width="3" style="1664" bestFit="1" customWidth="1"/>
    <col min="15109" max="15109" width="14.28515625" style="1664" bestFit="1" customWidth="1"/>
    <col min="15110" max="15110" width="3" style="1664" bestFit="1" customWidth="1"/>
    <col min="15111" max="15111" width="12.140625" style="1664" customWidth="1"/>
    <col min="15112" max="15119" width="7.28515625" style="1664" customWidth="1"/>
    <col min="15120" max="15121" width="12.140625" style="1664" customWidth="1"/>
    <col min="15122" max="15122" width="7.28515625" style="1664" customWidth="1"/>
    <col min="15123" max="15123" width="9.7109375" style="1664" customWidth="1"/>
    <col min="15124" max="15363" width="9.140625" style="1664"/>
    <col min="15364" max="15364" width="3" style="1664" bestFit="1" customWidth="1"/>
    <col min="15365" max="15365" width="14.28515625" style="1664" bestFit="1" customWidth="1"/>
    <col min="15366" max="15366" width="3" style="1664" bestFit="1" customWidth="1"/>
    <col min="15367" max="15367" width="12.140625" style="1664" customWidth="1"/>
    <col min="15368" max="15375" width="7.28515625" style="1664" customWidth="1"/>
    <col min="15376" max="15377" width="12.140625" style="1664" customWidth="1"/>
    <col min="15378" max="15378" width="7.28515625" style="1664" customWidth="1"/>
    <col min="15379" max="15379" width="9.7109375" style="1664" customWidth="1"/>
    <col min="15380" max="15619" width="9.140625" style="1664"/>
    <col min="15620" max="15620" width="3" style="1664" bestFit="1" customWidth="1"/>
    <col min="15621" max="15621" width="14.28515625" style="1664" bestFit="1" customWidth="1"/>
    <col min="15622" max="15622" width="3" style="1664" bestFit="1" customWidth="1"/>
    <col min="15623" max="15623" width="12.140625" style="1664" customWidth="1"/>
    <col min="15624" max="15631" width="7.28515625" style="1664" customWidth="1"/>
    <col min="15632" max="15633" width="12.140625" style="1664" customWidth="1"/>
    <col min="15634" max="15634" width="7.28515625" style="1664" customWidth="1"/>
    <col min="15635" max="15635" width="9.7109375" style="1664" customWidth="1"/>
    <col min="15636" max="15875" width="9.140625" style="1664"/>
    <col min="15876" max="15876" width="3" style="1664" bestFit="1" customWidth="1"/>
    <col min="15877" max="15877" width="14.28515625" style="1664" bestFit="1" customWidth="1"/>
    <col min="15878" max="15878" width="3" style="1664" bestFit="1" customWidth="1"/>
    <col min="15879" max="15879" width="12.140625" style="1664" customWidth="1"/>
    <col min="15880" max="15887" width="7.28515625" style="1664" customWidth="1"/>
    <col min="15888" max="15889" width="12.140625" style="1664" customWidth="1"/>
    <col min="15890" max="15890" width="7.28515625" style="1664" customWidth="1"/>
    <col min="15891" max="15891" width="9.7109375" style="1664" customWidth="1"/>
    <col min="15892" max="16131" width="9.140625" style="1664"/>
    <col min="16132" max="16132" width="3" style="1664" bestFit="1" customWidth="1"/>
    <col min="16133" max="16133" width="14.28515625" style="1664" bestFit="1" customWidth="1"/>
    <col min="16134" max="16134" width="3" style="1664" bestFit="1" customWidth="1"/>
    <col min="16135" max="16135" width="12.140625" style="1664" customWidth="1"/>
    <col min="16136" max="16143" width="7.28515625" style="1664" customWidth="1"/>
    <col min="16144" max="16145" width="12.140625" style="1664" customWidth="1"/>
    <col min="16146" max="16146" width="7.28515625" style="1664" customWidth="1"/>
    <col min="16147" max="16147" width="9.7109375" style="1664" customWidth="1"/>
    <col min="16148" max="16384" width="9.140625" style="1664"/>
  </cols>
  <sheetData>
    <row r="1" spans="1:28" ht="15" x14ac:dyDescent="0.25">
      <c r="A1" s="453"/>
      <c r="B1" s="670"/>
      <c r="C1" s="670"/>
      <c r="D1" s="996"/>
      <c r="E1" s="996"/>
      <c r="F1" s="996"/>
      <c r="G1" s="996"/>
      <c r="H1" s="996"/>
      <c r="I1" s="996"/>
      <c r="J1" s="996"/>
      <c r="K1" s="996"/>
      <c r="L1" s="996"/>
      <c r="M1" s="996"/>
      <c r="N1" s="996"/>
      <c r="O1" s="996"/>
      <c r="P1" s="996"/>
      <c r="Q1" s="996"/>
      <c r="R1" s="996"/>
      <c r="S1" s="996"/>
      <c r="T1" s="229"/>
      <c r="U1" s="229"/>
      <c r="V1" s="229"/>
      <c r="W1" s="229"/>
      <c r="X1" s="229"/>
    </row>
    <row r="2" spans="1:28" ht="14.45" customHeight="1" x14ac:dyDescent="0.25">
      <c r="A2" s="453">
        <v>1</v>
      </c>
      <c r="B2" s="453" t="s">
        <v>24</v>
      </c>
      <c r="C2" s="453">
        <f>1+'SET Uni'!C2</f>
        <v>50</v>
      </c>
      <c r="D2" s="3825" t="s">
        <v>952</v>
      </c>
      <c r="E2" s="3826"/>
      <c r="F2" s="3826"/>
      <c r="G2" s="3826"/>
      <c r="H2" s="3826"/>
      <c r="I2" s="3826"/>
      <c r="J2" s="3826"/>
      <c r="K2" s="3826"/>
      <c r="L2" s="3826"/>
      <c r="M2" s="3826"/>
      <c r="N2" s="3826"/>
      <c r="O2" s="3826"/>
      <c r="P2" s="3826"/>
      <c r="Q2" s="3826"/>
      <c r="R2" s="3826"/>
      <c r="S2" s="3827"/>
      <c r="T2" s="1026"/>
      <c r="U2" s="1026"/>
      <c r="V2" s="1026"/>
      <c r="W2" s="229"/>
      <c r="X2" s="229"/>
    </row>
    <row r="3" spans="1:28" ht="15" x14ac:dyDescent="0.25">
      <c r="A3" s="453">
        <v>2</v>
      </c>
      <c r="B3" s="453" t="s">
        <v>26</v>
      </c>
      <c r="C3" s="453"/>
      <c r="D3" s="3553" t="s">
        <v>860</v>
      </c>
      <c r="E3" s="3554"/>
      <c r="F3" s="3554"/>
      <c r="G3" s="3554"/>
      <c r="H3" s="3554"/>
      <c r="I3" s="3554"/>
      <c r="J3" s="3554"/>
      <c r="K3" s="3554"/>
      <c r="L3" s="3554"/>
      <c r="M3" s="3554"/>
      <c r="N3" s="3554"/>
      <c r="O3" s="3554"/>
      <c r="P3" s="3554"/>
      <c r="Q3" s="3554"/>
      <c r="R3" s="3554"/>
      <c r="S3" s="3555"/>
      <c r="T3" s="229"/>
      <c r="U3" s="229"/>
      <c r="V3" s="229"/>
      <c r="W3" s="229"/>
      <c r="X3" s="229"/>
    </row>
    <row r="4" spans="1:28" ht="38.450000000000003" customHeight="1" x14ac:dyDescent="0.2">
      <c r="A4" s="453">
        <v>3</v>
      </c>
      <c r="B4" s="453" t="s">
        <v>28</v>
      </c>
      <c r="C4" s="453"/>
      <c r="D4" s="3553" t="s">
        <v>951</v>
      </c>
      <c r="E4" s="3554"/>
      <c r="F4" s="3554"/>
      <c r="G4" s="3554"/>
      <c r="H4" s="3554"/>
      <c r="I4" s="3554"/>
      <c r="J4" s="3554"/>
      <c r="K4" s="3554"/>
      <c r="L4" s="3554"/>
      <c r="M4" s="3554"/>
      <c r="N4" s="3554"/>
      <c r="O4" s="3554"/>
      <c r="P4" s="3554"/>
      <c r="Q4" s="3554"/>
      <c r="R4" s="3554"/>
      <c r="S4" s="3555"/>
      <c r="T4" s="195"/>
      <c r="U4" s="195"/>
      <c r="V4" s="195"/>
      <c r="W4" s="195"/>
      <c r="X4" s="195"/>
      <c r="Y4" s="195"/>
      <c r="Z4" s="195"/>
    </row>
    <row r="5" spans="1:28" ht="38.450000000000003" customHeight="1" x14ac:dyDescent="0.2">
      <c r="A5" s="453"/>
      <c r="B5" s="453"/>
      <c r="C5" s="453"/>
      <c r="D5" s="1481"/>
      <c r="E5" s="1481"/>
      <c r="F5" s="1481"/>
      <c r="G5" s="1481"/>
      <c r="H5" s="1481"/>
      <c r="I5" s="1481"/>
      <c r="J5" s="1481"/>
      <c r="K5" s="1481"/>
      <c r="L5" s="1481"/>
      <c r="M5" s="1481"/>
      <c r="N5" s="1481"/>
      <c r="O5" s="1481"/>
      <c r="P5" s="1481"/>
      <c r="Q5" s="1481"/>
      <c r="R5" s="1481"/>
      <c r="S5" s="1482"/>
      <c r="T5" s="195"/>
      <c r="U5" s="195"/>
      <c r="V5" s="195"/>
      <c r="W5" s="195"/>
      <c r="X5" s="195"/>
      <c r="Y5" s="195"/>
      <c r="Z5" s="195"/>
    </row>
    <row r="6" spans="1:28" ht="15" x14ac:dyDescent="0.25">
      <c r="A6" s="453">
        <v>4</v>
      </c>
      <c r="B6" s="453" t="s">
        <v>1</v>
      </c>
      <c r="C6" s="453"/>
      <c r="D6" s="2067"/>
      <c r="E6" s="2067"/>
      <c r="F6" s="2067"/>
      <c r="G6" s="2067"/>
      <c r="H6" s="2067"/>
      <c r="I6" s="2067"/>
      <c r="J6" s="2067"/>
      <c r="K6" s="2067"/>
      <c r="L6" s="2067"/>
      <c r="M6" s="2067"/>
      <c r="N6" s="723"/>
      <c r="O6" s="723"/>
      <c r="Q6" s="2067"/>
      <c r="R6" s="2067"/>
      <c r="S6" s="2067"/>
      <c r="T6" s="3854"/>
      <c r="U6" s="3854"/>
      <c r="V6" s="3854"/>
      <c r="W6" s="3854"/>
      <c r="X6" s="3854"/>
      <c r="Y6" s="3854"/>
    </row>
    <row r="7" spans="1:28" ht="15" x14ac:dyDescent="0.25">
      <c r="A7" s="453"/>
      <c r="B7" s="670"/>
      <c r="C7" s="670"/>
      <c r="D7" s="2022" t="s">
        <v>950</v>
      </c>
      <c r="E7" s="2022"/>
      <c r="F7" s="2022"/>
      <c r="G7" s="2022"/>
      <c r="H7" s="2022"/>
      <c r="I7" s="2023"/>
      <c r="Q7" s="1024"/>
      <c r="R7" s="723"/>
      <c r="S7" s="229"/>
      <c r="T7" s="229"/>
      <c r="U7" s="229"/>
      <c r="V7" s="229"/>
      <c r="W7" s="229"/>
      <c r="X7" s="229"/>
      <c r="Y7" s="229"/>
      <c r="Z7" s="229"/>
      <c r="AA7" s="229"/>
      <c r="AB7" s="229"/>
    </row>
    <row r="8" spans="1:28" ht="20.45" customHeight="1" x14ac:dyDescent="0.25">
      <c r="A8" s="453"/>
      <c r="B8" s="670"/>
      <c r="C8" s="670"/>
      <c r="D8" s="2090"/>
      <c r="E8" s="3852" t="s">
        <v>949</v>
      </c>
      <c r="F8" s="3852"/>
      <c r="G8" s="3852"/>
      <c r="H8" s="3853"/>
      <c r="I8" s="3852" t="s">
        <v>948</v>
      </c>
      <c r="J8" s="3852"/>
      <c r="K8" s="3852"/>
      <c r="L8" s="3853"/>
      <c r="M8" s="3852" t="s">
        <v>947</v>
      </c>
      <c r="N8" s="3852"/>
      <c r="O8" s="3852"/>
      <c r="P8" s="3853"/>
      <c r="Q8" s="1024"/>
      <c r="R8" s="723"/>
      <c r="S8" s="229"/>
      <c r="T8" s="229"/>
      <c r="U8" s="229"/>
      <c r="V8" s="229"/>
      <c r="W8" s="229"/>
      <c r="X8" s="229"/>
      <c r="Y8" s="229"/>
      <c r="Z8" s="229"/>
      <c r="AA8" s="229"/>
      <c r="AB8" s="229"/>
    </row>
    <row r="9" spans="1:28" ht="15" x14ac:dyDescent="0.25">
      <c r="A9" s="453"/>
      <c r="B9" s="670"/>
      <c r="C9" s="670"/>
      <c r="D9" s="2091" t="s">
        <v>413</v>
      </c>
      <c r="E9" s="2092" t="s">
        <v>946</v>
      </c>
      <c r="F9" s="2093"/>
      <c r="G9" s="2094" t="s">
        <v>945</v>
      </c>
      <c r="H9" s="2091"/>
      <c r="I9" s="2092" t="s">
        <v>946</v>
      </c>
      <c r="J9" s="2093"/>
      <c r="K9" s="2094" t="s">
        <v>945</v>
      </c>
      <c r="L9" s="2091"/>
      <c r="M9" s="2092" t="s">
        <v>946</v>
      </c>
      <c r="N9" s="2093"/>
      <c r="O9" s="2094" t="s">
        <v>945</v>
      </c>
      <c r="P9" s="2091"/>
      <c r="Q9" s="723"/>
      <c r="R9" s="229"/>
      <c r="S9" s="229"/>
      <c r="T9" s="229"/>
      <c r="U9" s="229"/>
      <c r="V9" s="229"/>
      <c r="W9" s="229"/>
      <c r="X9" s="229"/>
      <c r="Y9" s="229"/>
      <c r="Z9" s="229"/>
      <c r="AA9" s="229"/>
      <c r="AB9" s="229"/>
    </row>
    <row r="10" spans="1:28" ht="15" x14ac:dyDescent="0.25">
      <c r="A10" s="453"/>
      <c r="B10" s="670"/>
      <c r="C10" s="670"/>
      <c r="D10" s="2091"/>
      <c r="E10" s="2095" t="s">
        <v>944</v>
      </c>
      <c r="F10" s="2096" t="s">
        <v>943</v>
      </c>
      <c r="G10" s="2096" t="s">
        <v>944</v>
      </c>
      <c r="H10" s="2097" t="s">
        <v>943</v>
      </c>
      <c r="I10" s="2095" t="s">
        <v>944</v>
      </c>
      <c r="J10" s="2096" t="s">
        <v>943</v>
      </c>
      <c r="K10" s="2096" t="s">
        <v>944</v>
      </c>
      <c r="L10" s="2097" t="s">
        <v>943</v>
      </c>
      <c r="M10" s="2095" t="s">
        <v>944</v>
      </c>
      <c r="N10" s="2096" t="s">
        <v>943</v>
      </c>
      <c r="O10" s="2096" t="s">
        <v>944</v>
      </c>
      <c r="P10" s="2097" t="s">
        <v>943</v>
      </c>
      <c r="Q10" s="723"/>
      <c r="R10" s="229"/>
      <c r="S10" s="229"/>
      <c r="T10" s="229"/>
      <c r="U10" s="229"/>
      <c r="V10" s="229"/>
      <c r="W10" s="229"/>
      <c r="X10" s="229"/>
      <c r="Y10" s="229"/>
      <c r="Z10" s="229"/>
      <c r="AA10" s="229"/>
      <c r="AB10" s="229"/>
    </row>
    <row r="11" spans="1:28" ht="15" x14ac:dyDescent="0.25">
      <c r="A11" s="453"/>
      <c r="B11" s="670"/>
      <c r="C11" s="670"/>
      <c r="D11" s="2091" t="s">
        <v>415</v>
      </c>
      <c r="E11" s="1061">
        <v>444.1</v>
      </c>
      <c r="F11" s="410">
        <v>14.02</v>
      </c>
      <c r="G11" s="2098">
        <v>449.3</v>
      </c>
      <c r="H11" s="2099">
        <v>10.74</v>
      </c>
      <c r="I11" s="1061">
        <v>447.8</v>
      </c>
      <c r="J11" s="410">
        <v>10.130000000000001</v>
      </c>
      <c r="K11" s="2098">
        <v>468.8</v>
      </c>
      <c r="L11" s="2099">
        <v>10.31</v>
      </c>
      <c r="M11" s="1061">
        <v>534.68723494833466</v>
      </c>
      <c r="N11" s="410">
        <v>9.8711320323500882</v>
      </c>
      <c r="O11" s="2098">
        <v>570.1517759009364</v>
      </c>
      <c r="P11" s="2099">
        <v>8.589279018499834</v>
      </c>
      <c r="Q11" s="723"/>
      <c r="R11" s="229"/>
      <c r="S11" s="229"/>
      <c r="T11" s="229"/>
      <c r="U11" s="229"/>
      <c r="V11" s="229"/>
      <c r="W11" s="229"/>
      <c r="X11" s="229"/>
      <c r="Y11" s="229"/>
      <c r="Z11" s="229"/>
      <c r="AA11" s="229"/>
      <c r="AB11" s="229"/>
    </row>
    <row r="12" spans="1:28" ht="15" x14ac:dyDescent="0.25">
      <c r="A12" s="453"/>
      <c r="B12" s="670"/>
      <c r="C12" s="670"/>
      <c r="D12" s="2091" t="s">
        <v>417</v>
      </c>
      <c r="E12" s="1061">
        <v>446.2</v>
      </c>
      <c r="F12" s="410">
        <v>12.46</v>
      </c>
      <c r="G12" s="2098">
        <v>447.5</v>
      </c>
      <c r="H12" s="2099">
        <v>6</v>
      </c>
      <c r="I12" s="1061">
        <v>491.1</v>
      </c>
      <c r="J12" s="410">
        <v>12.48</v>
      </c>
      <c r="K12" s="2098">
        <v>491.6</v>
      </c>
      <c r="L12" s="2099">
        <v>10.08</v>
      </c>
      <c r="M12" s="1061">
        <v>562.79913115725174</v>
      </c>
      <c r="N12" s="410">
        <v>8.2333151683005621</v>
      </c>
      <c r="O12" s="2098">
        <v>584.27423054594976</v>
      </c>
      <c r="P12" s="2099">
        <v>8.234744094632676</v>
      </c>
      <c r="Q12" s="723"/>
      <c r="R12" s="229"/>
      <c r="S12" s="229"/>
      <c r="T12" s="229"/>
      <c r="U12" s="229"/>
      <c r="V12" s="229"/>
      <c r="W12" s="229"/>
      <c r="X12" s="229"/>
      <c r="Y12" s="229"/>
      <c r="Z12" s="229"/>
      <c r="AA12" s="229"/>
      <c r="AB12" s="229"/>
    </row>
    <row r="13" spans="1:28" ht="15" x14ac:dyDescent="0.25">
      <c r="A13" s="453"/>
      <c r="B13" s="670"/>
      <c r="C13" s="670"/>
      <c r="D13" s="2091" t="s">
        <v>420</v>
      </c>
      <c r="E13" s="1061">
        <v>576.4</v>
      </c>
      <c r="F13" s="410">
        <v>35.229999999999997</v>
      </c>
      <c r="G13" s="2098">
        <v>552.4</v>
      </c>
      <c r="H13" s="2099">
        <v>26.02</v>
      </c>
      <c r="I13" s="1061">
        <v>573.1</v>
      </c>
      <c r="J13" s="410">
        <v>14.39</v>
      </c>
      <c r="K13" s="2098">
        <v>454</v>
      </c>
      <c r="L13" s="2099">
        <v>11.99</v>
      </c>
      <c r="M13" s="1061">
        <v>599.47376506451326</v>
      </c>
      <c r="N13" s="410">
        <v>8.9268241345634181</v>
      </c>
      <c r="O13" s="2098">
        <v>614.62592115785981</v>
      </c>
      <c r="P13" s="2099">
        <v>10.525863813950815</v>
      </c>
      <c r="Q13" s="723"/>
      <c r="R13" s="229"/>
      <c r="S13" s="229"/>
      <c r="T13" s="229"/>
      <c r="U13" s="229"/>
      <c r="V13" s="229"/>
      <c r="W13" s="229"/>
      <c r="X13" s="229"/>
      <c r="Y13" s="229"/>
      <c r="Z13" s="229"/>
      <c r="AA13" s="229"/>
      <c r="AB13" s="229"/>
    </row>
    <row r="14" spans="1:28" ht="15" x14ac:dyDescent="0.25">
      <c r="A14" s="453"/>
      <c r="B14" s="670"/>
      <c r="C14" s="670"/>
      <c r="D14" s="2091" t="s">
        <v>418</v>
      </c>
      <c r="E14" s="1061">
        <v>517.5</v>
      </c>
      <c r="F14" s="410">
        <v>21.63</v>
      </c>
      <c r="G14" s="2098">
        <v>510.3</v>
      </c>
      <c r="H14" s="2099">
        <v>17.48</v>
      </c>
      <c r="I14" s="1061">
        <v>485.6</v>
      </c>
      <c r="J14" s="410">
        <v>10.56</v>
      </c>
      <c r="K14" s="2098">
        <v>485.2</v>
      </c>
      <c r="L14" s="2099">
        <v>8.2200000000000006</v>
      </c>
      <c r="M14" s="1061">
        <v>551.62632539267133</v>
      </c>
      <c r="N14" s="410">
        <v>8.3152640597113461</v>
      </c>
      <c r="O14" s="2098">
        <v>579.0983506438821</v>
      </c>
      <c r="P14" s="2099">
        <v>7.5788360553072103</v>
      </c>
      <c r="Q14" s="723"/>
      <c r="R14" s="229"/>
      <c r="S14" s="229"/>
      <c r="T14" s="229"/>
      <c r="U14" s="229"/>
      <c r="V14" s="229"/>
      <c r="W14" s="229"/>
      <c r="X14" s="229"/>
      <c r="Y14" s="229"/>
      <c r="Z14" s="229"/>
      <c r="AA14" s="229"/>
      <c r="AB14" s="229"/>
    </row>
    <row r="15" spans="1:28" ht="15" x14ac:dyDescent="0.25">
      <c r="A15" s="453"/>
      <c r="B15" s="670"/>
      <c r="C15" s="670"/>
      <c r="D15" s="2091" t="s">
        <v>422</v>
      </c>
      <c r="E15" s="1061">
        <v>428.1</v>
      </c>
      <c r="F15" s="410">
        <v>17.54</v>
      </c>
      <c r="G15" s="2098">
        <v>433.4</v>
      </c>
      <c r="H15" s="2099">
        <v>10.82</v>
      </c>
      <c r="I15" s="1061">
        <v>425.3</v>
      </c>
      <c r="J15" s="410">
        <v>7.68</v>
      </c>
      <c r="K15" s="2098">
        <v>446.7</v>
      </c>
      <c r="L15" s="2099">
        <v>5.25</v>
      </c>
      <c r="M15" s="1061">
        <v>519.03348696387752</v>
      </c>
      <c r="N15" s="410">
        <v>7.8376997357182061</v>
      </c>
      <c r="O15" s="2098">
        <v>554.17525361291575</v>
      </c>
      <c r="P15" s="2099">
        <v>7.0078553761247973</v>
      </c>
      <c r="Q15" s="1063"/>
      <c r="R15" s="229"/>
      <c r="S15" s="229"/>
      <c r="T15" s="229"/>
      <c r="U15" s="229"/>
      <c r="V15" s="229"/>
      <c r="W15" s="229"/>
      <c r="X15" s="229"/>
      <c r="Y15" s="229"/>
      <c r="Z15" s="229"/>
      <c r="AA15" s="229"/>
      <c r="AB15" s="229"/>
    </row>
    <row r="16" spans="1:28" ht="15" x14ac:dyDescent="0.25">
      <c r="A16" s="453"/>
      <c r="B16" s="670"/>
      <c r="C16" s="670"/>
      <c r="D16" s="2091" t="s">
        <v>421</v>
      </c>
      <c r="E16" s="1061">
        <v>470.3</v>
      </c>
      <c r="F16" s="410">
        <v>13.37</v>
      </c>
      <c r="G16" s="2098">
        <v>460.9</v>
      </c>
      <c r="H16" s="2099">
        <v>8.24</v>
      </c>
      <c r="I16" s="1061">
        <v>473.6</v>
      </c>
      <c r="J16" s="410">
        <v>11.13</v>
      </c>
      <c r="K16" s="2098">
        <v>476.1</v>
      </c>
      <c r="L16" s="2099">
        <v>8.19</v>
      </c>
      <c r="M16" s="1061">
        <v>552.52901134320621</v>
      </c>
      <c r="N16" s="410">
        <v>7.4943157022607396</v>
      </c>
      <c r="O16" s="2098">
        <v>575.68431453960181</v>
      </c>
      <c r="P16" s="2099">
        <v>9.620714143568101</v>
      </c>
      <c r="Q16" s="1062"/>
      <c r="R16" s="229"/>
      <c r="S16" s="229"/>
      <c r="T16" s="229"/>
      <c r="U16" s="229"/>
      <c r="V16" s="229"/>
      <c r="W16" s="229"/>
      <c r="X16" s="229"/>
      <c r="Y16" s="229"/>
      <c r="Z16" s="229"/>
      <c r="AA16" s="229"/>
      <c r="AB16" s="229"/>
    </row>
    <row r="17" spans="1:28" ht="15" x14ac:dyDescent="0.25">
      <c r="A17" s="453"/>
      <c r="B17" s="670"/>
      <c r="C17" s="670"/>
      <c r="D17" s="2091" t="s">
        <v>419</v>
      </c>
      <c r="E17" s="1061">
        <v>436.7</v>
      </c>
      <c r="F17" s="410">
        <v>19.649999999999999</v>
      </c>
      <c r="G17" s="2098">
        <v>446</v>
      </c>
      <c r="H17" s="2099">
        <v>18.809999999999999</v>
      </c>
      <c r="I17" s="1061">
        <v>506.3</v>
      </c>
      <c r="J17" s="410">
        <v>14.19</v>
      </c>
      <c r="K17" s="2098">
        <v>503.1</v>
      </c>
      <c r="L17" s="2099">
        <v>13.14</v>
      </c>
      <c r="M17" s="1061">
        <v>543.48279939074735</v>
      </c>
      <c r="N17" s="410">
        <v>9.2018775902191834</v>
      </c>
      <c r="O17" s="2098">
        <v>573.8544808041604</v>
      </c>
      <c r="P17" s="2099">
        <v>9.8583655084850896</v>
      </c>
      <c r="Q17" s="723"/>
      <c r="R17" s="229"/>
      <c r="S17" s="229"/>
      <c r="T17" s="229"/>
      <c r="U17" s="229"/>
      <c r="V17" s="229"/>
      <c r="W17" s="229"/>
      <c r="X17" s="229"/>
      <c r="Y17" s="229"/>
      <c r="Z17" s="229"/>
      <c r="AA17" s="229"/>
      <c r="AB17" s="229"/>
    </row>
    <row r="18" spans="1:28" ht="15" x14ac:dyDescent="0.25">
      <c r="A18" s="453"/>
      <c r="B18" s="670"/>
      <c r="C18" s="670"/>
      <c r="D18" s="2091" t="s">
        <v>416</v>
      </c>
      <c r="E18" s="1061">
        <v>427.7</v>
      </c>
      <c r="F18" s="410">
        <v>9.61</v>
      </c>
      <c r="G18" s="2098">
        <v>419.6</v>
      </c>
      <c r="H18" s="2099">
        <v>10.6</v>
      </c>
      <c r="I18" s="1061">
        <v>505.6</v>
      </c>
      <c r="J18" s="410">
        <v>12.56</v>
      </c>
      <c r="K18" s="2098">
        <v>498.7</v>
      </c>
      <c r="L18" s="2099">
        <v>10.83</v>
      </c>
      <c r="M18" s="1061">
        <v>544.3147149452227</v>
      </c>
      <c r="N18" s="410">
        <v>10.568633610266732</v>
      </c>
      <c r="O18" s="2098">
        <v>575.21079015976068</v>
      </c>
      <c r="P18" s="2099">
        <v>7.834705260177766</v>
      </c>
      <c r="Q18" s="723"/>
      <c r="R18" s="229"/>
      <c r="S18" s="229"/>
      <c r="T18" s="229"/>
      <c r="U18" s="229"/>
      <c r="V18" s="229"/>
      <c r="W18" s="229"/>
      <c r="X18" s="229"/>
      <c r="Y18" s="229"/>
      <c r="Z18" s="229"/>
      <c r="AA18" s="229"/>
      <c r="AB18" s="229"/>
    </row>
    <row r="19" spans="1:28" ht="15" x14ac:dyDescent="0.25">
      <c r="A19" s="453"/>
      <c r="B19" s="670"/>
      <c r="C19" s="670"/>
      <c r="D19" s="2091" t="s">
        <v>414</v>
      </c>
      <c r="E19" s="1060">
        <v>629.29999999999995</v>
      </c>
      <c r="F19" s="1059">
        <v>17.95</v>
      </c>
      <c r="G19" s="1059">
        <v>591.1</v>
      </c>
      <c r="H19" s="1058">
        <v>23.94</v>
      </c>
      <c r="I19" s="1060">
        <v>583.4</v>
      </c>
      <c r="J19" s="1059">
        <v>11.08</v>
      </c>
      <c r="K19" s="1059">
        <v>565.70000000000005</v>
      </c>
      <c r="L19" s="1058">
        <v>12.01</v>
      </c>
      <c r="M19" s="1060">
        <v>630.14704752846217</v>
      </c>
      <c r="N19" s="1059">
        <v>12.69394276709963</v>
      </c>
      <c r="O19" s="1059">
        <v>672.93697842067093</v>
      </c>
      <c r="P19" s="1058">
        <v>17.171808241333721</v>
      </c>
      <c r="Q19" s="723"/>
      <c r="R19" s="229"/>
      <c r="S19" s="229"/>
      <c r="T19" s="229"/>
      <c r="U19" s="229"/>
    </row>
    <row r="20" spans="1:28" ht="15" x14ac:dyDescent="0.25">
      <c r="A20" s="453"/>
      <c r="B20" s="670"/>
      <c r="C20" s="670"/>
      <c r="D20" s="2100" t="s">
        <v>347</v>
      </c>
      <c r="E20" s="2101">
        <v>492.3</v>
      </c>
      <c r="F20" s="2101">
        <v>9</v>
      </c>
      <c r="G20" s="2102">
        <v>486.1</v>
      </c>
      <c r="H20" s="2103">
        <v>7.19</v>
      </c>
      <c r="I20" s="2101">
        <v>494.9</v>
      </c>
      <c r="J20" s="2101">
        <v>4.55</v>
      </c>
      <c r="K20" s="2102">
        <v>494.8</v>
      </c>
      <c r="L20" s="2103">
        <v>3.81</v>
      </c>
      <c r="M20" s="2101">
        <v>557.99465239399876</v>
      </c>
      <c r="N20" s="2101">
        <v>3.4807817910979524</v>
      </c>
      <c r="O20" s="2102">
        <v>587.17936436728598</v>
      </c>
      <c r="P20" s="2103">
        <v>3.4704566737163378</v>
      </c>
      <c r="Q20" s="723"/>
      <c r="R20" s="229"/>
      <c r="S20" s="229"/>
      <c r="T20" s="229"/>
      <c r="U20" s="229"/>
    </row>
    <row r="21" spans="1:28" ht="15" x14ac:dyDescent="0.25">
      <c r="A21" s="453"/>
      <c r="B21" s="670"/>
      <c r="C21" s="670"/>
      <c r="D21" s="277"/>
      <c r="E21" s="276"/>
      <c r="F21" s="2104"/>
      <c r="G21" s="2105"/>
      <c r="H21" s="276"/>
      <c r="I21" s="75"/>
      <c r="Q21" s="723"/>
      <c r="R21" s="229"/>
      <c r="S21" s="229"/>
      <c r="T21" s="229"/>
      <c r="U21" s="229"/>
    </row>
    <row r="22" spans="1:28" ht="15" x14ac:dyDescent="0.25">
      <c r="A22" s="453"/>
      <c r="B22" s="670"/>
      <c r="C22" s="670"/>
      <c r="D22" s="426"/>
      <c r="E22" s="1057"/>
      <c r="F22" s="374"/>
      <c r="G22" s="617"/>
      <c r="H22" s="617"/>
      <c r="I22" s="2088"/>
      <c r="J22" s="2106"/>
      <c r="K22" s="2106"/>
      <c r="L22" s="2106"/>
      <c r="M22" s="2106"/>
      <c r="N22" s="2106"/>
      <c r="O22" s="2106"/>
      <c r="P22" s="2106"/>
      <c r="Q22" s="723"/>
      <c r="R22" s="229"/>
      <c r="S22" s="229"/>
      <c r="T22" s="229"/>
      <c r="U22" s="229"/>
    </row>
    <row r="23" spans="1:28" ht="15" x14ac:dyDescent="0.25">
      <c r="A23" s="453"/>
      <c r="B23" s="453"/>
      <c r="C23" s="670"/>
      <c r="D23" s="426"/>
      <c r="E23" s="1057"/>
      <c r="F23" s="374"/>
      <c r="G23" s="617"/>
      <c r="H23" s="617"/>
      <c r="I23" s="2088"/>
      <c r="J23" s="2106"/>
      <c r="K23" s="2106"/>
      <c r="L23" s="2106"/>
      <c r="M23" s="2106"/>
      <c r="N23" s="2106"/>
      <c r="O23" s="2106"/>
      <c r="P23" s="2106"/>
      <c r="Q23" s="723"/>
      <c r="R23" s="229"/>
      <c r="S23" s="229"/>
      <c r="T23" s="229"/>
      <c r="U23" s="229"/>
    </row>
    <row r="24" spans="1:28" ht="15" x14ac:dyDescent="0.25">
      <c r="A24" s="453"/>
      <c r="B24" s="670"/>
      <c r="C24" s="670"/>
      <c r="I24" s="229"/>
      <c r="J24" s="2106"/>
      <c r="K24" s="2106"/>
      <c r="L24" s="2106"/>
      <c r="M24" s="2106"/>
      <c r="N24" s="2106"/>
      <c r="O24" s="2106"/>
      <c r="P24" s="2106"/>
      <c r="Q24" s="723"/>
      <c r="R24" s="229"/>
      <c r="S24" s="229"/>
      <c r="T24" s="229"/>
      <c r="U24" s="229"/>
    </row>
    <row r="25" spans="1:28" ht="15" x14ac:dyDescent="0.25">
      <c r="A25" s="453"/>
      <c r="B25" s="670"/>
      <c r="C25" s="670"/>
      <c r="I25" s="229"/>
      <c r="J25" s="2106"/>
      <c r="K25" s="2106"/>
      <c r="L25" s="2106"/>
      <c r="M25" s="2106"/>
      <c r="N25" s="2106"/>
      <c r="O25" s="2106"/>
      <c r="P25" s="2106"/>
      <c r="Q25" s="723"/>
      <c r="R25" s="229"/>
      <c r="S25" s="229"/>
      <c r="T25" s="229"/>
      <c r="U25" s="229"/>
    </row>
    <row r="26" spans="1:28" ht="15" x14ac:dyDescent="0.25">
      <c r="A26" s="453"/>
      <c r="B26" s="670"/>
      <c r="C26" s="670"/>
      <c r="I26" s="229"/>
      <c r="J26" s="2106"/>
      <c r="K26" s="2106"/>
      <c r="L26" s="2106"/>
      <c r="M26" s="2106"/>
      <c r="N26" s="2106"/>
      <c r="O26" s="2106"/>
      <c r="P26" s="2106"/>
      <c r="Q26" s="1056"/>
      <c r="R26" s="2028"/>
      <c r="S26" s="75"/>
      <c r="T26" s="723"/>
      <c r="U26" s="229"/>
      <c r="V26" s="229"/>
      <c r="W26" s="229"/>
      <c r="X26" s="229"/>
    </row>
    <row r="27" spans="1:28" ht="13.15" customHeight="1" x14ac:dyDescent="0.25">
      <c r="A27" s="453">
        <v>5</v>
      </c>
      <c r="B27" s="453" t="s">
        <v>78</v>
      </c>
      <c r="C27" s="453"/>
      <c r="D27" s="3553" t="s">
        <v>942</v>
      </c>
      <c r="E27" s="3554"/>
      <c r="F27" s="3554"/>
      <c r="G27" s="3554"/>
      <c r="H27" s="3554"/>
      <c r="I27" s="3554"/>
      <c r="J27" s="3554"/>
      <c r="K27" s="3554"/>
      <c r="L27" s="3554"/>
      <c r="M27" s="3554"/>
      <c r="N27" s="3554"/>
      <c r="O27" s="3554"/>
      <c r="P27" s="3554"/>
      <c r="Q27" s="3554"/>
      <c r="R27" s="3554"/>
      <c r="S27" s="3555"/>
      <c r="T27" s="229"/>
      <c r="U27" s="229"/>
      <c r="V27" s="229"/>
      <c r="W27" s="229"/>
      <c r="X27" s="229"/>
    </row>
    <row r="28" spans="1:28" ht="97.15" customHeight="1" x14ac:dyDescent="0.25">
      <c r="A28" s="453">
        <v>6</v>
      </c>
      <c r="B28" s="453" t="s">
        <v>83</v>
      </c>
      <c r="C28" s="453"/>
      <c r="D28" s="3553" t="s">
        <v>941</v>
      </c>
      <c r="E28" s="3554"/>
      <c r="F28" s="3554"/>
      <c r="G28" s="3554"/>
      <c r="H28" s="3554"/>
      <c r="I28" s="3554"/>
      <c r="J28" s="3554"/>
      <c r="K28" s="3554"/>
      <c r="L28" s="3554"/>
      <c r="M28" s="3554"/>
      <c r="N28" s="3554"/>
      <c r="O28" s="3554"/>
      <c r="P28" s="3554"/>
      <c r="Q28" s="3554"/>
      <c r="R28" s="3554"/>
      <c r="S28" s="3555"/>
      <c r="T28" s="229"/>
      <c r="U28" s="229"/>
      <c r="V28" s="229"/>
      <c r="W28" s="229"/>
      <c r="X28" s="229"/>
    </row>
    <row r="29" spans="1:28" ht="49.15" customHeight="1" x14ac:dyDescent="0.25">
      <c r="A29" s="472">
        <v>7</v>
      </c>
      <c r="B29" s="472" t="s">
        <v>80</v>
      </c>
      <c r="C29" s="472"/>
      <c r="D29" s="3578" t="s">
        <v>940</v>
      </c>
      <c r="E29" s="3579"/>
      <c r="F29" s="3579"/>
      <c r="G29" s="3579"/>
      <c r="H29" s="3579"/>
      <c r="I29" s="3579"/>
      <c r="J29" s="3579"/>
      <c r="K29" s="3579"/>
      <c r="L29" s="3579"/>
      <c r="M29" s="3579"/>
      <c r="N29" s="3579"/>
      <c r="O29" s="3579"/>
      <c r="P29" s="3579"/>
      <c r="Q29" s="3579"/>
      <c r="R29" s="3579"/>
      <c r="S29" s="3580"/>
      <c r="T29" s="229"/>
      <c r="U29" s="229"/>
      <c r="V29" s="229"/>
      <c r="W29" s="229"/>
      <c r="X29" s="229"/>
    </row>
    <row r="30" spans="1:28" ht="32.450000000000003" customHeight="1" x14ac:dyDescent="0.25">
      <c r="A30" s="453">
        <v>8</v>
      </c>
      <c r="B30" s="453" t="s">
        <v>20</v>
      </c>
      <c r="C30" s="453"/>
      <c r="D30" s="3553" t="s">
        <v>939</v>
      </c>
      <c r="E30" s="3554"/>
      <c r="F30" s="3554"/>
      <c r="G30" s="3554"/>
      <c r="H30" s="3554"/>
      <c r="I30" s="3554"/>
      <c r="J30" s="3554"/>
      <c r="K30" s="3554"/>
      <c r="L30" s="3554"/>
      <c r="M30" s="3554"/>
      <c r="N30" s="3554"/>
      <c r="O30" s="3554"/>
      <c r="P30" s="3554"/>
      <c r="Q30" s="3554"/>
      <c r="R30" s="3554"/>
      <c r="S30" s="3555"/>
      <c r="T30" s="229"/>
      <c r="U30" s="229"/>
      <c r="V30" s="229"/>
      <c r="W30" s="229"/>
      <c r="X30" s="229"/>
    </row>
    <row r="31" spans="1:28" ht="15" x14ac:dyDescent="0.25">
      <c r="A31" s="637"/>
      <c r="B31" s="1661"/>
      <c r="C31" s="1661"/>
      <c r="D31" s="229"/>
      <c r="E31" s="229"/>
      <c r="F31" s="229"/>
      <c r="G31" s="229"/>
      <c r="H31" s="229"/>
      <c r="I31" s="229"/>
      <c r="J31" s="229"/>
      <c r="K31" s="229"/>
      <c r="L31" s="229"/>
      <c r="M31" s="229"/>
      <c r="N31" s="229"/>
      <c r="O31" s="229"/>
      <c r="P31" s="229"/>
      <c r="Q31" s="229"/>
      <c r="R31" s="229"/>
      <c r="S31" s="229"/>
      <c r="T31" s="229"/>
      <c r="U31" s="229"/>
      <c r="V31" s="229"/>
      <c r="W31" s="229"/>
      <c r="X31" s="229"/>
    </row>
    <row r="32" spans="1:28" ht="15" hidden="1" x14ac:dyDescent="0.25">
      <c r="A32" s="637"/>
      <c r="B32" s="1661"/>
      <c r="C32" s="1661"/>
      <c r="D32" s="229"/>
      <c r="E32" s="229"/>
      <c r="F32" s="229"/>
      <c r="G32" s="229"/>
      <c r="H32" s="229"/>
      <c r="I32" s="229"/>
      <c r="J32" s="229"/>
      <c r="K32" s="229"/>
      <c r="L32" s="229"/>
      <c r="M32" s="229"/>
      <c r="N32" s="229"/>
      <c r="O32" s="229"/>
      <c r="P32" s="229"/>
      <c r="Q32" s="229"/>
      <c r="R32" s="229"/>
      <c r="S32" s="229"/>
      <c r="T32" s="229"/>
      <c r="U32" s="229"/>
      <c r="V32" s="229"/>
      <c r="W32" s="229"/>
      <c r="X32" s="229"/>
    </row>
    <row r="33" spans="1:24" ht="15" hidden="1" x14ac:dyDescent="0.25">
      <c r="A33" s="637"/>
      <c r="B33" s="1661"/>
      <c r="C33" s="1661"/>
      <c r="D33" s="229"/>
      <c r="E33" s="229"/>
      <c r="F33" s="229"/>
      <c r="G33" s="229"/>
      <c r="H33" s="229"/>
      <c r="I33" s="229"/>
      <c r="J33" s="229"/>
      <c r="K33" s="229"/>
      <c r="L33" s="229"/>
      <c r="M33" s="229"/>
      <c r="N33" s="229"/>
      <c r="O33" s="229"/>
      <c r="P33" s="229"/>
      <c r="Q33" s="229"/>
      <c r="R33" s="229"/>
      <c r="S33" s="229"/>
      <c r="T33" s="229"/>
      <c r="U33" s="229"/>
      <c r="V33" s="229"/>
      <c r="W33" s="229"/>
      <c r="X33" s="229"/>
    </row>
    <row r="34" spans="1:24" ht="15" hidden="1" x14ac:dyDescent="0.25">
      <c r="A34" s="637"/>
      <c r="B34" s="1661"/>
      <c r="C34" s="1661"/>
      <c r="D34" s="229"/>
      <c r="E34" s="229"/>
      <c r="F34" s="229"/>
      <c r="G34" s="229"/>
      <c r="H34" s="229"/>
      <c r="I34" s="229"/>
      <c r="J34" s="229"/>
      <c r="K34" s="229"/>
      <c r="L34" s="229"/>
      <c r="M34" s="229"/>
      <c r="N34" s="229"/>
      <c r="O34" s="229"/>
      <c r="P34" s="229"/>
      <c r="Q34" s="229"/>
      <c r="R34" s="229"/>
      <c r="S34" s="229"/>
      <c r="T34" s="229"/>
      <c r="U34" s="229"/>
      <c r="V34" s="229"/>
      <c r="W34" s="229"/>
      <c r="X34" s="229"/>
    </row>
    <row r="35" spans="1:24" ht="15" hidden="1" x14ac:dyDescent="0.25">
      <c r="A35" s="637"/>
      <c r="B35" s="1661"/>
      <c r="C35" s="1661"/>
      <c r="D35" s="229"/>
      <c r="E35" s="229"/>
      <c r="F35" s="229"/>
      <c r="G35" s="229"/>
      <c r="H35" s="229"/>
      <c r="I35" s="229"/>
      <c r="J35" s="229"/>
      <c r="K35" s="229"/>
      <c r="L35" s="229"/>
      <c r="M35" s="229"/>
      <c r="N35" s="229"/>
      <c r="O35" s="229"/>
      <c r="P35" s="229"/>
      <c r="Q35" s="229"/>
      <c r="R35" s="229"/>
      <c r="S35" s="229"/>
      <c r="T35" s="229"/>
      <c r="U35" s="229"/>
      <c r="V35" s="229"/>
      <c r="W35" s="229"/>
      <c r="X35" s="229"/>
    </row>
    <row r="36" spans="1:24" ht="15" hidden="1" x14ac:dyDescent="0.25">
      <c r="A36" s="637"/>
      <c r="B36" s="1661"/>
      <c r="C36" s="1661"/>
      <c r="D36" s="229"/>
      <c r="E36" s="229"/>
      <c r="F36" s="229"/>
      <c r="G36" s="229"/>
      <c r="H36" s="229"/>
      <c r="I36" s="229"/>
      <c r="J36" s="229"/>
      <c r="K36" s="229"/>
      <c r="L36" s="229"/>
      <c r="M36" s="229"/>
      <c r="N36" s="229"/>
      <c r="O36" s="229"/>
      <c r="P36" s="229"/>
      <c r="Q36" s="229"/>
      <c r="R36" s="229"/>
      <c r="S36" s="229"/>
      <c r="T36" s="229"/>
      <c r="U36" s="229"/>
      <c r="V36" s="229"/>
      <c r="W36" s="229"/>
      <c r="X36" s="229"/>
    </row>
    <row r="37" spans="1:24" ht="15" hidden="1" x14ac:dyDescent="0.25">
      <c r="A37" s="637"/>
      <c r="B37" s="1661"/>
      <c r="C37" s="1661"/>
      <c r="D37" s="229"/>
      <c r="E37" s="229"/>
      <c r="F37" s="229"/>
      <c r="G37" s="229"/>
      <c r="H37" s="229"/>
      <c r="I37" s="229"/>
      <c r="J37" s="229"/>
      <c r="K37" s="229"/>
      <c r="L37" s="229"/>
      <c r="M37" s="229"/>
      <c r="N37" s="229"/>
      <c r="O37" s="229"/>
      <c r="P37" s="229"/>
      <c r="Q37" s="229"/>
      <c r="R37" s="229"/>
      <c r="S37" s="229"/>
      <c r="T37" s="229"/>
      <c r="U37" s="229"/>
      <c r="V37" s="229"/>
      <c r="W37" s="229"/>
      <c r="X37" s="229"/>
    </row>
    <row r="38" spans="1:24" ht="15" hidden="1" x14ac:dyDescent="0.25">
      <c r="A38" s="637"/>
      <c r="B38" s="1661"/>
      <c r="C38" s="1661"/>
      <c r="D38" s="229"/>
      <c r="E38" s="229"/>
      <c r="F38" s="229"/>
      <c r="G38" s="229"/>
      <c r="H38" s="229"/>
      <c r="I38" s="229"/>
      <c r="J38" s="229"/>
      <c r="K38" s="229"/>
      <c r="L38" s="229"/>
      <c r="M38" s="229"/>
      <c r="N38" s="229"/>
      <c r="O38" s="229"/>
      <c r="P38" s="229"/>
      <c r="Q38" s="1466"/>
      <c r="R38" s="229"/>
      <c r="S38" s="229"/>
      <c r="T38" s="229"/>
      <c r="U38" s="229"/>
      <c r="V38" s="229"/>
      <c r="W38" s="229"/>
      <c r="X38" s="229"/>
    </row>
    <row r="39" spans="1:24" ht="23.25" hidden="1" x14ac:dyDescent="0.25">
      <c r="A39" s="637"/>
      <c r="B39" s="1661"/>
      <c r="C39" s="1661"/>
      <c r="D39" s="369"/>
      <c r="E39" s="369"/>
      <c r="F39" s="3834" t="s">
        <v>937</v>
      </c>
      <c r="G39" s="3834"/>
      <c r="H39" s="3834"/>
      <c r="I39" s="3834"/>
      <c r="J39" s="3657"/>
      <c r="K39" s="1466" t="s">
        <v>936</v>
      </c>
      <c r="L39" s="1466"/>
      <c r="M39" s="1466"/>
      <c r="N39" s="1466"/>
      <c r="O39" s="1466"/>
      <c r="P39" s="1466"/>
      <c r="Q39" s="176" t="s">
        <v>935</v>
      </c>
      <c r="R39" s="229"/>
      <c r="S39" s="229"/>
      <c r="T39" s="229"/>
      <c r="U39" s="229"/>
      <c r="V39" s="229"/>
      <c r="W39" s="229"/>
      <c r="X39" s="229"/>
    </row>
    <row r="40" spans="1:24" ht="23.25" hidden="1" x14ac:dyDescent="0.25">
      <c r="A40" s="637"/>
      <c r="B40" s="1661"/>
      <c r="C40" s="1661"/>
      <c r="D40" s="277" t="s">
        <v>928</v>
      </c>
      <c r="E40" s="277"/>
      <c r="F40" s="176" t="s">
        <v>934</v>
      </c>
      <c r="G40" s="176" t="s">
        <v>933</v>
      </c>
      <c r="H40" s="176" t="s">
        <v>932</v>
      </c>
      <c r="I40" s="176"/>
      <c r="J40" s="1054" t="s">
        <v>935</v>
      </c>
      <c r="K40" s="176" t="s">
        <v>934</v>
      </c>
      <c r="L40" s="176"/>
      <c r="M40" s="176" t="s">
        <v>933</v>
      </c>
      <c r="N40" s="176"/>
      <c r="O40" s="176"/>
      <c r="P40" s="176" t="s">
        <v>932</v>
      </c>
      <c r="Q40" s="631">
        <v>87</v>
      </c>
      <c r="R40" s="229"/>
      <c r="S40" s="229"/>
      <c r="T40" s="229"/>
      <c r="U40" s="229"/>
      <c r="V40" s="229"/>
      <c r="W40" s="229"/>
      <c r="X40" s="229"/>
    </row>
    <row r="41" spans="1:24" ht="15" hidden="1" x14ac:dyDescent="0.25">
      <c r="A41" s="637"/>
      <c r="B41" s="1661"/>
      <c r="C41" s="1661"/>
      <c r="D41" s="784" t="s">
        <v>415</v>
      </c>
      <c r="E41" s="784"/>
      <c r="F41" s="420">
        <v>5</v>
      </c>
      <c r="G41" s="1055">
        <v>10</v>
      </c>
      <c r="H41" s="176">
        <v>9</v>
      </c>
      <c r="I41" s="176"/>
      <c r="J41" s="1054">
        <v>76</v>
      </c>
      <c r="K41" s="132">
        <v>2</v>
      </c>
      <c r="L41" s="132"/>
      <c r="M41" s="132">
        <v>4</v>
      </c>
      <c r="N41" s="132"/>
      <c r="O41" s="132"/>
      <c r="P41" s="58">
        <v>6</v>
      </c>
      <c r="Q41" s="631">
        <v>75</v>
      </c>
      <c r="R41" s="229"/>
      <c r="S41" s="229"/>
      <c r="T41" s="229"/>
      <c r="U41" s="229"/>
      <c r="V41" s="229"/>
      <c r="W41" s="229"/>
      <c r="X41" s="229"/>
    </row>
    <row r="42" spans="1:24" ht="15" hidden="1" x14ac:dyDescent="0.25">
      <c r="A42" s="637"/>
      <c r="B42" s="1661"/>
      <c r="C42" s="1661"/>
      <c r="D42" s="784" t="s">
        <v>417</v>
      </c>
      <c r="E42" s="784"/>
      <c r="F42" s="420">
        <v>16</v>
      </c>
      <c r="G42" s="1055">
        <v>10</v>
      </c>
      <c r="H42" s="176">
        <v>8</v>
      </c>
      <c r="I42" s="176"/>
      <c r="J42" s="1054">
        <v>66</v>
      </c>
      <c r="K42" s="132">
        <v>7</v>
      </c>
      <c r="L42" s="132"/>
      <c r="M42" s="132">
        <v>10</v>
      </c>
      <c r="N42" s="132"/>
      <c r="O42" s="132"/>
      <c r="P42" s="58">
        <v>8</v>
      </c>
      <c r="Q42" s="631">
        <v>68</v>
      </c>
      <c r="R42" s="229"/>
      <c r="S42" s="229"/>
      <c r="T42" s="229"/>
      <c r="U42" s="229"/>
      <c r="V42" s="229"/>
      <c r="W42" s="229"/>
      <c r="X42" s="229"/>
    </row>
    <row r="43" spans="1:24" ht="15" hidden="1" x14ac:dyDescent="0.25">
      <c r="A43" s="637"/>
      <c r="B43" s="1661"/>
      <c r="C43" s="1661"/>
      <c r="D43" s="784" t="s">
        <v>420</v>
      </c>
      <c r="E43" s="784"/>
      <c r="F43" s="420">
        <v>27</v>
      </c>
      <c r="G43" s="1055">
        <v>23</v>
      </c>
      <c r="H43" s="176">
        <v>13</v>
      </c>
      <c r="I43" s="176"/>
      <c r="J43" s="1054">
        <v>36</v>
      </c>
      <c r="K43" s="132">
        <v>7</v>
      </c>
      <c r="L43" s="132"/>
      <c r="M43" s="132">
        <v>14</v>
      </c>
      <c r="N43" s="132"/>
      <c r="O43" s="132"/>
      <c r="P43" s="58">
        <v>11</v>
      </c>
      <c r="Q43" s="631">
        <v>82</v>
      </c>
      <c r="R43" s="229"/>
      <c r="S43" s="229"/>
      <c r="T43" s="229"/>
      <c r="U43" s="229"/>
      <c r="V43" s="229"/>
      <c r="W43" s="229"/>
      <c r="X43" s="229"/>
    </row>
    <row r="44" spans="1:24" ht="15" hidden="1" x14ac:dyDescent="0.25">
      <c r="A44" s="637"/>
      <c r="B44" s="1661"/>
      <c r="C44" s="1661"/>
      <c r="D44" s="784" t="s">
        <v>418</v>
      </c>
      <c r="E44" s="784"/>
      <c r="F44" s="420">
        <v>15</v>
      </c>
      <c r="G44" s="1055">
        <v>10</v>
      </c>
      <c r="H44" s="176">
        <v>7</v>
      </c>
      <c r="I44" s="176"/>
      <c r="J44" s="1054">
        <v>68</v>
      </c>
      <c r="K44" s="132">
        <v>4</v>
      </c>
      <c r="L44" s="132"/>
      <c r="M44" s="132">
        <v>8</v>
      </c>
      <c r="N44" s="132"/>
      <c r="O44" s="132"/>
      <c r="P44" s="58">
        <v>7</v>
      </c>
      <c r="Q44" s="631">
        <v>95</v>
      </c>
      <c r="R44" s="229"/>
      <c r="S44" s="229"/>
      <c r="T44" s="229"/>
      <c r="U44" s="229"/>
      <c r="V44" s="229"/>
      <c r="W44" s="229"/>
      <c r="X44" s="229"/>
    </row>
    <row r="45" spans="1:24" ht="15" hidden="1" x14ac:dyDescent="0.25">
      <c r="A45" s="637"/>
      <c r="B45" s="1661"/>
      <c r="C45" s="1661"/>
      <c r="D45" s="784" t="s">
        <v>422</v>
      </c>
      <c r="E45" s="784"/>
      <c r="F45" s="420">
        <v>3</v>
      </c>
      <c r="G45" s="1055">
        <v>6</v>
      </c>
      <c r="H45" s="176">
        <v>6</v>
      </c>
      <c r="I45" s="176"/>
      <c r="J45" s="1054">
        <v>86</v>
      </c>
      <c r="K45" s="132">
        <v>0</v>
      </c>
      <c r="L45" s="132"/>
      <c r="M45" s="132">
        <v>2</v>
      </c>
      <c r="N45" s="132"/>
      <c r="O45" s="132"/>
      <c r="P45" s="58">
        <v>3</v>
      </c>
      <c r="Q45" s="631">
        <v>86</v>
      </c>
      <c r="R45" s="229"/>
      <c r="S45" s="229"/>
      <c r="T45" s="229"/>
      <c r="U45" s="229"/>
      <c r="V45" s="229"/>
      <c r="W45" s="229"/>
      <c r="X45" s="229"/>
    </row>
    <row r="46" spans="1:24" ht="15" hidden="1" x14ac:dyDescent="0.25">
      <c r="A46" s="637"/>
      <c r="B46" s="1661"/>
      <c r="C46" s="1661"/>
      <c r="D46" s="784" t="s">
        <v>421</v>
      </c>
      <c r="E46" s="784"/>
      <c r="F46" s="420">
        <v>9</v>
      </c>
      <c r="G46" s="1055">
        <v>13</v>
      </c>
      <c r="H46" s="176">
        <v>11</v>
      </c>
      <c r="I46" s="176"/>
      <c r="J46" s="1054">
        <v>67</v>
      </c>
      <c r="K46" s="132">
        <v>2</v>
      </c>
      <c r="L46" s="132"/>
      <c r="M46" s="132">
        <v>6</v>
      </c>
      <c r="N46" s="132"/>
      <c r="O46" s="132"/>
      <c r="P46" s="58">
        <v>7</v>
      </c>
      <c r="Q46" s="631">
        <v>88</v>
      </c>
      <c r="R46" s="229"/>
      <c r="S46" s="229"/>
      <c r="T46" s="229"/>
      <c r="U46" s="229"/>
      <c r="V46" s="229"/>
      <c r="W46" s="229"/>
      <c r="X46" s="229"/>
    </row>
    <row r="47" spans="1:24" ht="15" hidden="1" x14ac:dyDescent="0.25">
      <c r="A47" s="637"/>
      <c r="B47" s="1661"/>
      <c r="C47" s="1661"/>
      <c r="D47" s="784" t="s">
        <v>419</v>
      </c>
      <c r="E47" s="784"/>
      <c r="F47" s="420">
        <v>7</v>
      </c>
      <c r="G47" s="1055">
        <v>14</v>
      </c>
      <c r="H47" s="176">
        <v>11</v>
      </c>
      <c r="I47" s="176"/>
      <c r="J47" s="1054">
        <v>67</v>
      </c>
      <c r="K47" s="132">
        <v>1</v>
      </c>
      <c r="L47" s="132"/>
      <c r="M47" s="132">
        <v>5</v>
      </c>
      <c r="N47" s="132"/>
      <c r="O47" s="132"/>
      <c r="P47" s="58">
        <v>6</v>
      </c>
      <c r="Q47" s="631">
        <v>70</v>
      </c>
      <c r="R47" s="229"/>
      <c r="S47" s="229"/>
      <c r="T47" s="229"/>
      <c r="U47" s="229"/>
      <c r="V47" s="229"/>
      <c r="W47" s="229"/>
      <c r="X47" s="229"/>
    </row>
    <row r="48" spans="1:24" ht="15" hidden="1" x14ac:dyDescent="0.25">
      <c r="A48" s="637"/>
      <c r="B48" s="1661"/>
      <c r="C48" s="1661"/>
      <c r="D48" s="784" t="s">
        <v>416</v>
      </c>
      <c r="E48" s="784"/>
      <c r="F48" s="420">
        <v>29</v>
      </c>
      <c r="G48" s="1055">
        <v>27</v>
      </c>
      <c r="H48" s="176">
        <v>11</v>
      </c>
      <c r="I48" s="176"/>
      <c r="J48" s="1054">
        <v>33</v>
      </c>
      <c r="K48" s="132">
        <v>7</v>
      </c>
      <c r="L48" s="132"/>
      <c r="M48" s="132">
        <v>12</v>
      </c>
      <c r="N48" s="132"/>
      <c r="O48" s="132"/>
      <c r="P48" s="58">
        <v>10</v>
      </c>
      <c r="Q48" s="1046">
        <v>55</v>
      </c>
      <c r="R48" s="229"/>
      <c r="S48" s="229"/>
      <c r="T48" s="229"/>
      <c r="U48" s="229"/>
      <c r="V48" s="229"/>
      <c r="W48" s="229"/>
      <c r="X48" s="229"/>
    </row>
    <row r="49" spans="1:24" ht="15" hidden="1" x14ac:dyDescent="0.25">
      <c r="A49" s="637"/>
      <c r="B49" s="1661"/>
      <c r="C49" s="1661"/>
      <c r="D49" s="1048" t="s">
        <v>414</v>
      </c>
      <c r="E49" s="1048"/>
      <c r="F49" s="1052">
        <v>38</v>
      </c>
      <c r="G49" s="1053">
        <v>25</v>
      </c>
      <c r="H49" s="1052">
        <v>10</v>
      </c>
      <c r="I49" s="1052"/>
      <c r="J49" s="1051">
        <v>28</v>
      </c>
      <c r="K49" s="1046">
        <v>12</v>
      </c>
      <c r="L49" s="1046"/>
      <c r="M49" s="1046">
        <v>19</v>
      </c>
      <c r="N49" s="1046"/>
      <c r="O49" s="1046"/>
      <c r="P49" s="1046">
        <v>14</v>
      </c>
      <c r="Q49" s="229"/>
      <c r="R49" s="229"/>
      <c r="S49" s="229"/>
      <c r="T49" s="229"/>
      <c r="U49" s="229"/>
      <c r="V49" s="229"/>
      <c r="W49" s="229"/>
      <c r="X49" s="229"/>
    </row>
    <row r="50" spans="1:24" ht="15" hidden="1" x14ac:dyDescent="0.25">
      <c r="A50" s="637"/>
      <c r="B50" s="1661"/>
      <c r="C50" s="1661"/>
      <c r="D50" s="229"/>
      <c r="E50" s="229"/>
      <c r="F50" s="229"/>
      <c r="G50" s="229"/>
      <c r="H50" s="229"/>
      <c r="I50" s="229"/>
      <c r="J50" s="229"/>
      <c r="K50" s="229"/>
      <c r="L50" s="229"/>
      <c r="M50" s="229"/>
      <c r="N50" s="229"/>
      <c r="O50" s="229"/>
      <c r="P50" s="229"/>
      <c r="Q50" s="229"/>
      <c r="R50" s="229"/>
      <c r="S50" s="229"/>
      <c r="T50" s="229"/>
      <c r="U50" s="229"/>
      <c r="V50" s="229"/>
      <c r="W50" s="229"/>
      <c r="X50" s="229"/>
    </row>
    <row r="51" spans="1:24" ht="15" hidden="1" x14ac:dyDescent="0.25">
      <c r="A51" s="637"/>
      <c r="B51" s="1661"/>
      <c r="C51" s="1661"/>
      <c r="D51" s="229"/>
      <c r="E51" s="229"/>
      <c r="F51" s="229"/>
      <c r="G51" s="229"/>
      <c r="H51" s="229"/>
      <c r="I51" s="229"/>
      <c r="J51" s="229"/>
      <c r="K51" s="229"/>
      <c r="L51" s="229"/>
      <c r="M51" s="229"/>
      <c r="N51" s="229"/>
      <c r="O51" s="229"/>
      <c r="P51" s="229"/>
      <c r="Q51" s="229"/>
      <c r="R51" s="229"/>
      <c r="S51" s="229"/>
      <c r="T51" s="229"/>
      <c r="U51" s="229"/>
      <c r="V51" s="229"/>
      <c r="W51" s="229"/>
      <c r="X51" s="229"/>
    </row>
    <row r="52" spans="1:24" ht="15" hidden="1" x14ac:dyDescent="0.25">
      <c r="A52" s="637"/>
      <c r="B52" s="1661"/>
      <c r="C52" s="1661"/>
      <c r="D52" s="229"/>
      <c r="E52" s="229"/>
      <c r="F52" s="229"/>
      <c r="G52" s="229"/>
      <c r="H52" s="229"/>
      <c r="I52" s="229"/>
      <c r="J52" s="229"/>
      <c r="K52" s="229"/>
      <c r="L52" s="229"/>
      <c r="M52" s="229"/>
      <c r="N52" s="229"/>
      <c r="O52" s="229"/>
      <c r="P52" s="229"/>
      <c r="Q52" s="120"/>
      <c r="R52" s="229"/>
      <c r="S52" s="229"/>
      <c r="T52" s="229"/>
      <c r="U52" s="229"/>
      <c r="V52" s="229"/>
      <c r="W52" s="229"/>
      <c r="X52" s="229"/>
    </row>
    <row r="53" spans="1:24" ht="15" hidden="1" x14ac:dyDescent="0.25">
      <c r="A53" s="637"/>
      <c r="B53" s="1661"/>
      <c r="C53" s="1661"/>
      <c r="D53" s="120" t="s">
        <v>710</v>
      </c>
      <c r="E53" s="119"/>
      <c r="F53" s="119"/>
      <c r="G53" s="119" t="s">
        <v>938</v>
      </c>
      <c r="H53" s="119"/>
      <c r="I53" s="119"/>
      <c r="J53" s="119"/>
      <c r="K53" s="120"/>
      <c r="L53" s="120"/>
      <c r="M53" s="120"/>
      <c r="N53" s="120"/>
      <c r="O53" s="120"/>
      <c r="P53" s="120"/>
      <c r="Q53" s="1466"/>
      <c r="R53" s="229"/>
      <c r="S53" s="229"/>
      <c r="T53" s="229"/>
      <c r="U53" s="229"/>
      <c r="V53" s="229"/>
      <c r="W53" s="229"/>
      <c r="X53" s="229"/>
    </row>
    <row r="54" spans="1:24" ht="23.25" hidden="1" x14ac:dyDescent="0.25">
      <c r="A54" s="637"/>
      <c r="B54" s="1661"/>
      <c r="C54" s="1661"/>
      <c r="D54" s="369"/>
      <c r="E54" s="369"/>
      <c r="F54" s="3834" t="s">
        <v>937</v>
      </c>
      <c r="G54" s="3834"/>
      <c r="H54" s="3834"/>
      <c r="I54" s="3834"/>
      <c r="J54" s="3657"/>
      <c r="K54" s="1466" t="s">
        <v>936</v>
      </c>
      <c r="L54" s="1466"/>
      <c r="M54" s="1466"/>
      <c r="N54" s="1466"/>
      <c r="O54" s="1466"/>
      <c r="P54" s="1466"/>
      <c r="Q54" s="176" t="s">
        <v>935</v>
      </c>
      <c r="R54" s="229"/>
      <c r="S54" s="229"/>
      <c r="T54" s="229"/>
      <c r="U54" s="229"/>
      <c r="V54" s="229"/>
      <c r="W54" s="229"/>
      <c r="X54" s="229"/>
    </row>
    <row r="55" spans="1:24" ht="23.25" hidden="1" x14ac:dyDescent="0.25">
      <c r="A55" s="637"/>
      <c r="B55" s="1661"/>
      <c r="C55" s="1661"/>
      <c r="D55" s="277" t="s">
        <v>928</v>
      </c>
      <c r="E55" s="277"/>
      <c r="F55" s="176" t="s">
        <v>934</v>
      </c>
      <c r="G55" s="176" t="s">
        <v>933</v>
      </c>
      <c r="H55" s="176" t="s">
        <v>932</v>
      </c>
      <c r="I55" s="176"/>
      <c r="J55" s="1054" t="s">
        <v>935</v>
      </c>
      <c r="K55" s="176" t="s">
        <v>934</v>
      </c>
      <c r="L55" s="176"/>
      <c r="M55" s="176" t="s">
        <v>933</v>
      </c>
      <c r="N55" s="176"/>
      <c r="O55" s="176"/>
      <c r="P55" s="176" t="s">
        <v>932</v>
      </c>
      <c r="Q55" s="631">
        <v>87</v>
      </c>
      <c r="R55" s="229"/>
      <c r="S55" s="229"/>
      <c r="T55" s="229"/>
      <c r="U55" s="229"/>
      <c r="V55" s="229"/>
      <c r="W55" s="229"/>
      <c r="X55" s="229"/>
    </row>
    <row r="56" spans="1:24" ht="15" hidden="1" x14ac:dyDescent="0.25">
      <c r="A56" s="637"/>
      <c r="B56" s="1661"/>
      <c r="C56" s="1661"/>
      <c r="D56" s="784" t="s">
        <v>415</v>
      </c>
      <c r="E56" s="784"/>
      <c r="F56" s="420">
        <v>5</v>
      </c>
      <c r="G56" s="1055">
        <v>10</v>
      </c>
      <c r="H56" s="176">
        <v>9</v>
      </c>
      <c r="I56" s="176"/>
      <c r="J56" s="1054">
        <v>76</v>
      </c>
      <c r="K56" s="132">
        <v>2</v>
      </c>
      <c r="L56" s="132"/>
      <c r="M56" s="132">
        <v>4</v>
      </c>
      <c r="N56" s="132"/>
      <c r="O56" s="132"/>
      <c r="P56" s="58">
        <v>6</v>
      </c>
      <c r="Q56" s="631">
        <v>75</v>
      </c>
      <c r="R56" s="229"/>
      <c r="S56" s="229"/>
      <c r="T56" s="229"/>
      <c r="U56" s="229"/>
      <c r="V56" s="229"/>
      <c r="W56" s="229"/>
      <c r="X56" s="229"/>
    </row>
    <row r="57" spans="1:24" ht="15" hidden="1" x14ac:dyDescent="0.25">
      <c r="A57" s="637"/>
      <c r="B57" s="1661"/>
      <c r="C57" s="1661"/>
      <c r="D57" s="784" t="s">
        <v>417</v>
      </c>
      <c r="E57" s="784"/>
      <c r="F57" s="420">
        <v>16</v>
      </c>
      <c r="G57" s="1055">
        <v>10</v>
      </c>
      <c r="H57" s="176">
        <v>8</v>
      </c>
      <c r="I57" s="176"/>
      <c r="J57" s="1054">
        <v>66</v>
      </c>
      <c r="K57" s="132">
        <v>7</v>
      </c>
      <c r="L57" s="132"/>
      <c r="M57" s="132">
        <v>10</v>
      </c>
      <c r="N57" s="132"/>
      <c r="O57" s="132"/>
      <c r="P57" s="58">
        <v>8</v>
      </c>
      <c r="Q57" s="631">
        <v>68</v>
      </c>
      <c r="R57" s="229"/>
      <c r="S57" s="229"/>
      <c r="T57" s="229"/>
      <c r="U57" s="229"/>
      <c r="V57" s="229"/>
      <c r="W57" s="229"/>
      <c r="X57" s="229"/>
    </row>
    <row r="58" spans="1:24" ht="15" hidden="1" x14ac:dyDescent="0.25">
      <c r="A58" s="637"/>
      <c r="B58" s="1661"/>
      <c r="C58" s="1661"/>
      <c r="D58" s="784" t="s">
        <v>420</v>
      </c>
      <c r="E58" s="784"/>
      <c r="F58" s="420">
        <v>27</v>
      </c>
      <c r="G58" s="1055">
        <v>23</v>
      </c>
      <c r="H58" s="176">
        <v>13</v>
      </c>
      <c r="I58" s="176"/>
      <c r="J58" s="1054">
        <v>36</v>
      </c>
      <c r="K58" s="132">
        <v>7</v>
      </c>
      <c r="L58" s="132"/>
      <c r="M58" s="132">
        <v>14</v>
      </c>
      <c r="N58" s="132"/>
      <c r="O58" s="132"/>
      <c r="P58" s="58">
        <v>11</v>
      </c>
      <c r="Q58" s="631">
        <v>82</v>
      </c>
      <c r="R58" s="229"/>
      <c r="S58" s="229"/>
      <c r="T58" s="229"/>
      <c r="U58" s="229"/>
      <c r="V58" s="229"/>
      <c r="W58" s="229"/>
      <c r="X58" s="229"/>
    </row>
    <row r="59" spans="1:24" ht="15" hidden="1" x14ac:dyDescent="0.25">
      <c r="A59" s="637"/>
      <c r="B59" s="1661"/>
      <c r="C59" s="1661"/>
      <c r="D59" s="784" t="s">
        <v>418</v>
      </c>
      <c r="E59" s="784"/>
      <c r="F59" s="420">
        <v>15</v>
      </c>
      <c r="G59" s="1055">
        <v>10</v>
      </c>
      <c r="H59" s="176">
        <v>7</v>
      </c>
      <c r="I59" s="176"/>
      <c r="J59" s="1054">
        <v>68</v>
      </c>
      <c r="K59" s="132">
        <v>4</v>
      </c>
      <c r="L59" s="132"/>
      <c r="M59" s="132">
        <v>8</v>
      </c>
      <c r="N59" s="132"/>
      <c r="O59" s="132"/>
      <c r="P59" s="58">
        <v>7</v>
      </c>
      <c r="Q59" s="631">
        <v>95</v>
      </c>
      <c r="R59" s="229"/>
      <c r="S59" s="229"/>
      <c r="T59" s="229"/>
      <c r="U59" s="229"/>
      <c r="V59" s="229"/>
      <c r="W59" s="229"/>
      <c r="X59" s="229"/>
    </row>
    <row r="60" spans="1:24" ht="15" hidden="1" x14ac:dyDescent="0.25">
      <c r="A60" s="637"/>
      <c r="B60" s="1661"/>
      <c r="C60" s="1661"/>
      <c r="D60" s="784" t="s">
        <v>422</v>
      </c>
      <c r="E60" s="784"/>
      <c r="F60" s="420">
        <v>3</v>
      </c>
      <c r="G60" s="1055">
        <v>6</v>
      </c>
      <c r="H60" s="176">
        <v>6</v>
      </c>
      <c r="I60" s="176"/>
      <c r="J60" s="1054">
        <v>86</v>
      </c>
      <c r="K60" s="132">
        <v>0</v>
      </c>
      <c r="L60" s="132"/>
      <c r="M60" s="132">
        <v>2</v>
      </c>
      <c r="N60" s="132"/>
      <c r="O60" s="132"/>
      <c r="P60" s="58">
        <v>3</v>
      </c>
      <c r="Q60" s="631">
        <v>86</v>
      </c>
      <c r="R60" s="229"/>
      <c r="S60" s="229"/>
      <c r="T60" s="229"/>
      <c r="U60" s="229"/>
      <c r="V60" s="229"/>
      <c r="W60" s="229"/>
      <c r="X60" s="229"/>
    </row>
    <row r="61" spans="1:24" ht="15" hidden="1" x14ac:dyDescent="0.25">
      <c r="A61" s="637"/>
      <c r="B61" s="1661"/>
      <c r="C61" s="1661"/>
      <c r="D61" s="784" t="s">
        <v>421</v>
      </c>
      <c r="E61" s="784"/>
      <c r="F61" s="420">
        <v>9</v>
      </c>
      <c r="G61" s="1055">
        <v>13</v>
      </c>
      <c r="H61" s="176">
        <v>11</v>
      </c>
      <c r="I61" s="176"/>
      <c r="J61" s="1054">
        <v>67</v>
      </c>
      <c r="K61" s="132">
        <v>2</v>
      </c>
      <c r="L61" s="132"/>
      <c r="M61" s="132">
        <v>6</v>
      </c>
      <c r="N61" s="132"/>
      <c r="O61" s="132"/>
      <c r="P61" s="58">
        <v>7</v>
      </c>
      <c r="Q61" s="631">
        <v>88</v>
      </c>
      <c r="R61" s="229"/>
      <c r="S61" s="229"/>
      <c r="T61" s="229"/>
      <c r="U61" s="229"/>
      <c r="V61" s="229"/>
      <c r="W61" s="229"/>
      <c r="X61" s="229"/>
    </row>
    <row r="62" spans="1:24" ht="15" hidden="1" x14ac:dyDescent="0.25">
      <c r="A62" s="637"/>
      <c r="B62" s="1661"/>
      <c r="C62" s="1661"/>
      <c r="D62" s="784" t="s">
        <v>419</v>
      </c>
      <c r="E62" s="784"/>
      <c r="F62" s="420">
        <v>7</v>
      </c>
      <c r="G62" s="1055">
        <v>14</v>
      </c>
      <c r="H62" s="176">
        <v>11</v>
      </c>
      <c r="I62" s="176"/>
      <c r="J62" s="1054">
        <v>67</v>
      </c>
      <c r="K62" s="132">
        <v>1</v>
      </c>
      <c r="L62" s="132"/>
      <c r="M62" s="132">
        <v>5</v>
      </c>
      <c r="N62" s="132"/>
      <c r="O62" s="132"/>
      <c r="P62" s="58">
        <v>6</v>
      </c>
      <c r="Q62" s="631">
        <v>70</v>
      </c>
      <c r="R62" s="229"/>
      <c r="S62" s="229"/>
      <c r="T62" s="229"/>
      <c r="U62" s="229"/>
      <c r="V62" s="229"/>
      <c r="W62" s="229"/>
      <c r="X62" s="229"/>
    </row>
    <row r="63" spans="1:24" ht="15" hidden="1" x14ac:dyDescent="0.25">
      <c r="A63" s="637"/>
      <c r="B63" s="1661"/>
      <c r="C63" s="1661"/>
      <c r="D63" s="784" t="s">
        <v>416</v>
      </c>
      <c r="E63" s="784"/>
      <c r="F63" s="420">
        <v>29</v>
      </c>
      <c r="G63" s="1055">
        <v>27</v>
      </c>
      <c r="H63" s="176">
        <v>11</v>
      </c>
      <c r="I63" s="176"/>
      <c r="J63" s="1054">
        <v>33</v>
      </c>
      <c r="K63" s="132">
        <v>7</v>
      </c>
      <c r="L63" s="132"/>
      <c r="M63" s="132">
        <v>12</v>
      </c>
      <c r="N63" s="132"/>
      <c r="O63" s="132"/>
      <c r="P63" s="58">
        <v>10</v>
      </c>
      <c r="Q63" s="1046">
        <v>55</v>
      </c>
      <c r="R63" s="229"/>
      <c r="S63" s="229"/>
      <c r="T63" s="229"/>
      <c r="U63" s="229"/>
      <c r="V63" s="229"/>
      <c r="W63" s="229"/>
      <c r="X63" s="229"/>
    </row>
    <row r="64" spans="1:24" ht="15" hidden="1" x14ac:dyDescent="0.25">
      <c r="A64" s="637"/>
      <c r="B64" s="1661"/>
      <c r="C64" s="1661"/>
      <c r="D64" s="1048" t="s">
        <v>414</v>
      </c>
      <c r="E64" s="1048"/>
      <c r="F64" s="1052">
        <v>38</v>
      </c>
      <c r="G64" s="1053">
        <v>25</v>
      </c>
      <c r="H64" s="1052">
        <v>10</v>
      </c>
      <c r="I64" s="1052"/>
      <c r="J64" s="1051">
        <v>28</v>
      </c>
      <c r="K64" s="1046">
        <v>12</v>
      </c>
      <c r="L64" s="1046"/>
      <c r="M64" s="1046">
        <v>19</v>
      </c>
      <c r="N64" s="1046"/>
      <c r="O64" s="1046"/>
      <c r="P64" s="1046">
        <v>14</v>
      </c>
      <c r="Q64" s="229"/>
      <c r="R64" s="229"/>
      <c r="S64" s="229"/>
      <c r="T64" s="229"/>
      <c r="U64" s="229"/>
      <c r="V64" s="229"/>
      <c r="W64" s="229"/>
      <c r="X64" s="229"/>
    </row>
    <row r="65" spans="1:24" ht="15" hidden="1" x14ac:dyDescent="0.25">
      <c r="A65" s="637"/>
      <c r="B65" s="1661"/>
      <c r="C65" s="1661"/>
      <c r="D65" s="229"/>
      <c r="E65" s="229"/>
      <c r="F65" s="229"/>
      <c r="G65" s="229"/>
      <c r="H65" s="229"/>
      <c r="I65" s="229"/>
      <c r="J65" s="229"/>
      <c r="K65" s="229"/>
      <c r="L65" s="229"/>
      <c r="M65" s="229"/>
      <c r="N65" s="229"/>
      <c r="O65" s="229"/>
      <c r="P65" s="229"/>
      <c r="Q65" s="229"/>
      <c r="R65" s="229"/>
      <c r="S65" s="229"/>
      <c r="T65" s="229"/>
      <c r="U65" s="229"/>
      <c r="V65" s="229"/>
      <c r="W65" s="229"/>
      <c r="X65" s="229"/>
    </row>
    <row r="66" spans="1:24" ht="15" hidden="1" x14ac:dyDescent="0.25">
      <c r="A66" s="637"/>
      <c r="B66" s="1661"/>
      <c r="C66" s="1661"/>
      <c r="D66" s="229"/>
      <c r="E66" s="229"/>
      <c r="F66" s="229"/>
      <c r="G66" s="229"/>
      <c r="H66" s="229"/>
      <c r="I66" s="229"/>
      <c r="J66" s="229"/>
      <c r="K66" s="229"/>
      <c r="L66" s="229"/>
      <c r="M66" s="229"/>
      <c r="N66" s="229"/>
      <c r="O66" s="229"/>
      <c r="P66" s="229"/>
      <c r="Q66" s="229"/>
      <c r="R66" s="229"/>
      <c r="S66" s="229"/>
      <c r="T66" s="229"/>
      <c r="U66" s="229"/>
      <c r="V66" s="229"/>
      <c r="W66" s="229"/>
      <c r="X66" s="229"/>
    </row>
    <row r="67" spans="1:24" ht="15" hidden="1" x14ac:dyDescent="0.25">
      <c r="A67" s="637"/>
      <c r="B67" s="1661"/>
      <c r="C67" s="1661"/>
      <c r="D67" s="229"/>
      <c r="E67" s="229"/>
      <c r="F67" s="229"/>
      <c r="G67" s="229"/>
      <c r="H67" s="229"/>
      <c r="I67" s="229"/>
      <c r="J67" s="229"/>
      <c r="K67" s="229"/>
      <c r="L67" s="229"/>
      <c r="M67" s="229"/>
      <c r="N67" s="229"/>
      <c r="O67" s="229"/>
      <c r="P67" s="229"/>
      <c r="Q67" s="229"/>
      <c r="R67" s="229"/>
      <c r="S67" s="229"/>
      <c r="T67" s="229"/>
      <c r="U67" s="229"/>
      <c r="V67" s="229"/>
      <c r="W67" s="229"/>
      <c r="X67" s="229"/>
    </row>
    <row r="68" spans="1:24" ht="15" hidden="1" x14ac:dyDescent="0.25">
      <c r="A68" s="637"/>
      <c r="B68" s="1661"/>
      <c r="C68" s="1661"/>
      <c r="D68" s="229"/>
      <c r="E68" s="229"/>
      <c r="F68" s="229"/>
      <c r="G68" s="229"/>
      <c r="H68" s="229"/>
      <c r="I68" s="229"/>
      <c r="J68" s="229"/>
      <c r="K68" s="229"/>
      <c r="L68" s="229"/>
      <c r="M68" s="229"/>
      <c r="N68" s="229"/>
      <c r="O68" s="229"/>
      <c r="P68" s="229"/>
      <c r="Q68" s="229"/>
      <c r="R68" s="229"/>
      <c r="S68" s="229"/>
      <c r="T68" s="229"/>
      <c r="U68" s="229"/>
      <c r="V68" s="229"/>
      <c r="W68" s="229"/>
      <c r="X68" s="229"/>
    </row>
    <row r="69" spans="1:24" ht="15" hidden="1" x14ac:dyDescent="0.25">
      <c r="A69" s="637"/>
      <c r="B69" s="1661"/>
      <c r="C69" s="1661"/>
      <c r="D69" s="229"/>
      <c r="E69" s="229"/>
      <c r="F69" s="229"/>
      <c r="G69" s="229"/>
      <c r="H69" s="229"/>
      <c r="I69" s="229"/>
      <c r="J69" s="229"/>
      <c r="K69" s="229"/>
      <c r="L69" s="229"/>
      <c r="M69" s="229"/>
      <c r="N69" s="229"/>
      <c r="O69" s="229"/>
      <c r="P69" s="229"/>
      <c r="Q69" s="229"/>
      <c r="R69" s="229"/>
      <c r="S69" s="229"/>
      <c r="T69" s="229"/>
      <c r="U69" s="229"/>
      <c r="V69" s="229"/>
      <c r="W69" s="229"/>
      <c r="X69" s="229"/>
    </row>
    <row r="70" spans="1:24" ht="15" hidden="1" x14ac:dyDescent="0.25">
      <c r="A70" s="637"/>
      <c r="B70" s="1661"/>
      <c r="C70" s="1661"/>
      <c r="D70" s="119"/>
      <c r="E70" s="119"/>
      <c r="F70" s="120" t="s">
        <v>585</v>
      </c>
      <c r="G70" s="2107" t="s">
        <v>931</v>
      </c>
      <c r="H70" s="120"/>
      <c r="I70" s="120"/>
      <c r="J70" s="120"/>
      <c r="K70" s="120"/>
      <c r="L70" s="120"/>
      <c r="M70" s="120"/>
      <c r="N70" s="119"/>
      <c r="O70" s="119"/>
      <c r="P70" s="229"/>
      <c r="Q70" s="229"/>
      <c r="R70" s="229"/>
      <c r="S70" s="229"/>
      <c r="T70" s="229"/>
      <c r="U70" s="229"/>
      <c r="V70" s="229"/>
      <c r="W70" s="229"/>
      <c r="X70" s="229"/>
    </row>
    <row r="71" spans="1:24" ht="15" hidden="1" x14ac:dyDescent="0.25">
      <c r="A71" s="637"/>
      <c r="B71" s="1661"/>
      <c r="C71" s="1661"/>
      <c r="D71" s="715"/>
      <c r="E71" s="715"/>
      <c r="F71" s="277" t="s">
        <v>930</v>
      </c>
      <c r="G71" s="277"/>
      <c r="H71" s="277"/>
      <c r="I71" s="277"/>
      <c r="J71" s="2108" t="s">
        <v>929</v>
      </c>
      <c r="K71" s="277"/>
      <c r="L71" s="277"/>
      <c r="M71" s="277"/>
      <c r="N71" s="277"/>
      <c r="O71" s="277"/>
      <c r="P71" s="229"/>
      <c r="Q71" s="229"/>
      <c r="R71" s="229"/>
      <c r="S71" s="229"/>
      <c r="T71" s="229"/>
      <c r="U71" s="229"/>
      <c r="V71" s="229"/>
      <c r="W71" s="229"/>
      <c r="X71" s="229"/>
    </row>
    <row r="72" spans="1:24" ht="15" hidden="1" x14ac:dyDescent="0.25">
      <c r="A72" s="637"/>
      <c r="B72" s="1661"/>
      <c r="C72" s="1661"/>
      <c r="D72" s="277" t="s">
        <v>928</v>
      </c>
      <c r="E72" s="277"/>
      <c r="F72" s="276">
        <v>2001</v>
      </c>
      <c r="G72" s="276">
        <v>2007</v>
      </c>
      <c r="H72" s="276"/>
      <c r="I72" s="276"/>
      <c r="J72" s="651">
        <v>2001</v>
      </c>
      <c r="K72" s="276">
        <v>2007</v>
      </c>
      <c r="L72" s="276"/>
      <c r="M72" s="276"/>
      <c r="N72" s="276"/>
      <c r="O72" s="276"/>
      <c r="P72" s="229"/>
      <c r="Q72" s="229"/>
      <c r="R72" s="229"/>
      <c r="S72" s="229"/>
      <c r="T72" s="229"/>
      <c r="U72" s="229"/>
      <c r="V72" s="229"/>
      <c r="W72" s="229"/>
      <c r="X72" s="229"/>
    </row>
    <row r="73" spans="1:24" ht="15" hidden="1" x14ac:dyDescent="0.25">
      <c r="A73" s="637"/>
      <c r="B73" s="1661"/>
      <c r="C73" s="1661"/>
      <c r="D73" s="784" t="s">
        <v>415</v>
      </c>
      <c r="E73" s="784"/>
      <c r="F73" s="631">
        <v>24</v>
      </c>
      <c r="G73" s="631">
        <v>35</v>
      </c>
      <c r="H73" s="1049"/>
      <c r="I73" s="1049"/>
      <c r="J73" s="1050">
        <v>34</v>
      </c>
      <c r="K73" s="631">
        <v>36</v>
      </c>
      <c r="L73" s="631"/>
      <c r="M73" s="1049"/>
      <c r="N73" s="1049"/>
      <c r="O73" s="1049"/>
      <c r="P73" s="229"/>
      <c r="Q73" s="229"/>
      <c r="R73" s="229"/>
      <c r="S73" s="229"/>
      <c r="T73" s="229"/>
      <c r="U73" s="229"/>
      <c r="V73" s="229"/>
      <c r="W73" s="229"/>
      <c r="X73" s="229"/>
    </row>
    <row r="74" spans="1:24" ht="15" hidden="1" x14ac:dyDescent="0.25">
      <c r="A74" s="637"/>
      <c r="B74" s="1661"/>
      <c r="C74" s="1661"/>
      <c r="D74" s="784" t="s">
        <v>417</v>
      </c>
      <c r="E74" s="784"/>
      <c r="F74" s="631">
        <v>27</v>
      </c>
      <c r="G74" s="631">
        <v>43</v>
      </c>
      <c r="H74" s="631"/>
      <c r="I74" s="631"/>
      <c r="J74" s="1050">
        <v>29</v>
      </c>
      <c r="K74" s="631">
        <v>42</v>
      </c>
      <c r="L74" s="631"/>
      <c r="M74" s="631"/>
      <c r="N74" s="631"/>
      <c r="O74" s="631"/>
      <c r="P74" s="229"/>
      <c r="Q74" s="229"/>
      <c r="R74" s="229"/>
      <c r="S74" s="229"/>
      <c r="T74" s="229"/>
      <c r="U74" s="229"/>
      <c r="V74" s="229"/>
      <c r="W74" s="229"/>
      <c r="X74" s="229"/>
    </row>
    <row r="75" spans="1:24" ht="15" hidden="1" x14ac:dyDescent="0.25">
      <c r="A75" s="637"/>
      <c r="B75" s="1661"/>
      <c r="C75" s="1661"/>
      <c r="D75" s="784" t="s">
        <v>420</v>
      </c>
      <c r="E75" s="784"/>
      <c r="F75" s="631">
        <v>33</v>
      </c>
      <c r="G75" s="631">
        <v>38</v>
      </c>
      <c r="H75" s="631"/>
      <c r="I75" s="631"/>
      <c r="J75" s="1050">
        <v>32</v>
      </c>
      <c r="K75" s="631">
        <v>42</v>
      </c>
      <c r="L75" s="631"/>
      <c r="M75" s="631"/>
      <c r="N75" s="631"/>
      <c r="O75" s="631"/>
      <c r="P75" s="229"/>
      <c r="Q75" s="229"/>
      <c r="R75" s="229"/>
      <c r="S75" s="229"/>
      <c r="T75" s="229"/>
      <c r="U75" s="229"/>
      <c r="V75" s="229"/>
      <c r="W75" s="229"/>
      <c r="X75" s="229"/>
    </row>
    <row r="76" spans="1:24" ht="15" hidden="1" x14ac:dyDescent="0.25">
      <c r="A76" s="637"/>
      <c r="B76" s="1661"/>
      <c r="C76" s="1661"/>
      <c r="D76" s="784" t="s">
        <v>418</v>
      </c>
      <c r="E76" s="784"/>
      <c r="F76" s="631">
        <v>35</v>
      </c>
      <c r="G76" s="631">
        <v>38</v>
      </c>
      <c r="H76" s="631"/>
      <c r="I76" s="631"/>
      <c r="J76" s="1050">
        <v>31</v>
      </c>
      <c r="K76" s="631">
        <v>36</v>
      </c>
      <c r="L76" s="631"/>
      <c r="M76" s="631"/>
      <c r="N76" s="631"/>
      <c r="O76" s="631"/>
      <c r="P76" s="229"/>
      <c r="Q76" s="229"/>
      <c r="R76" s="229"/>
      <c r="S76" s="229"/>
      <c r="T76" s="229"/>
      <c r="U76" s="229"/>
      <c r="V76" s="229"/>
      <c r="W76" s="229"/>
      <c r="X76" s="229"/>
    </row>
    <row r="77" spans="1:24" ht="15" hidden="1" x14ac:dyDescent="0.25">
      <c r="A77" s="637"/>
      <c r="B77" s="1661"/>
      <c r="C77" s="1661"/>
      <c r="D77" s="784" t="s">
        <v>422</v>
      </c>
      <c r="E77" s="784"/>
      <c r="F77" s="631">
        <v>27</v>
      </c>
      <c r="G77" s="631">
        <v>29</v>
      </c>
      <c r="H77" s="1049"/>
      <c r="I77" s="1049"/>
      <c r="J77" s="1050">
        <v>24</v>
      </c>
      <c r="K77" s="631">
        <v>26</v>
      </c>
      <c r="L77" s="631"/>
      <c r="M77" s="1049"/>
      <c r="N77" s="1049"/>
      <c r="O77" s="1049"/>
      <c r="P77" s="229"/>
      <c r="Q77" s="229"/>
      <c r="R77" s="229"/>
      <c r="S77" s="229"/>
      <c r="T77" s="229"/>
      <c r="U77" s="229"/>
      <c r="V77" s="229"/>
      <c r="W77" s="229"/>
      <c r="X77" s="229"/>
    </row>
    <row r="78" spans="1:24" ht="15" hidden="1" x14ac:dyDescent="0.25">
      <c r="A78" s="637"/>
      <c r="B78" s="1661"/>
      <c r="C78" s="1661"/>
      <c r="D78" s="784" t="s">
        <v>421</v>
      </c>
      <c r="E78" s="784"/>
      <c r="F78" s="631">
        <v>28</v>
      </c>
      <c r="G78" s="631">
        <v>32</v>
      </c>
      <c r="H78" s="631"/>
      <c r="I78" s="631"/>
      <c r="J78" s="1050">
        <v>29</v>
      </c>
      <c r="K78" s="631">
        <v>31</v>
      </c>
      <c r="L78" s="631"/>
      <c r="M78" s="631"/>
      <c r="N78" s="631"/>
      <c r="O78" s="631"/>
      <c r="P78" s="229"/>
      <c r="Q78" s="229"/>
      <c r="R78" s="229"/>
      <c r="S78" s="229"/>
      <c r="T78" s="229"/>
      <c r="U78" s="229"/>
      <c r="V78" s="229"/>
      <c r="W78" s="229"/>
      <c r="X78" s="229"/>
    </row>
    <row r="79" spans="1:24" ht="15" hidden="1" x14ac:dyDescent="0.25">
      <c r="A79" s="637"/>
      <c r="B79" s="1661"/>
      <c r="C79" s="1661"/>
      <c r="D79" s="784" t="s">
        <v>419</v>
      </c>
      <c r="E79" s="784"/>
      <c r="F79" s="631">
        <v>29</v>
      </c>
      <c r="G79" s="631">
        <v>35</v>
      </c>
      <c r="H79" s="631"/>
      <c r="I79" s="631"/>
      <c r="J79" s="1050">
        <v>25</v>
      </c>
      <c r="K79" s="631">
        <v>29</v>
      </c>
      <c r="L79" s="631"/>
      <c r="M79" s="631"/>
      <c r="N79" s="631"/>
      <c r="O79" s="631"/>
      <c r="P79" s="229"/>
      <c r="Q79" s="229"/>
      <c r="R79" s="229"/>
      <c r="S79" s="229"/>
      <c r="T79" s="229"/>
      <c r="U79" s="229"/>
      <c r="V79" s="229"/>
      <c r="W79" s="229"/>
      <c r="X79" s="229"/>
    </row>
    <row r="80" spans="1:24" ht="15" hidden="1" x14ac:dyDescent="0.25">
      <c r="A80" s="637"/>
      <c r="B80" s="1661"/>
      <c r="C80" s="1661"/>
      <c r="D80" s="784" t="s">
        <v>416</v>
      </c>
      <c r="E80" s="784"/>
      <c r="F80" s="631">
        <v>23</v>
      </c>
      <c r="G80" s="631">
        <v>34</v>
      </c>
      <c r="H80" s="631"/>
      <c r="I80" s="631"/>
      <c r="J80" s="1050">
        <v>26</v>
      </c>
      <c r="K80" s="631">
        <v>31</v>
      </c>
      <c r="L80" s="631"/>
      <c r="M80" s="631"/>
      <c r="N80" s="631"/>
      <c r="O80" s="631"/>
      <c r="P80" s="229"/>
      <c r="Q80" s="229"/>
      <c r="R80" s="229"/>
      <c r="S80" s="229"/>
      <c r="T80" s="229"/>
      <c r="U80" s="229"/>
      <c r="V80" s="229"/>
      <c r="W80" s="229"/>
      <c r="X80" s="229"/>
    </row>
    <row r="81" spans="1:24" ht="15" hidden="1" x14ac:dyDescent="0.25">
      <c r="A81" s="637"/>
      <c r="B81" s="1661"/>
      <c r="C81" s="1661"/>
      <c r="D81" s="1048" t="s">
        <v>414</v>
      </c>
      <c r="E81" s="1048"/>
      <c r="F81" s="1046">
        <v>33</v>
      </c>
      <c r="G81" s="1046">
        <v>48</v>
      </c>
      <c r="H81" s="1046"/>
      <c r="I81" s="1046"/>
      <c r="J81" s="1047">
        <v>32</v>
      </c>
      <c r="K81" s="1046">
        <v>49</v>
      </c>
      <c r="L81" s="1046"/>
      <c r="M81" s="1046"/>
      <c r="N81" s="631"/>
      <c r="O81" s="631"/>
      <c r="P81" s="229"/>
      <c r="Q81" s="229"/>
      <c r="R81" s="229"/>
      <c r="S81" s="229"/>
      <c r="T81" s="229"/>
      <c r="U81" s="229"/>
      <c r="V81" s="229"/>
      <c r="W81" s="229"/>
      <c r="X81" s="229"/>
    </row>
    <row r="82" spans="1:24" ht="15" hidden="1" x14ac:dyDescent="0.25">
      <c r="A82" s="637"/>
      <c r="B82" s="1661"/>
      <c r="C82" s="1661"/>
      <c r="D82" s="2106"/>
      <c r="E82" s="2106"/>
      <c r="F82" s="2106"/>
      <c r="G82" s="2088"/>
      <c r="H82" s="2088"/>
      <c r="I82" s="2088"/>
      <c r="J82" s="2088"/>
      <c r="K82" s="2088"/>
      <c r="L82" s="2088"/>
      <c r="M82" s="2088"/>
      <c r="N82" s="2088"/>
      <c r="O82" s="2088"/>
      <c r="P82" s="229"/>
      <c r="Q82" s="229"/>
      <c r="R82" s="229"/>
      <c r="S82" s="229"/>
      <c r="T82" s="229"/>
      <c r="U82" s="229"/>
      <c r="V82" s="229"/>
      <c r="W82" s="229"/>
      <c r="X82" s="229"/>
    </row>
    <row r="83" spans="1:24" ht="15" hidden="1" x14ac:dyDescent="0.25">
      <c r="A83" s="637"/>
      <c r="B83" s="1661"/>
      <c r="C83" s="1661"/>
      <c r="D83" s="229"/>
      <c r="E83" s="229"/>
      <c r="F83" s="229"/>
      <c r="G83" s="229"/>
      <c r="H83" s="229"/>
      <c r="I83" s="229"/>
      <c r="J83" s="229"/>
      <c r="K83" s="229"/>
      <c r="L83" s="229"/>
      <c r="M83" s="229"/>
      <c r="N83" s="229"/>
      <c r="O83" s="229"/>
      <c r="P83" s="229"/>
      <c r="Q83" s="229"/>
      <c r="R83" s="229"/>
      <c r="S83" s="229"/>
      <c r="T83" s="229"/>
      <c r="U83" s="229"/>
      <c r="V83" s="229"/>
      <c r="W83" s="229"/>
      <c r="X83" s="229"/>
    </row>
    <row r="84" spans="1:24" ht="15" hidden="1" x14ac:dyDescent="0.25">
      <c r="A84" s="637"/>
      <c r="B84" s="1661"/>
      <c r="C84" s="1661"/>
      <c r="D84" s="229"/>
      <c r="E84" s="229"/>
      <c r="F84" s="229"/>
      <c r="G84" s="229"/>
      <c r="H84" s="229"/>
      <c r="I84" s="229"/>
      <c r="J84" s="229"/>
      <c r="K84" s="229"/>
      <c r="L84" s="229"/>
      <c r="M84" s="229"/>
      <c r="N84" s="229"/>
      <c r="O84" s="229"/>
      <c r="P84" s="229"/>
      <c r="Q84" s="229"/>
      <c r="R84" s="229"/>
      <c r="S84" s="229"/>
      <c r="T84" s="229"/>
      <c r="U84" s="229"/>
      <c r="V84" s="229"/>
      <c r="W84" s="229"/>
      <c r="X84" s="229"/>
    </row>
    <row r="85" spans="1:24" ht="15" hidden="1" x14ac:dyDescent="0.25">
      <c r="A85" s="637"/>
      <c r="B85" s="1661"/>
      <c r="C85" s="1661"/>
      <c r="D85" s="229"/>
      <c r="E85" s="229"/>
      <c r="F85" s="229"/>
      <c r="G85" s="229"/>
      <c r="H85" s="229"/>
      <c r="I85" s="229"/>
      <c r="J85" s="229"/>
      <c r="K85" s="229"/>
      <c r="L85" s="229"/>
      <c r="M85" s="229"/>
      <c r="N85" s="229"/>
      <c r="O85" s="229"/>
      <c r="P85" s="229"/>
      <c r="Q85" s="229"/>
      <c r="R85" s="229"/>
      <c r="S85" s="229"/>
      <c r="T85" s="229"/>
      <c r="U85" s="229"/>
      <c r="V85" s="229"/>
      <c r="W85" s="229"/>
      <c r="X85" s="229"/>
    </row>
    <row r="86" spans="1:24" ht="15" hidden="1" x14ac:dyDescent="0.25">
      <c r="A86" s="637"/>
      <c r="B86" s="1661"/>
      <c r="C86" s="1661"/>
      <c r="D86" s="229"/>
      <c r="E86" s="229"/>
      <c r="F86" s="229"/>
      <c r="G86" s="229"/>
      <c r="H86" s="229"/>
      <c r="I86" s="229"/>
      <c r="J86" s="229"/>
      <c r="K86" s="229"/>
      <c r="L86" s="229"/>
      <c r="M86" s="229"/>
      <c r="N86" s="229"/>
      <c r="O86" s="229"/>
      <c r="P86" s="229"/>
      <c r="Q86" s="229"/>
      <c r="R86" s="229"/>
      <c r="S86" s="229"/>
      <c r="T86" s="229"/>
      <c r="U86" s="229"/>
      <c r="V86" s="229"/>
      <c r="W86" s="229"/>
      <c r="X86" s="229"/>
    </row>
    <row r="87" spans="1:24" ht="15" hidden="1" x14ac:dyDescent="0.25">
      <c r="A87" s="637"/>
      <c r="B87" s="1661"/>
      <c r="C87" s="1661"/>
      <c r="D87" s="229"/>
      <c r="E87" s="229"/>
      <c r="F87" s="229"/>
      <c r="G87" s="229"/>
      <c r="H87" s="229"/>
      <c r="I87" s="229"/>
      <c r="J87" s="229"/>
      <c r="K87" s="229"/>
      <c r="L87" s="229"/>
      <c r="M87" s="229"/>
      <c r="N87" s="229"/>
      <c r="O87" s="229"/>
      <c r="P87" s="229"/>
      <c r="Q87" s="229"/>
      <c r="R87" s="229"/>
      <c r="S87" s="229"/>
      <c r="T87" s="229"/>
      <c r="U87" s="229"/>
      <c r="V87" s="229"/>
      <c r="W87" s="229"/>
      <c r="X87" s="229"/>
    </row>
    <row r="88" spans="1:24" ht="15" hidden="1" x14ac:dyDescent="0.25">
      <c r="A88" s="637"/>
      <c r="B88" s="1661"/>
      <c r="C88" s="1661"/>
      <c r="D88" s="229"/>
      <c r="E88" s="229"/>
      <c r="F88" s="229"/>
      <c r="G88" s="229"/>
      <c r="H88" s="229"/>
      <c r="I88" s="229"/>
      <c r="J88" s="229"/>
      <c r="K88" s="229"/>
      <c r="L88" s="229"/>
      <c r="M88" s="229"/>
      <c r="N88" s="229"/>
      <c r="O88" s="229"/>
      <c r="P88" s="229"/>
      <c r="Q88" s="229"/>
      <c r="R88" s="229"/>
      <c r="S88" s="229"/>
      <c r="T88" s="229"/>
      <c r="U88" s="229"/>
      <c r="V88" s="229"/>
      <c r="W88" s="229"/>
      <c r="X88" s="229"/>
    </row>
    <row r="89" spans="1:24" ht="15" x14ac:dyDescent="0.25">
      <c r="A89" s="637"/>
      <c r="B89" s="1661"/>
      <c r="C89" s="1661"/>
      <c r="D89" s="229"/>
      <c r="E89" s="229"/>
      <c r="F89" s="229"/>
      <c r="G89" s="229"/>
      <c r="H89" s="229"/>
      <c r="I89" s="229"/>
      <c r="J89" s="229"/>
      <c r="K89" s="229"/>
      <c r="L89" s="229"/>
      <c r="M89" s="229"/>
      <c r="N89" s="229"/>
      <c r="O89" s="229"/>
      <c r="P89" s="229"/>
      <c r="Q89" s="229"/>
      <c r="R89" s="229"/>
      <c r="S89" s="229"/>
      <c r="T89" s="229"/>
      <c r="U89" s="229"/>
      <c r="V89" s="229"/>
      <c r="W89" s="229"/>
      <c r="X89" s="229"/>
    </row>
    <row r="90" spans="1:24" ht="15" x14ac:dyDescent="0.25">
      <c r="A90" s="637"/>
      <c r="B90" s="1661"/>
      <c r="C90" s="1661"/>
      <c r="D90" s="229"/>
      <c r="E90" s="229"/>
      <c r="F90" s="229"/>
      <c r="G90" s="229"/>
      <c r="H90" s="229"/>
      <c r="I90" s="229"/>
      <c r="J90" s="229"/>
      <c r="K90" s="229"/>
      <c r="L90" s="229"/>
      <c r="M90" s="229"/>
      <c r="N90" s="229"/>
      <c r="O90" s="229"/>
      <c r="P90" s="229"/>
      <c r="T90" s="229"/>
      <c r="U90" s="229"/>
      <c r="V90" s="229"/>
      <c r="W90" s="229"/>
      <c r="X90" s="229"/>
    </row>
  </sheetData>
  <mergeCells count="14">
    <mergeCell ref="T6:V6"/>
    <mergeCell ref="W6:Y6"/>
    <mergeCell ref="F54:J54"/>
    <mergeCell ref="D27:S27"/>
    <mergeCell ref="D28:S28"/>
    <mergeCell ref="D29:S29"/>
    <mergeCell ref="D30:S30"/>
    <mergeCell ref="F39:J39"/>
    <mergeCell ref="D2:S2"/>
    <mergeCell ref="D3:S3"/>
    <mergeCell ref="D4:S4"/>
    <mergeCell ref="E8:H8"/>
    <mergeCell ref="I8:L8"/>
    <mergeCell ref="M8:P8"/>
  </mergeCells>
  <pageMargins left="0.74803149606299213" right="0.74803149606299213" top="0.98425196850393704" bottom="0.98425196850393704" header="0.51181102362204722" footer="0.51181102362204722"/>
  <pageSetup paperSize="9" scale="6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46"/>
  <sheetViews>
    <sheetView showGridLines="0" view="pageBreakPreview" topLeftCell="E22" zoomScaleNormal="100" zoomScaleSheetLayoutView="100" workbookViewId="0">
      <selection activeCell="Q20" sqref="Q20"/>
    </sheetView>
  </sheetViews>
  <sheetFormatPr defaultColWidth="9.140625" defaultRowHeight="15" x14ac:dyDescent="0.25"/>
  <cols>
    <col min="1" max="1" width="3.7109375" style="637" customWidth="1"/>
    <col min="2" max="2" width="14.42578125" style="1661" customWidth="1"/>
    <col min="3" max="3" width="3.7109375" style="1661" customWidth="1"/>
    <col min="4" max="4" width="20.140625" style="229" customWidth="1"/>
    <col min="5" max="5" width="11.5703125" style="1876" customWidth="1"/>
    <col min="6" max="13" width="11.5703125" style="229" customWidth="1"/>
    <col min="14" max="14" width="9.42578125" style="229" customWidth="1"/>
    <col min="15" max="15" width="8.85546875" style="229" customWidth="1"/>
    <col min="16" max="21" width="7.7109375" style="229" customWidth="1"/>
    <col min="22" max="22" width="10.42578125" style="229" bestFit="1" customWidth="1"/>
    <col min="23" max="258" width="9.140625" style="229"/>
    <col min="259" max="259" width="3.7109375" style="229" customWidth="1"/>
    <col min="260" max="260" width="14.42578125" style="229" customWidth="1"/>
    <col min="261" max="261" width="3.7109375" style="229" customWidth="1"/>
    <col min="262" max="262" width="20.140625" style="229" customWidth="1"/>
    <col min="263" max="263" width="6.28515625" style="229" customWidth="1"/>
    <col min="264" max="269" width="11.5703125" style="229" customWidth="1"/>
    <col min="270" max="271" width="8.85546875" style="229" customWidth="1"/>
    <col min="272" max="277" width="7.7109375" style="229" customWidth="1"/>
    <col min="278" max="278" width="10.42578125" style="229" bestFit="1" customWidth="1"/>
    <col min="279" max="514" width="9.140625" style="229"/>
    <col min="515" max="515" width="3.7109375" style="229" customWidth="1"/>
    <col min="516" max="516" width="14.42578125" style="229" customWidth="1"/>
    <col min="517" max="517" width="3.7109375" style="229" customWidth="1"/>
    <col min="518" max="518" width="20.140625" style="229" customWidth="1"/>
    <col min="519" max="519" width="6.28515625" style="229" customWidth="1"/>
    <col min="520" max="525" width="11.5703125" style="229" customWidth="1"/>
    <col min="526" max="527" width="8.85546875" style="229" customWidth="1"/>
    <col min="528" max="533" width="7.7109375" style="229" customWidth="1"/>
    <col min="534" max="534" width="10.42578125" style="229" bestFit="1" customWidth="1"/>
    <col min="535" max="770" width="9.140625" style="229"/>
    <col min="771" max="771" width="3.7109375" style="229" customWidth="1"/>
    <col min="772" max="772" width="14.42578125" style="229" customWidth="1"/>
    <col min="773" max="773" width="3.7109375" style="229" customWidth="1"/>
    <col min="774" max="774" width="20.140625" style="229" customWidth="1"/>
    <col min="775" max="775" width="6.28515625" style="229" customWidth="1"/>
    <col min="776" max="781" width="11.5703125" style="229" customWidth="1"/>
    <col min="782" max="783" width="8.85546875" style="229" customWidth="1"/>
    <col min="784" max="789" width="7.7109375" style="229" customWidth="1"/>
    <col min="790" max="790" width="10.42578125" style="229" bestFit="1" customWidth="1"/>
    <col min="791" max="1026" width="9.140625" style="229"/>
    <col min="1027" max="1027" width="3.7109375" style="229" customWidth="1"/>
    <col min="1028" max="1028" width="14.42578125" style="229" customWidth="1"/>
    <col min="1029" max="1029" width="3.7109375" style="229" customWidth="1"/>
    <col min="1030" max="1030" width="20.140625" style="229" customWidth="1"/>
    <col min="1031" max="1031" width="6.28515625" style="229" customWidth="1"/>
    <col min="1032" max="1037" width="11.5703125" style="229" customWidth="1"/>
    <col min="1038" max="1039" width="8.85546875" style="229" customWidth="1"/>
    <col min="1040" max="1045" width="7.7109375" style="229" customWidth="1"/>
    <col min="1046" max="1046" width="10.42578125" style="229" bestFit="1" customWidth="1"/>
    <col min="1047" max="1282" width="9.140625" style="229"/>
    <col min="1283" max="1283" width="3.7109375" style="229" customWidth="1"/>
    <col min="1284" max="1284" width="14.42578125" style="229" customWidth="1"/>
    <col min="1285" max="1285" width="3.7109375" style="229" customWidth="1"/>
    <col min="1286" max="1286" width="20.140625" style="229" customWidth="1"/>
    <col min="1287" max="1287" width="6.28515625" style="229" customWidth="1"/>
    <col min="1288" max="1293" width="11.5703125" style="229" customWidth="1"/>
    <col min="1294" max="1295" width="8.85546875" style="229" customWidth="1"/>
    <col min="1296" max="1301" width="7.7109375" style="229" customWidth="1"/>
    <col min="1302" max="1302" width="10.42578125" style="229" bestFit="1" customWidth="1"/>
    <col min="1303" max="1538" width="9.140625" style="229"/>
    <col min="1539" max="1539" width="3.7109375" style="229" customWidth="1"/>
    <col min="1540" max="1540" width="14.42578125" style="229" customWidth="1"/>
    <col min="1541" max="1541" width="3.7109375" style="229" customWidth="1"/>
    <col min="1542" max="1542" width="20.140625" style="229" customWidth="1"/>
    <col min="1543" max="1543" width="6.28515625" style="229" customWidth="1"/>
    <col min="1544" max="1549" width="11.5703125" style="229" customWidth="1"/>
    <col min="1550" max="1551" width="8.85546875" style="229" customWidth="1"/>
    <col min="1552" max="1557" width="7.7109375" style="229" customWidth="1"/>
    <col min="1558" max="1558" width="10.42578125" style="229" bestFit="1" customWidth="1"/>
    <col min="1559" max="1794" width="9.140625" style="229"/>
    <col min="1795" max="1795" width="3.7109375" style="229" customWidth="1"/>
    <col min="1796" max="1796" width="14.42578125" style="229" customWidth="1"/>
    <col min="1797" max="1797" width="3.7109375" style="229" customWidth="1"/>
    <col min="1798" max="1798" width="20.140625" style="229" customWidth="1"/>
    <col min="1799" max="1799" width="6.28515625" style="229" customWidth="1"/>
    <col min="1800" max="1805" width="11.5703125" style="229" customWidth="1"/>
    <col min="1806" max="1807" width="8.85546875" style="229" customWidth="1"/>
    <col min="1808" max="1813" width="7.7109375" style="229" customWidth="1"/>
    <col min="1814" max="1814" width="10.42578125" style="229" bestFit="1" customWidth="1"/>
    <col min="1815" max="2050" width="9.140625" style="229"/>
    <col min="2051" max="2051" width="3.7109375" style="229" customWidth="1"/>
    <col min="2052" max="2052" width="14.42578125" style="229" customWidth="1"/>
    <col min="2053" max="2053" width="3.7109375" style="229" customWidth="1"/>
    <col min="2054" max="2054" width="20.140625" style="229" customWidth="1"/>
    <col min="2055" max="2055" width="6.28515625" style="229" customWidth="1"/>
    <col min="2056" max="2061" width="11.5703125" style="229" customWidth="1"/>
    <col min="2062" max="2063" width="8.85546875" style="229" customWidth="1"/>
    <col min="2064" max="2069" width="7.7109375" style="229" customWidth="1"/>
    <col min="2070" max="2070" width="10.42578125" style="229" bestFit="1" customWidth="1"/>
    <col min="2071" max="2306" width="9.140625" style="229"/>
    <col min="2307" max="2307" width="3.7109375" style="229" customWidth="1"/>
    <col min="2308" max="2308" width="14.42578125" style="229" customWidth="1"/>
    <col min="2309" max="2309" width="3.7109375" style="229" customWidth="1"/>
    <col min="2310" max="2310" width="20.140625" style="229" customWidth="1"/>
    <col min="2311" max="2311" width="6.28515625" style="229" customWidth="1"/>
    <col min="2312" max="2317" width="11.5703125" style="229" customWidth="1"/>
    <col min="2318" max="2319" width="8.85546875" style="229" customWidth="1"/>
    <col min="2320" max="2325" width="7.7109375" style="229" customWidth="1"/>
    <col min="2326" max="2326" width="10.42578125" style="229" bestFit="1" customWidth="1"/>
    <col min="2327" max="2562" width="9.140625" style="229"/>
    <col min="2563" max="2563" width="3.7109375" style="229" customWidth="1"/>
    <col min="2564" max="2564" width="14.42578125" style="229" customWidth="1"/>
    <col min="2565" max="2565" width="3.7109375" style="229" customWidth="1"/>
    <col min="2566" max="2566" width="20.140625" style="229" customWidth="1"/>
    <col min="2567" max="2567" width="6.28515625" style="229" customWidth="1"/>
    <col min="2568" max="2573" width="11.5703125" style="229" customWidth="1"/>
    <col min="2574" max="2575" width="8.85546875" style="229" customWidth="1"/>
    <col min="2576" max="2581" width="7.7109375" style="229" customWidth="1"/>
    <col min="2582" max="2582" width="10.42578125" style="229" bestFit="1" customWidth="1"/>
    <col min="2583" max="2818" width="9.140625" style="229"/>
    <col min="2819" max="2819" width="3.7109375" style="229" customWidth="1"/>
    <col min="2820" max="2820" width="14.42578125" style="229" customWidth="1"/>
    <col min="2821" max="2821" width="3.7109375" style="229" customWidth="1"/>
    <col min="2822" max="2822" width="20.140625" style="229" customWidth="1"/>
    <col min="2823" max="2823" width="6.28515625" style="229" customWidth="1"/>
    <col min="2824" max="2829" width="11.5703125" style="229" customWidth="1"/>
    <col min="2830" max="2831" width="8.85546875" style="229" customWidth="1"/>
    <col min="2832" max="2837" width="7.7109375" style="229" customWidth="1"/>
    <col min="2838" max="2838" width="10.42578125" style="229" bestFit="1" customWidth="1"/>
    <col min="2839" max="3074" width="9.140625" style="229"/>
    <col min="3075" max="3075" width="3.7109375" style="229" customWidth="1"/>
    <col min="3076" max="3076" width="14.42578125" style="229" customWidth="1"/>
    <col min="3077" max="3077" width="3.7109375" style="229" customWidth="1"/>
    <col min="3078" max="3078" width="20.140625" style="229" customWidth="1"/>
    <col min="3079" max="3079" width="6.28515625" style="229" customWidth="1"/>
    <col min="3080" max="3085" width="11.5703125" style="229" customWidth="1"/>
    <col min="3086" max="3087" width="8.85546875" style="229" customWidth="1"/>
    <col min="3088" max="3093" width="7.7109375" style="229" customWidth="1"/>
    <col min="3094" max="3094" width="10.42578125" style="229" bestFit="1" customWidth="1"/>
    <col min="3095" max="3330" width="9.140625" style="229"/>
    <col min="3331" max="3331" width="3.7109375" style="229" customWidth="1"/>
    <col min="3332" max="3332" width="14.42578125" style="229" customWidth="1"/>
    <col min="3333" max="3333" width="3.7109375" style="229" customWidth="1"/>
    <col min="3334" max="3334" width="20.140625" style="229" customWidth="1"/>
    <col min="3335" max="3335" width="6.28515625" style="229" customWidth="1"/>
    <col min="3336" max="3341" width="11.5703125" style="229" customWidth="1"/>
    <col min="3342" max="3343" width="8.85546875" style="229" customWidth="1"/>
    <col min="3344" max="3349" width="7.7109375" style="229" customWidth="1"/>
    <col min="3350" max="3350" width="10.42578125" style="229" bestFit="1" customWidth="1"/>
    <col min="3351" max="3586" width="9.140625" style="229"/>
    <col min="3587" max="3587" width="3.7109375" style="229" customWidth="1"/>
    <col min="3588" max="3588" width="14.42578125" style="229" customWidth="1"/>
    <col min="3589" max="3589" width="3.7109375" style="229" customWidth="1"/>
    <col min="3590" max="3590" width="20.140625" style="229" customWidth="1"/>
    <col min="3591" max="3591" width="6.28515625" style="229" customWidth="1"/>
    <col min="3592" max="3597" width="11.5703125" style="229" customWidth="1"/>
    <col min="3598" max="3599" width="8.85546875" style="229" customWidth="1"/>
    <col min="3600" max="3605" width="7.7109375" style="229" customWidth="1"/>
    <col min="3606" max="3606" width="10.42578125" style="229" bestFit="1" customWidth="1"/>
    <col min="3607" max="3842" width="9.140625" style="229"/>
    <col min="3843" max="3843" width="3.7109375" style="229" customWidth="1"/>
    <col min="3844" max="3844" width="14.42578125" style="229" customWidth="1"/>
    <col min="3845" max="3845" width="3.7109375" style="229" customWidth="1"/>
    <col min="3846" max="3846" width="20.140625" style="229" customWidth="1"/>
    <col min="3847" max="3847" width="6.28515625" style="229" customWidth="1"/>
    <col min="3848" max="3853" width="11.5703125" style="229" customWidth="1"/>
    <col min="3854" max="3855" width="8.85546875" style="229" customWidth="1"/>
    <col min="3856" max="3861" width="7.7109375" style="229" customWidth="1"/>
    <col min="3862" max="3862" width="10.42578125" style="229" bestFit="1" customWidth="1"/>
    <col min="3863" max="4098" width="9.140625" style="229"/>
    <col min="4099" max="4099" width="3.7109375" style="229" customWidth="1"/>
    <col min="4100" max="4100" width="14.42578125" style="229" customWidth="1"/>
    <col min="4101" max="4101" width="3.7109375" style="229" customWidth="1"/>
    <col min="4102" max="4102" width="20.140625" style="229" customWidth="1"/>
    <col min="4103" max="4103" width="6.28515625" style="229" customWidth="1"/>
    <col min="4104" max="4109" width="11.5703125" style="229" customWidth="1"/>
    <col min="4110" max="4111" width="8.85546875" style="229" customWidth="1"/>
    <col min="4112" max="4117" width="7.7109375" style="229" customWidth="1"/>
    <col min="4118" max="4118" width="10.42578125" style="229" bestFit="1" customWidth="1"/>
    <col min="4119" max="4354" width="9.140625" style="229"/>
    <col min="4355" max="4355" width="3.7109375" style="229" customWidth="1"/>
    <col min="4356" max="4356" width="14.42578125" style="229" customWidth="1"/>
    <col min="4357" max="4357" width="3.7109375" style="229" customWidth="1"/>
    <col min="4358" max="4358" width="20.140625" style="229" customWidth="1"/>
    <col min="4359" max="4359" width="6.28515625" style="229" customWidth="1"/>
    <col min="4360" max="4365" width="11.5703125" style="229" customWidth="1"/>
    <col min="4366" max="4367" width="8.85546875" style="229" customWidth="1"/>
    <col min="4368" max="4373" width="7.7109375" style="229" customWidth="1"/>
    <col min="4374" max="4374" width="10.42578125" style="229" bestFit="1" customWidth="1"/>
    <col min="4375" max="4610" width="9.140625" style="229"/>
    <col min="4611" max="4611" width="3.7109375" style="229" customWidth="1"/>
    <col min="4612" max="4612" width="14.42578125" style="229" customWidth="1"/>
    <col min="4613" max="4613" width="3.7109375" style="229" customWidth="1"/>
    <col min="4614" max="4614" width="20.140625" style="229" customWidth="1"/>
    <col min="4615" max="4615" width="6.28515625" style="229" customWidth="1"/>
    <col min="4616" max="4621" width="11.5703125" style="229" customWidth="1"/>
    <col min="4622" max="4623" width="8.85546875" style="229" customWidth="1"/>
    <col min="4624" max="4629" width="7.7109375" style="229" customWidth="1"/>
    <col min="4630" max="4630" width="10.42578125" style="229" bestFit="1" customWidth="1"/>
    <col min="4631" max="4866" width="9.140625" style="229"/>
    <col min="4867" max="4867" width="3.7109375" style="229" customWidth="1"/>
    <col min="4868" max="4868" width="14.42578125" style="229" customWidth="1"/>
    <col min="4869" max="4869" width="3.7109375" style="229" customWidth="1"/>
    <col min="4870" max="4870" width="20.140625" style="229" customWidth="1"/>
    <col min="4871" max="4871" width="6.28515625" style="229" customWidth="1"/>
    <col min="4872" max="4877" width="11.5703125" style="229" customWidth="1"/>
    <col min="4878" max="4879" width="8.85546875" style="229" customWidth="1"/>
    <col min="4880" max="4885" width="7.7109375" style="229" customWidth="1"/>
    <col min="4886" max="4886" width="10.42578125" style="229" bestFit="1" customWidth="1"/>
    <col min="4887" max="5122" width="9.140625" style="229"/>
    <col min="5123" max="5123" width="3.7109375" style="229" customWidth="1"/>
    <col min="5124" max="5124" width="14.42578125" style="229" customWidth="1"/>
    <col min="5125" max="5125" width="3.7109375" style="229" customWidth="1"/>
    <col min="5126" max="5126" width="20.140625" style="229" customWidth="1"/>
    <col min="5127" max="5127" width="6.28515625" style="229" customWidth="1"/>
    <col min="5128" max="5133" width="11.5703125" style="229" customWidth="1"/>
    <col min="5134" max="5135" width="8.85546875" style="229" customWidth="1"/>
    <col min="5136" max="5141" width="7.7109375" style="229" customWidth="1"/>
    <col min="5142" max="5142" width="10.42578125" style="229" bestFit="1" customWidth="1"/>
    <col min="5143" max="5378" width="9.140625" style="229"/>
    <col min="5379" max="5379" width="3.7109375" style="229" customWidth="1"/>
    <col min="5380" max="5380" width="14.42578125" style="229" customWidth="1"/>
    <col min="5381" max="5381" width="3.7109375" style="229" customWidth="1"/>
    <col min="5382" max="5382" width="20.140625" style="229" customWidth="1"/>
    <col min="5383" max="5383" width="6.28515625" style="229" customWidth="1"/>
    <col min="5384" max="5389" width="11.5703125" style="229" customWidth="1"/>
    <col min="5390" max="5391" width="8.85546875" style="229" customWidth="1"/>
    <col min="5392" max="5397" width="7.7109375" style="229" customWidth="1"/>
    <col min="5398" max="5398" width="10.42578125" style="229" bestFit="1" customWidth="1"/>
    <col min="5399" max="5634" width="9.140625" style="229"/>
    <col min="5635" max="5635" width="3.7109375" style="229" customWidth="1"/>
    <col min="5636" max="5636" width="14.42578125" style="229" customWidth="1"/>
    <col min="5637" max="5637" width="3.7109375" style="229" customWidth="1"/>
    <col min="5638" max="5638" width="20.140625" style="229" customWidth="1"/>
    <col min="5639" max="5639" width="6.28515625" style="229" customWidth="1"/>
    <col min="5640" max="5645" width="11.5703125" style="229" customWidth="1"/>
    <col min="5646" max="5647" width="8.85546875" style="229" customWidth="1"/>
    <col min="5648" max="5653" width="7.7109375" style="229" customWidth="1"/>
    <col min="5654" max="5654" width="10.42578125" style="229" bestFit="1" customWidth="1"/>
    <col min="5655" max="5890" width="9.140625" style="229"/>
    <col min="5891" max="5891" width="3.7109375" style="229" customWidth="1"/>
    <col min="5892" max="5892" width="14.42578125" style="229" customWidth="1"/>
    <col min="5893" max="5893" width="3.7109375" style="229" customWidth="1"/>
    <col min="5894" max="5894" width="20.140625" style="229" customWidth="1"/>
    <col min="5895" max="5895" width="6.28515625" style="229" customWidth="1"/>
    <col min="5896" max="5901" width="11.5703125" style="229" customWidth="1"/>
    <col min="5902" max="5903" width="8.85546875" style="229" customWidth="1"/>
    <col min="5904" max="5909" width="7.7109375" style="229" customWidth="1"/>
    <col min="5910" max="5910" width="10.42578125" style="229" bestFit="1" customWidth="1"/>
    <col min="5911" max="6146" width="9.140625" style="229"/>
    <col min="6147" max="6147" width="3.7109375" style="229" customWidth="1"/>
    <col min="6148" max="6148" width="14.42578125" style="229" customWidth="1"/>
    <col min="6149" max="6149" width="3.7109375" style="229" customWidth="1"/>
    <col min="6150" max="6150" width="20.140625" style="229" customWidth="1"/>
    <col min="6151" max="6151" width="6.28515625" style="229" customWidth="1"/>
    <col min="6152" max="6157" width="11.5703125" style="229" customWidth="1"/>
    <col min="6158" max="6159" width="8.85546875" style="229" customWidth="1"/>
    <col min="6160" max="6165" width="7.7109375" style="229" customWidth="1"/>
    <col min="6166" max="6166" width="10.42578125" style="229" bestFit="1" customWidth="1"/>
    <col min="6167" max="6402" width="9.140625" style="229"/>
    <col min="6403" max="6403" width="3.7109375" style="229" customWidth="1"/>
    <col min="6404" max="6404" width="14.42578125" style="229" customWidth="1"/>
    <col min="6405" max="6405" width="3.7109375" style="229" customWidth="1"/>
    <col min="6406" max="6406" width="20.140625" style="229" customWidth="1"/>
    <col min="6407" max="6407" width="6.28515625" style="229" customWidth="1"/>
    <col min="6408" max="6413" width="11.5703125" style="229" customWidth="1"/>
    <col min="6414" max="6415" width="8.85546875" style="229" customWidth="1"/>
    <col min="6416" max="6421" width="7.7109375" style="229" customWidth="1"/>
    <col min="6422" max="6422" width="10.42578125" style="229" bestFit="1" customWidth="1"/>
    <col min="6423" max="6658" width="9.140625" style="229"/>
    <col min="6659" max="6659" width="3.7109375" style="229" customWidth="1"/>
    <col min="6660" max="6660" width="14.42578125" style="229" customWidth="1"/>
    <col min="6661" max="6661" width="3.7109375" style="229" customWidth="1"/>
    <col min="6662" max="6662" width="20.140625" style="229" customWidth="1"/>
    <col min="6663" max="6663" width="6.28515625" style="229" customWidth="1"/>
    <col min="6664" max="6669" width="11.5703125" style="229" customWidth="1"/>
    <col min="6670" max="6671" width="8.85546875" style="229" customWidth="1"/>
    <col min="6672" max="6677" width="7.7109375" style="229" customWidth="1"/>
    <col min="6678" max="6678" width="10.42578125" style="229" bestFit="1" customWidth="1"/>
    <col min="6679" max="6914" width="9.140625" style="229"/>
    <col min="6915" max="6915" width="3.7109375" style="229" customWidth="1"/>
    <col min="6916" max="6916" width="14.42578125" style="229" customWidth="1"/>
    <col min="6917" max="6917" width="3.7109375" style="229" customWidth="1"/>
    <col min="6918" max="6918" width="20.140625" style="229" customWidth="1"/>
    <col min="6919" max="6919" width="6.28515625" style="229" customWidth="1"/>
    <col min="6920" max="6925" width="11.5703125" style="229" customWidth="1"/>
    <col min="6926" max="6927" width="8.85546875" style="229" customWidth="1"/>
    <col min="6928" max="6933" width="7.7109375" style="229" customWidth="1"/>
    <col min="6934" max="6934" width="10.42578125" style="229" bestFit="1" customWidth="1"/>
    <col min="6935" max="7170" width="9.140625" style="229"/>
    <col min="7171" max="7171" width="3.7109375" style="229" customWidth="1"/>
    <col min="7172" max="7172" width="14.42578125" style="229" customWidth="1"/>
    <col min="7173" max="7173" width="3.7109375" style="229" customWidth="1"/>
    <col min="7174" max="7174" width="20.140625" style="229" customWidth="1"/>
    <col min="7175" max="7175" width="6.28515625" style="229" customWidth="1"/>
    <col min="7176" max="7181" width="11.5703125" style="229" customWidth="1"/>
    <col min="7182" max="7183" width="8.85546875" style="229" customWidth="1"/>
    <col min="7184" max="7189" width="7.7109375" style="229" customWidth="1"/>
    <col min="7190" max="7190" width="10.42578125" style="229" bestFit="1" customWidth="1"/>
    <col min="7191" max="7426" width="9.140625" style="229"/>
    <col min="7427" max="7427" width="3.7109375" style="229" customWidth="1"/>
    <col min="7428" max="7428" width="14.42578125" style="229" customWidth="1"/>
    <col min="7429" max="7429" width="3.7109375" style="229" customWidth="1"/>
    <col min="7430" max="7430" width="20.140625" style="229" customWidth="1"/>
    <col min="7431" max="7431" width="6.28515625" style="229" customWidth="1"/>
    <col min="7432" max="7437" width="11.5703125" style="229" customWidth="1"/>
    <col min="7438" max="7439" width="8.85546875" style="229" customWidth="1"/>
    <col min="7440" max="7445" width="7.7109375" style="229" customWidth="1"/>
    <col min="7446" max="7446" width="10.42578125" style="229" bestFit="1" customWidth="1"/>
    <col min="7447" max="7682" width="9.140625" style="229"/>
    <col min="7683" max="7683" width="3.7109375" style="229" customWidth="1"/>
    <col min="7684" max="7684" width="14.42578125" style="229" customWidth="1"/>
    <col min="7685" max="7685" width="3.7109375" style="229" customWidth="1"/>
    <col min="7686" max="7686" width="20.140625" style="229" customWidth="1"/>
    <col min="7687" max="7687" width="6.28515625" style="229" customWidth="1"/>
    <col min="7688" max="7693" width="11.5703125" style="229" customWidth="1"/>
    <col min="7694" max="7695" width="8.85546875" style="229" customWidth="1"/>
    <col min="7696" max="7701" width="7.7109375" style="229" customWidth="1"/>
    <col min="7702" max="7702" width="10.42578125" style="229" bestFit="1" customWidth="1"/>
    <col min="7703" max="7938" width="9.140625" style="229"/>
    <col min="7939" max="7939" width="3.7109375" style="229" customWidth="1"/>
    <col min="7940" max="7940" width="14.42578125" style="229" customWidth="1"/>
    <col min="7941" max="7941" width="3.7109375" style="229" customWidth="1"/>
    <col min="7942" max="7942" width="20.140625" style="229" customWidth="1"/>
    <col min="7943" max="7943" width="6.28515625" style="229" customWidth="1"/>
    <col min="7944" max="7949" width="11.5703125" style="229" customWidth="1"/>
    <col min="7950" max="7951" width="8.85546875" style="229" customWidth="1"/>
    <col min="7952" max="7957" width="7.7109375" style="229" customWidth="1"/>
    <col min="7958" max="7958" width="10.42578125" style="229" bestFit="1" customWidth="1"/>
    <col min="7959" max="8194" width="9.140625" style="229"/>
    <col min="8195" max="8195" width="3.7109375" style="229" customWidth="1"/>
    <col min="8196" max="8196" width="14.42578125" style="229" customWidth="1"/>
    <col min="8197" max="8197" width="3.7109375" style="229" customWidth="1"/>
    <col min="8198" max="8198" width="20.140625" style="229" customWidth="1"/>
    <col min="8199" max="8199" width="6.28515625" style="229" customWidth="1"/>
    <col min="8200" max="8205" width="11.5703125" style="229" customWidth="1"/>
    <col min="8206" max="8207" width="8.85546875" style="229" customWidth="1"/>
    <col min="8208" max="8213" width="7.7109375" style="229" customWidth="1"/>
    <col min="8214" max="8214" width="10.42578125" style="229" bestFit="1" customWidth="1"/>
    <col min="8215" max="8450" width="9.140625" style="229"/>
    <col min="8451" max="8451" width="3.7109375" style="229" customWidth="1"/>
    <col min="8452" max="8452" width="14.42578125" style="229" customWidth="1"/>
    <col min="8453" max="8453" width="3.7109375" style="229" customWidth="1"/>
    <col min="8454" max="8454" width="20.140625" style="229" customWidth="1"/>
    <col min="8455" max="8455" width="6.28515625" style="229" customWidth="1"/>
    <col min="8456" max="8461" width="11.5703125" style="229" customWidth="1"/>
    <col min="8462" max="8463" width="8.85546875" style="229" customWidth="1"/>
    <col min="8464" max="8469" width="7.7109375" style="229" customWidth="1"/>
    <col min="8470" max="8470" width="10.42578125" style="229" bestFit="1" customWidth="1"/>
    <col min="8471" max="8706" width="9.140625" style="229"/>
    <col min="8707" max="8707" width="3.7109375" style="229" customWidth="1"/>
    <col min="8708" max="8708" width="14.42578125" style="229" customWidth="1"/>
    <col min="8709" max="8709" width="3.7109375" style="229" customWidth="1"/>
    <col min="8710" max="8710" width="20.140625" style="229" customWidth="1"/>
    <col min="8711" max="8711" width="6.28515625" style="229" customWidth="1"/>
    <col min="8712" max="8717" width="11.5703125" style="229" customWidth="1"/>
    <col min="8718" max="8719" width="8.85546875" style="229" customWidth="1"/>
    <col min="8720" max="8725" width="7.7109375" style="229" customWidth="1"/>
    <col min="8726" max="8726" width="10.42578125" style="229" bestFit="1" customWidth="1"/>
    <col min="8727" max="8962" width="9.140625" style="229"/>
    <col min="8963" max="8963" width="3.7109375" style="229" customWidth="1"/>
    <col min="8964" max="8964" width="14.42578125" style="229" customWidth="1"/>
    <col min="8965" max="8965" width="3.7109375" style="229" customWidth="1"/>
    <col min="8966" max="8966" width="20.140625" style="229" customWidth="1"/>
    <col min="8967" max="8967" width="6.28515625" style="229" customWidth="1"/>
    <col min="8968" max="8973" width="11.5703125" style="229" customWidth="1"/>
    <col min="8974" max="8975" width="8.85546875" style="229" customWidth="1"/>
    <col min="8976" max="8981" width="7.7109375" style="229" customWidth="1"/>
    <col min="8982" max="8982" width="10.42578125" style="229" bestFit="1" customWidth="1"/>
    <col min="8983" max="9218" width="9.140625" style="229"/>
    <col min="9219" max="9219" width="3.7109375" style="229" customWidth="1"/>
    <col min="9220" max="9220" width="14.42578125" style="229" customWidth="1"/>
    <col min="9221" max="9221" width="3.7109375" style="229" customWidth="1"/>
    <col min="9222" max="9222" width="20.140625" style="229" customWidth="1"/>
    <col min="9223" max="9223" width="6.28515625" style="229" customWidth="1"/>
    <col min="9224" max="9229" width="11.5703125" style="229" customWidth="1"/>
    <col min="9230" max="9231" width="8.85546875" style="229" customWidth="1"/>
    <col min="9232" max="9237" width="7.7109375" style="229" customWidth="1"/>
    <col min="9238" max="9238" width="10.42578125" style="229" bestFit="1" customWidth="1"/>
    <col min="9239" max="9474" width="9.140625" style="229"/>
    <col min="9475" max="9475" width="3.7109375" style="229" customWidth="1"/>
    <col min="9476" max="9476" width="14.42578125" style="229" customWidth="1"/>
    <col min="9477" max="9477" width="3.7109375" style="229" customWidth="1"/>
    <col min="9478" max="9478" width="20.140625" style="229" customWidth="1"/>
    <col min="9479" max="9479" width="6.28515625" style="229" customWidth="1"/>
    <col min="9480" max="9485" width="11.5703125" style="229" customWidth="1"/>
    <col min="9486" max="9487" width="8.85546875" style="229" customWidth="1"/>
    <col min="9488" max="9493" width="7.7109375" style="229" customWidth="1"/>
    <col min="9494" max="9494" width="10.42578125" style="229" bestFit="1" customWidth="1"/>
    <col min="9495" max="9730" width="9.140625" style="229"/>
    <col min="9731" max="9731" width="3.7109375" style="229" customWidth="1"/>
    <col min="9732" max="9732" width="14.42578125" style="229" customWidth="1"/>
    <col min="9733" max="9733" width="3.7109375" style="229" customWidth="1"/>
    <col min="9734" max="9734" width="20.140625" style="229" customWidth="1"/>
    <col min="9735" max="9735" width="6.28515625" style="229" customWidth="1"/>
    <col min="9736" max="9741" width="11.5703125" style="229" customWidth="1"/>
    <col min="9742" max="9743" width="8.85546875" style="229" customWidth="1"/>
    <col min="9744" max="9749" width="7.7109375" style="229" customWidth="1"/>
    <col min="9750" max="9750" width="10.42578125" style="229" bestFit="1" customWidth="1"/>
    <col min="9751" max="9986" width="9.140625" style="229"/>
    <col min="9987" max="9987" width="3.7109375" style="229" customWidth="1"/>
    <col min="9988" max="9988" width="14.42578125" style="229" customWidth="1"/>
    <col min="9989" max="9989" width="3.7109375" style="229" customWidth="1"/>
    <col min="9990" max="9990" width="20.140625" style="229" customWidth="1"/>
    <col min="9991" max="9991" width="6.28515625" style="229" customWidth="1"/>
    <col min="9992" max="9997" width="11.5703125" style="229" customWidth="1"/>
    <col min="9998" max="9999" width="8.85546875" style="229" customWidth="1"/>
    <col min="10000" max="10005" width="7.7109375" style="229" customWidth="1"/>
    <col min="10006" max="10006" width="10.42578125" style="229" bestFit="1" customWidth="1"/>
    <col min="10007" max="10242" width="9.140625" style="229"/>
    <col min="10243" max="10243" width="3.7109375" style="229" customWidth="1"/>
    <col min="10244" max="10244" width="14.42578125" style="229" customWidth="1"/>
    <col min="10245" max="10245" width="3.7109375" style="229" customWidth="1"/>
    <col min="10246" max="10246" width="20.140625" style="229" customWidth="1"/>
    <col min="10247" max="10247" width="6.28515625" style="229" customWidth="1"/>
    <col min="10248" max="10253" width="11.5703125" style="229" customWidth="1"/>
    <col min="10254" max="10255" width="8.85546875" style="229" customWidth="1"/>
    <col min="10256" max="10261" width="7.7109375" style="229" customWidth="1"/>
    <col min="10262" max="10262" width="10.42578125" style="229" bestFit="1" customWidth="1"/>
    <col min="10263" max="10498" width="9.140625" style="229"/>
    <col min="10499" max="10499" width="3.7109375" style="229" customWidth="1"/>
    <col min="10500" max="10500" width="14.42578125" style="229" customWidth="1"/>
    <col min="10501" max="10501" width="3.7109375" style="229" customWidth="1"/>
    <col min="10502" max="10502" width="20.140625" style="229" customWidth="1"/>
    <col min="10503" max="10503" width="6.28515625" style="229" customWidth="1"/>
    <col min="10504" max="10509" width="11.5703125" style="229" customWidth="1"/>
    <col min="10510" max="10511" width="8.85546875" style="229" customWidth="1"/>
    <col min="10512" max="10517" width="7.7109375" style="229" customWidth="1"/>
    <col min="10518" max="10518" width="10.42578125" style="229" bestFit="1" customWidth="1"/>
    <col min="10519" max="10754" width="9.140625" style="229"/>
    <col min="10755" max="10755" width="3.7109375" style="229" customWidth="1"/>
    <col min="10756" max="10756" width="14.42578125" style="229" customWidth="1"/>
    <col min="10757" max="10757" width="3.7109375" style="229" customWidth="1"/>
    <col min="10758" max="10758" width="20.140625" style="229" customWidth="1"/>
    <col min="10759" max="10759" width="6.28515625" style="229" customWidth="1"/>
    <col min="10760" max="10765" width="11.5703125" style="229" customWidth="1"/>
    <col min="10766" max="10767" width="8.85546875" style="229" customWidth="1"/>
    <col min="10768" max="10773" width="7.7109375" style="229" customWidth="1"/>
    <col min="10774" max="10774" width="10.42578125" style="229" bestFit="1" customWidth="1"/>
    <col min="10775" max="11010" width="9.140625" style="229"/>
    <col min="11011" max="11011" width="3.7109375" style="229" customWidth="1"/>
    <col min="11012" max="11012" width="14.42578125" style="229" customWidth="1"/>
    <col min="11013" max="11013" width="3.7109375" style="229" customWidth="1"/>
    <col min="11014" max="11014" width="20.140625" style="229" customWidth="1"/>
    <col min="11015" max="11015" width="6.28515625" style="229" customWidth="1"/>
    <col min="11016" max="11021" width="11.5703125" style="229" customWidth="1"/>
    <col min="11022" max="11023" width="8.85546875" style="229" customWidth="1"/>
    <col min="11024" max="11029" width="7.7109375" style="229" customWidth="1"/>
    <col min="11030" max="11030" width="10.42578125" style="229" bestFit="1" customWidth="1"/>
    <col min="11031" max="11266" width="9.140625" style="229"/>
    <col min="11267" max="11267" width="3.7109375" style="229" customWidth="1"/>
    <col min="11268" max="11268" width="14.42578125" style="229" customWidth="1"/>
    <col min="11269" max="11269" width="3.7109375" style="229" customWidth="1"/>
    <col min="11270" max="11270" width="20.140625" style="229" customWidth="1"/>
    <col min="11271" max="11271" width="6.28515625" style="229" customWidth="1"/>
    <col min="11272" max="11277" width="11.5703125" style="229" customWidth="1"/>
    <col min="11278" max="11279" width="8.85546875" style="229" customWidth="1"/>
    <col min="11280" max="11285" width="7.7109375" style="229" customWidth="1"/>
    <col min="11286" max="11286" width="10.42578125" style="229" bestFit="1" customWidth="1"/>
    <col min="11287" max="11522" width="9.140625" style="229"/>
    <col min="11523" max="11523" width="3.7109375" style="229" customWidth="1"/>
    <col min="11524" max="11524" width="14.42578125" style="229" customWidth="1"/>
    <col min="11525" max="11525" width="3.7109375" style="229" customWidth="1"/>
    <col min="11526" max="11526" width="20.140625" style="229" customWidth="1"/>
    <col min="11527" max="11527" width="6.28515625" style="229" customWidth="1"/>
    <col min="11528" max="11533" width="11.5703125" style="229" customWidth="1"/>
    <col min="11534" max="11535" width="8.85546875" style="229" customWidth="1"/>
    <col min="11536" max="11541" width="7.7109375" style="229" customWidth="1"/>
    <col min="11542" max="11542" width="10.42578125" style="229" bestFit="1" customWidth="1"/>
    <col min="11543" max="11778" width="9.140625" style="229"/>
    <col min="11779" max="11779" width="3.7109375" style="229" customWidth="1"/>
    <col min="11780" max="11780" width="14.42578125" style="229" customWidth="1"/>
    <col min="11781" max="11781" width="3.7109375" style="229" customWidth="1"/>
    <col min="11782" max="11782" width="20.140625" style="229" customWidth="1"/>
    <col min="11783" max="11783" width="6.28515625" style="229" customWidth="1"/>
    <col min="11784" max="11789" width="11.5703125" style="229" customWidth="1"/>
    <col min="11790" max="11791" width="8.85546875" style="229" customWidth="1"/>
    <col min="11792" max="11797" width="7.7109375" style="229" customWidth="1"/>
    <col min="11798" max="11798" width="10.42578125" style="229" bestFit="1" customWidth="1"/>
    <col min="11799" max="12034" width="9.140625" style="229"/>
    <col min="12035" max="12035" width="3.7109375" style="229" customWidth="1"/>
    <col min="12036" max="12036" width="14.42578125" style="229" customWidth="1"/>
    <col min="12037" max="12037" width="3.7109375" style="229" customWidth="1"/>
    <col min="12038" max="12038" width="20.140625" style="229" customWidth="1"/>
    <col min="12039" max="12039" width="6.28515625" style="229" customWidth="1"/>
    <col min="12040" max="12045" width="11.5703125" style="229" customWidth="1"/>
    <col min="12046" max="12047" width="8.85546875" style="229" customWidth="1"/>
    <col min="12048" max="12053" width="7.7109375" style="229" customWidth="1"/>
    <col min="12054" max="12054" width="10.42578125" style="229" bestFit="1" customWidth="1"/>
    <col min="12055" max="12290" width="9.140625" style="229"/>
    <col min="12291" max="12291" width="3.7109375" style="229" customWidth="1"/>
    <col min="12292" max="12292" width="14.42578125" style="229" customWidth="1"/>
    <col min="12293" max="12293" width="3.7109375" style="229" customWidth="1"/>
    <col min="12294" max="12294" width="20.140625" style="229" customWidth="1"/>
    <col min="12295" max="12295" width="6.28515625" style="229" customWidth="1"/>
    <col min="12296" max="12301" width="11.5703125" style="229" customWidth="1"/>
    <col min="12302" max="12303" width="8.85546875" style="229" customWidth="1"/>
    <col min="12304" max="12309" width="7.7109375" style="229" customWidth="1"/>
    <col min="12310" max="12310" width="10.42578125" style="229" bestFit="1" customWidth="1"/>
    <col min="12311" max="12546" width="9.140625" style="229"/>
    <col min="12547" max="12547" width="3.7109375" style="229" customWidth="1"/>
    <col min="12548" max="12548" width="14.42578125" style="229" customWidth="1"/>
    <col min="12549" max="12549" width="3.7109375" style="229" customWidth="1"/>
    <col min="12550" max="12550" width="20.140625" style="229" customWidth="1"/>
    <col min="12551" max="12551" width="6.28515625" style="229" customWidth="1"/>
    <col min="12552" max="12557" width="11.5703125" style="229" customWidth="1"/>
    <col min="12558" max="12559" width="8.85546875" style="229" customWidth="1"/>
    <col min="12560" max="12565" width="7.7109375" style="229" customWidth="1"/>
    <col min="12566" max="12566" width="10.42578125" style="229" bestFit="1" customWidth="1"/>
    <col min="12567" max="12802" width="9.140625" style="229"/>
    <col min="12803" max="12803" width="3.7109375" style="229" customWidth="1"/>
    <col min="12804" max="12804" width="14.42578125" style="229" customWidth="1"/>
    <col min="12805" max="12805" width="3.7109375" style="229" customWidth="1"/>
    <col min="12806" max="12806" width="20.140625" style="229" customWidth="1"/>
    <col min="12807" max="12807" width="6.28515625" style="229" customWidth="1"/>
    <col min="12808" max="12813" width="11.5703125" style="229" customWidth="1"/>
    <col min="12814" max="12815" width="8.85546875" style="229" customWidth="1"/>
    <col min="12816" max="12821" width="7.7109375" style="229" customWidth="1"/>
    <col min="12822" max="12822" width="10.42578125" style="229" bestFit="1" customWidth="1"/>
    <col min="12823" max="13058" width="9.140625" style="229"/>
    <col min="13059" max="13059" width="3.7109375" style="229" customWidth="1"/>
    <col min="13060" max="13060" width="14.42578125" style="229" customWidth="1"/>
    <col min="13061" max="13061" width="3.7109375" style="229" customWidth="1"/>
    <col min="13062" max="13062" width="20.140625" style="229" customWidth="1"/>
    <col min="13063" max="13063" width="6.28515625" style="229" customWidth="1"/>
    <col min="13064" max="13069" width="11.5703125" style="229" customWidth="1"/>
    <col min="13070" max="13071" width="8.85546875" style="229" customWidth="1"/>
    <col min="13072" max="13077" width="7.7109375" style="229" customWidth="1"/>
    <col min="13078" max="13078" width="10.42578125" style="229" bestFit="1" customWidth="1"/>
    <col min="13079" max="13314" width="9.140625" style="229"/>
    <col min="13315" max="13315" width="3.7109375" style="229" customWidth="1"/>
    <col min="13316" max="13316" width="14.42578125" style="229" customWidth="1"/>
    <col min="13317" max="13317" width="3.7109375" style="229" customWidth="1"/>
    <col min="13318" max="13318" width="20.140625" style="229" customWidth="1"/>
    <col min="13319" max="13319" width="6.28515625" style="229" customWidth="1"/>
    <col min="13320" max="13325" width="11.5703125" style="229" customWidth="1"/>
    <col min="13326" max="13327" width="8.85546875" style="229" customWidth="1"/>
    <col min="13328" max="13333" width="7.7109375" style="229" customWidth="1"/>
    <col min="13334" max="13334" width="10.42578125" style="229" bestFit="1" customWidth="1"/>
    <col min="13335" max="13570" width="9.140625" style="229"/>
    <col min="13571" max="13571" width="3.7109375" style="229" customWidth="1"/>
    <col min="13572" max="13572" width="14.42578125" style="229" customWidth="1"/>
    <col min="13573" max="13573" width="3.7109375" style="229" customWidth="1"/>
    <col min="13574" max="13574" width="20.140625" style="229" customWidth="1"/>
    <col min="13575" max="13575" width="6.28515625" style="229" customWidth="1"/>
    <col min="13576" max="13581" width="11.5703125" style="229" customWidth="1"/>
    <col min="13582" max="13583" width="8.85546875" style="229" customWidth="1"/>
    <col min="13584" max="13589" width="7.7109375" style="229" customWidth="1"/>
    <col min="13590" max="13590" width="10.42578125" style="229" bestFit="1" customWidth="1"/>
    <col min="13591" max="13826" width="9.140625" style="229"/>
    <col min="13827" max="13827" width="3.7109375" style="229" customWidth="1"/>
    <col min="13828" max="13828" width="14.42578125" style="229" customWidth="1"/>
    <col min="13829" max="13829" width="3.7109375" style="229" customWidth="1"/>
    <col min="13830" max="13830" width="20.140625" style="229" customWidth="1"/>
    <col min="13831" max="13831" width="6.28515625" style="229" customWidth="1"/>
    <col min="13832" max="13837" width="11.5703125" style="229" customWidth="1"/>
    <col min="13838" max="13839" width="8.85546875" style="229" customWidth="1"/>
    <col min="13840" max="13845" width="7.7109375" style="229" customWidth="1"/>
    <col min="13846" max="13846" width="10.42578125" style="229" bestFit="1" customWidth="1"/>
    <col min="13847" max="14082" width="9.140625" style="229"/>
    <col min="14083" max="14083" width="3.7109375" style="229" customWidth="1"/>
    <col min="14084" max="14084" width="14.42578125" style="229" customWidth="1"/>
    <col min="14085" max="14085" width="3.7109375" style="229" customWidth="1"/>
    <col min="14086" max="14086" width="20.140625" style="229" customWidth="1"/>
    <col min="14087" max="14087" width="6.28515625" style="229" customWidth="1"/>
    <col min="14088" max="14093" width="11.5703125" style="229" customWidth="1"/>
    <col min="14094" max="14095" width="8.85546875" style="229" customWidth="1"/>
    <col min="14096" max="14101" width="7.7109375" style="229" customWidth="1"/>
    <col min="14102" max="14102" width="10.42578125" style="229" bestFit="1" customWidth="1"/>
    <col min="14103" max="14338" width="9.140625" style="229"/>
    <col min="14339" max="14339" width="3.7109375" style="229" customWidth="1"/>
    <col min="14340" max="14340" width="14.42578125" style="229" customWidth="1"/>
    <col min="14341" max="14341" width="3.7109375" style="229" customWidth="1"/>
    <col min="14342" max="14342" width="20.140625" style="229" customWidth="1"/>
    <col min="14343" max="14343" width="6.28515625" style="229" customWidth="1"/>
    <col min="14344" max="14349" width="11.5703125" style="229" customWidth="1"/>
    <col min="14350" max="14351" width="8.85546875" style="229" customWidth="1"/>
    <col min="14352" max="14357" width="7.7109375" style="229" customWidth="1"/>
    <col min="14358" max="14358" width="10.42578125" style="229" bestFit="1" customWidth="1"/>
    <col min="14359" max="14594" width="9.140625" style="229"/>
    <col min="14595" max="14595" width="3.7109375" style="229" customWidth="1"/>
    <col min="14596" max="14596" width="14.42578125" style="229" customWidth="1"/>
    <col min="14597" max="14597" width="3.7109375" style="229" customWidth="1"/>
    <col min="14598" max="14598" width="20.140625" style="229" customWidth="1"/>
    <col min="14599" max="14599" width="6.28515625" style="229" customWidth="1"/>
    <col min="14600" max="14605" width="11.5703125" style="229" customWidth="1"/>
    <col min="14606" max="14607" width="8.85546875" style="229" customWidth="1"/>
    <col min="14608" max="14613" width="7.7109375" style="229" customWidth="1"/>
    <col min="14614" max="14614" width="10.42578125" style="229" bestFit="1" customWidth="1"/>
    <col min="14615" max="14850" width="9.140625" style="229"/>
    <col min="14851" max="14851" width="3.7109375" style="229" customWidth="1"/>
    <col min="14852" max="14852" width="14.42578125" style="229" customWidth="1"/>
    <col min="14853" max="14853" width="3.7109375" style="229" customWidth="1"/>
    <col min="14854" max="14854" width="20.140625" style="229" customWidth="1"/>
    <col min="14855" max="14855" width="6.28515625" style="229" customWidth="1"/>
    <col min="14856" max="14861" width="11.5703125" style="229" customWidth="1"/>
    <col min="14862" max="14863" width="8.85546875" style="229" customWidth="1"/>
    <col min="14864" max="14869" width="7.7109375" style="229" customWidth="1"/>
    <col min="14870" max="14870" width="10.42578125" style="229" bestFit="1" customWidth="1"/>
    <col min="14871" max="15106" width="9.140625" style="229"/>
    <col min="15107" max="15107" width="3.7109375" style="229" customWidth="1"/>
    <col min="15108" max="15108" width="14.42578125" style="229" customWidth="1"/>
    <col min="15109" max="15109" width="3.7109375" style="229" customWidth="1"/>
    <col min="15110" max="15110" width="20.140625" style="229" customWidth="1"/>
    <col min="15111" max="15111" width="6.28515625" style="229" customWidth="1"/>
    <col min="15112" max="15117" width="11.5703125" style="229" customWidth="1"/>
    <col min="15118" max="15119" width="8.85546875" style="229" customWidth="1"/>
    <col min="15120" max="15125" width="7.7109375" style="229" customWidth="1"/>
    <col min="15126" max="15126" width="10.42578125" style="229" bestFit="1" customWidth="1"/>
    <col min="15127" max="15362" width="9.140625" style="229"/>
    <col min="15363" max="15363" width="3.7109375" style="229" customWidth="1"/>
    <col min="15364" max="15364" width="14.42578125" style="229" customWidth="1"/>
    <col min="15365" max="15365" width="3.7109375" style="229" customWidth="1"/>
    <col min="15366" max="15366" width="20.140625" style="229" customWidth="1"/>
    <col min="15367" max="15367" width="6.28515625" style="229" customWidth="1"/>
    <col min="15368" max="15373" width="11.5703125" style="229" customWidth="1"/>
    <col min="15374" max="15375" width="8.85546875" style="229" customWidth="1"/>
    <col min="15376" max="15381" width="7.7109375" style="229" customWidth="1"/>
    <col min="15382" max="15382" width="10.42578125" style="229" bestFit="1" customWidth="1"/>
    <col min="15383" max="15618" width="9.140625" style="229"/>
    <col min="15619" max="15619" width="3.7109375" style="229" customWidth="1"/>
    <col min="15620" max="15620" width="14.42578125" style="229" customWidth="1"/>
    <col min="15621" max="15621" width="3.7109375" style="229" customWidth="1"/>
    <col min="15622" max="15622" width="20.140625" style="229" customWidth="1"/>
    <col min="15623" max="15623" width="6.28515625" style="229" customWidth="1"/>
    <col min="15624" max="15629" width="11.5703125" style="229" customWidth="1"/>
    <col min="15630" max="15631" width="8.85546875" style="229" customWidth="1"/>
    <col min="15632" max="15637" width="7.7109375" style="229" customWidth="1"/>
    <col min="15638" max="15638" width="10.42578125" style="229" bestFit="1" customWidth="1"/>
    <col min="15639" max="15874" width="9.140625" style="229"/>
    <col min="15875" max="15875" width="3.7109375" style="229" customWidth="1"/>
    <col min="15876" max="15876" width="14.42578125" style="229" customWidth="1"/>
    <col min="15877" max="15877" width="3.7109375" style="229" customWidth="1"/>
    <col min="15878" max="15878" width="20.140625" style="229" customWidth="1"/>
    <col min="15879" max="15879" width="6.28515625" style="229" customWidth="1"/>
    <col min="15880" max="15885" width="11.5703125" style="229" customWidth="1"/>
    <col min="15886" max="15887" width="8.85546875" style="229" customWidth="1"/>
    <col min="15888" max="15893" width="7.7109375" style="229" customWidth="1"/>
    <col min="15894" max="15894" width="10.42578125" style="229" bestFit="1" customWidth="1"/>
    <col min="15895" max="16130" width="9.140625" style="229"/>
    <col min="16131" max="16131" width="3.7109375" style="229" customWidth="1"/>
    <col min="16132" max="16132" width="14.42578125" style="229" customWidth="1"/>
    <col min="16133" max="16133" width="3.7109375" style="229" customWidth="1"/>
    <col min="16134" max="16134" width="20.140625" style="229" customWidth="1"/>
    <col min="16135" max="16135" width="6.28515625" style="229" customWidth="1"/>
    <col min="16136" max="16141" width="11.5703125" style="229" customWidth="1"/>
    <col min="16142" max="16143" width="8.85546875" style="229" customWidth="1"/>
    <col min="16144" max="16149" width="7.7109375" style="229" customWidth="1"/>
    <col min="16150" max="16150" width="10.42578125" style="229" bestFit="1" customWidth="1"/>
    <col min="16151" max="16384" width="9.140625" style="229"/>
  </cols>
  <sheetData>
    <row r="1" spans="1:25" x14ac:dyDescent="0.25">
      <c r="A1" s="453"/>
      <c r="B1" s="670"/>
      <c r="C1" s="670"/>
      <c r="D1" s="996"/>
      <c r="E1" s="2066"/>
      <c r="F1" s="996"/>
      <c r="G1" s="996"/>
      <c r="H1" s="996"/>
      <c r="I1" s="996"/>
      <c r="J1" s="996"/>
      <c r="K1" s="996"/>
      <c r="L1" s="996"/>
      <c r="M1" s="996"/>
      <c r="N1" s="996"/>
      <c r="O1" s="996"/>
      <c r="P1" s="996"/>
      <c r="Q1" s="996"/>
      <c r="R1" s="996"/>
      <c r="S1" s="996"/>
      <c r="T1" s="996"/>
      <c r="U1" s="996"/>
      <c r="V1" s="996"/>
    </row>
    <row r="2" spans="1:25" ht="14.45" customHeight="1" x14ac:dyDescent="0.25">
      <c r="A2" s="453">
        <v>1</v>
      </c>
      <c r="B2" s="453" t="s">
        <v>24</v>
      </c>
      <c r="C2" s="453">
        <f>1+'Educational Perfomance  '!C2</f>
        <v>51</v>
      </c>
      <c r="D2" s="3855" t="s">
        <v>1024</v>
      </c>
      <c r="E2" s="3856"/>
      <c r="F2" s="3856"/>
      <c r="G2" s="3856"/>
      <c r="H2" s="3856"/>
      <c r="I2" s="3856"/>
      <c r="J2" s="3856"/>
      <c r="K2" s="3856"/>
      <c r="L2" s="3856"/>
      <c r="M2" s="3856"/>
      <c r="N2" s="3856"/>
      <c r="O2" s="3856"/>
      <c r="P2" s="3856"/>
      <c r="Q2" s="3857"/>
      <c r="R2" s="117"/>
      <c r="S2" s="117"/>
      <c r="T2" s="117"/>
      <c r="U2" s="117"/>
      <c r="V2" s="117"/>
    </row>
    <row r="3" spans="1:25" x14ac:dyDescent="0.25">
      <c r="A3" s="453">
        <v>2</v>
      </c>
      <c r="B3" s="453" t="s">
        <v>26</v>
      </c>
      <c r="C3" s="453"/>
      <c r="D3" s="3553" t="s">
        <v>860</v>
      </c>
      <c r="E3" s="3554"/>
      <c r="F3" s="3554"/>
      <c r="G3" s="3554"/>
      <c r="H3" s="3554"/>
      <c r="I3" s="3554"/>
      <c r="J3" s="3554"/>
      <c r="K3" s="3554"/>
      <c r="L3" s="3554"/>
      <c r="M3" s="3554"/>
      <c r="N3" s="3554"/>
      <c r="O3" s="3554"/>
      <c r="P3" s="3554"/>
      <c r="Q3" s="3555"/>
      <c r="R3" s="117"/>
      <c r="S3" s="117"/>
      <c r="T3" s="117"/>
      <c r="U3" s="117"/>
      <c r="V3" s="117"/>
    </row>
    <row r="4" spans="1:25" ht="12.75" customHeight="1" x14ac:dyDescent="0.25">
      <c r="A4" s="453">
        <v>3</v>
      </c>
      <c r="B4" s="453" t="s">
        <v>28</v>
      </c>
      <c r="C4" s="453"/>
      <c r="D4" s="3553" t="s">
        <v>1023</v>
      </c>
      <c r="E4" s="3554"/>
      <c r="F4" s="3554"/>
      <c r="G4" s="3554"/>
      <c r="H4" s="3554"/>
      <c r="I4" s="3554"/>
      <c r="J4" s="3554"/>
      <c r="K4" s="3554"/>
      <c r="L4" s="3554"/>
      <c r="M4" s="3554"/>
      <c r="N4" s="3554"/>
      <c r="O4" s="3554"/>
      <c r="P4" s="3554"/>
      <c r="Q4" s="3555"/>
      <c r="R4" s="117"/>
      <c r="S4" s="117"/>
      <c r="T4" s="117"/>
      <c r="U4" s="117"/>
      <c r="V4" s="117"/>
      <c r="W4" s="1481"/>
      <c r="X4" s="1481"/>
      <c r="Y4" s="1482"/>
    </row>
    <row r="5" spans="1:25" x14ac:dyDescent="0.25">
      <c r="C5" s="453"/>
      <c r="D5" s="3858"/>
      <c r="E5" s="3859"/>
      <c r="F5" s="3859"/>
      <c r="G5" s="3859"/>
      <c r="H5" s="3859"/>
      <c r="I5" s="3859"/>
      <c r="J5" s="3859"/>
      <c r="K5" s="3859"/>
      <c r="L5" s="3859"/>
      <c r="M5" s="3859"/>
      <c r="N5" s="3859"/>
      <c r="O5" s="3859"/>
      <c r="P5" s="3859"/>
      <c r="Q5" s="3860"/>
      <c r="R5" s="117"/>
      <c r="S5" s="117"/>
      <c r="T5" s="117"/>
      <c r="U5" s="117"/>
      <c r="V5" s="117"/>
    </row>
    <row r="6" spans="1:25" x14ac:dyDescent="0.25">
      <c r="A6" s="453">
        <v>4</v>
      </c>
      <c r="B6" s="453" t="s">
        <v>1</v>
      </c>
      <c r="C6" s="670"/>
      <c r="D6" s="120" t="s">
        <v>103</v>
      </c>
      <c r="E6" s="2068" t="s">
        <v>1022</v>
      </c>
      <c r="F6" s="120"/>
      <c r="G6" s="120"/>
      <c r="H6" s="120"/>
      <c r="I6" s="120"/>
      <c r="J6" s="120"/>
      <c r="K6" s="117"/>
      <c r="L6" s="117"/>
      <c r="M6" s="117"/>
      <c r="N6" s="117"/>
      <c r="O6" s="117"/>
      <c r="P6" s="117"/>
      <c r="Q6" s="117"/>
      <c r="R6" s="117"/>
      <c r="S6" s="117"/>
      <c r="T6" s="117"/>
      <c r="U6" s="117"/>
      <c r="V6" s="117"/>
    </row>
    <row r="7" spans="1:25" x14ac:dyDescent="0.25">
      <c r="A7" s="453"/>
      <c r="B7" s="670"/>
      <c r="C7" s="670"/>
      <c r="D7" s="369"/>
      <c r="E7" s="3861" t="s">
        <v>975</v>
      </c>
      <c r="F7" s="3862"/>
      <c r="G7" s="3862"/>
      <c r="H7" s="3862"/>
      <c r="I7" s="3863"/>
      <c r="J7" s="3861" t="s">
        <v>977</v>
      </c>
      <c r="K7" s="3862"/>
      <c r="L7" s="3862" t="s">
        <v>977</v>
      </c>
      <c r="M7" s="3862"/>
      <c r="N7" s="3863"/>
      <c r="O7" s="117"/>
      <c r="P7" s="117"/>
      <c r="Q7" s="117"/>
      <c r="R7" s="117"/>
      <c r="S7" s="117"/>
      <c r="T7" s="117"/>
      <c r="U7" s="117"/>
      <c r="V7" s="117"/>
    </row>
    <row r="8" spans="1:25" ht="34.5" x14ac:dyDescent="0.25">
      <c r="A8" s="453"/>
      <c r="B8" s="670"/>
      <c r="C8" s="670"/>
      <c r="D8" s="119" t="s">
        <v>1021</v>
      </c>
      <c r="E8" s="176">
        <v>1999</v>
      </c>
      <c r="F8" s="176">
        <v>2002</v>
      </c>
      <c r="G8" s="176">
        <v>2011</v>
      </c>
      <c r="H8" s="176">
        <v>2015</v>
      </c>
      <c r="I8" s="1054" t="s">
        <v>976</v>
      </c>
      <c r="J8" s="176">
        <v>1999</v>
      </c>
      <c r="K8" s="176">
        <v>2002</v>
      </c>
      <c r="L8" s="176">
        <v>2011</v>
      </c>
      <c r="M8" s="176">
        <v>2015</v>
      </c>
      <c r="N8" s="1054" t="s">
        <v>976</v>
      </c>
      <c r="P8" s="117"/>
      <c r="Q8" s="117"/>
      <c r="R8" s="117"/>
      <c r="S8" s="117"/>
      <c r="T8" s="117"/>
      <c r="U8" s="117"/>
      <c r="V8" s="117"/>
      <c r="W8" s="996"/>
    </row>
    <row r="9" spans="1:25" s="179" customFormat="1" ht="12.75" x14ac:dyDescent="0.2">
      <c r="A9" s="453"/>
      <c r="B9" s="1950"/>
      <c r="C9" s="1950"/>
      <c r="D9" s="133" t="s">
        <v>1020</v>
      </c>
      <c r="E9" s="176" t="s">
        <v>1019</v>
      </c>
      <c r="F9" s="374" t="s">
        <v>1018</v>
      </c>
      <c r="G9" s="374" t="s">
        <v>1017</v>
      </c>
      <c r="H9" s="374"/>
      <c r="I9" s="2069"/>
      <c r="J9" s="176" t="s">
        <v>1016</v>
      </c>
      <c r="K9" s="176" t="s">
        <v>1015</v>
      </c>
      <c r="L9" s="374" t="s">
        <v>1014</v>
      </c>
      <c r="N9" s="2069"/>
      <c r="O9" s="117"/>
      <c r="P9" s="117"/>
      <c r="Q9" s="117"/>
      <c r="R9" s="1177"/>
      <c r="S9" s="1087"/>
      <c r="T9" s="231"/>
      <c r="U9" s="231"/>
      <c r="V9" s="231"/>
      <c r="W9" s="1177"/>
    </row>
    <row r="10" spans="1:25" s="179" customFormat="1" ht="12.75" x14ac:dyDescent="0.2">
      <c r="A10" s="453"/>
      <c r="B10" s="1950"/>
      <c r="C10" s="1950"/>
      <c r="D10" s="1079" t="s">
        <v>1013</v>
      </c>
      <c r="E10" s="797" t="s">
        <v>1012</v>
      </c>
      <c r="F10" s="374" t="s">
        <v>1011</v>
      </c>
      <c r="G10" s="374" t="s">
        <v>1010</v>
      </c>
      <c r="H10" s="374"/>
      <c r="I10" s="2070"/>
      <c r="J10" s="797" t="s">
        <v>1009</v>
      </c>
      <c r="K10" s="176" t="s">
        <v>1008</v>
      </c>
      <c r="L10" s="176" t="s">
        <v>1007</v>
      </c>
      <c r="N10" s="2070"/>
      <c r="O10" s="117"/>
      <c r="P10" s="117"/>
      <c r="Q10" s="117"/>
      <c r="R10" s="1177"/>
      <c r="S10" s="231"/>
      <c r="T10" s="231"/>
      <c r="U10" s="231"/>
      <c r="V10" s="231"/>
      <c r="W10" s="117"/>
    </row>
    <row r="11" spans="1:25" s="179" customFormat="1" ht="12.75" x14ac:dyDescent="0.2">
      <c r="A11" s="453"/>
      <c r="B11" s="1950"/>
      <c r="C11" s="1950"/>
      <c r="D11" s="784" t="s">
        <v>63</v>
      </c>
      <c r="E11" s="420" t="s">
        <v>1006</v>
      </c>
      <c r="F11" s="374" t="s">
        <v>1005</v>
      </c>
      <c r="G11" s="374" t="s">
        <v>1004</v>
      </c>
      <c r="H11" s="374" t="s">
        <v>1003</v>
      </c>
      <c r="I11" s="2071" t="s">
        <v>528</v>
      </c>
      <c r="J11" s="420" t="s">
        <v>1002</v>
      </c>
      <c r="K11" s="176" t="s">
        <v>1001</v>
      </c>
      <c r="L11" s="176" t="s">
        <v>1000</v>
      </c>
      <c r="M11" s="374" t="s">
        <v>999</v>
      </c>
      <c r="N11" s="2071" t="s">
        <v>973</v>
      </c>
      <c r="O11" s="117"/>
      <c r="P11" s="117"/>
      <c r="Q11" s="117"/>
      <c r="R11" s="231"/>
      <c r="S11" s="231"/>
      <c r="T11" s="231"/>
      <c r="U11" s="231"/>
      <c r="V11" s="231"/>
      <c r="W11" s="117"/>
    </row>
    <row r="12" spans="1:25" s="179" customFormat="1" ht="12.75" x14ac:dyDescent="0.2">
      <c r="A12" s="453"/>
      <c r="B12" s="1950"/>
      <c r="C12" s="1950"/>
      <c r="D12" s="784" t="s">
        <v>998</v>
      </c>
      <c r="E12" s="420" t="s">
        <v>997</v>
      </c>
      <c r="F12" s="374" t="s">
        <v>996</v>
      </c>
      <c r="G12" s="374"/>
      <c r="H12" s="374"/>
      <c r="I12" s="2070"/>
      <c r="J12" s="420" t="s">
        <v>995</v>
      </c>
      <c r="K12" s="176" t="s">
        <v>994</v>
      </c>
      <c r="L12" s="176"/>
      <c r="N12" s="2070"/>
      <c r="O12" s="117"/>
      <c r="P12" s="117"/>
      <c r="Q12" s="117"/>
      <c r="R12" s="117"/>
      <c r="S12" s="117"/>
      <c r="T12" s="117"/>
      <c r="U12" s="117"/>
      <c r="V12" s="117"/>
      <c r="W12" s="117"/>
    </row>
    <row r="13" spans="1:25" s="179" customFormat="1" ht="12.75" x14ac:dyDescent="0.2">
      <c r="A13" s="453"/>
      <c r="B13" s="1950"/>
      <c r="C13" s="1950"/>
      <c r="D13" s="1098" t="s">
        <v>0</v>
      </c>
      <c r="E13" s="820" t="s">
        <v>986</v>
      </c>
      <c r="F13" s="2072" t="s">
        <v>985</v>
      </c>
      <c r="G13" s="2072" t="s">
        <v>980</v>
      </c>
      <c r="H13" s="2072" t="s">
        <v>979</v>
      </c>
      <c r="I13" s="2073" t="s">
        <v>973</v>
      </c>
      <c r="J13" s="820" t="s">
        <v>989</v>
      </c>
      <c r="K13" s="2072" t="s">
        <v>988</v>
      </c>
      <c r="L13" s="2072" t="s">
        <v>983</v>
      </c>
      <c r="M13" s="2072" t="s">
        <v>982</v>
      </c>
      <c r="N13" s="2073" t="s">
        <v>973</v>
      </c>
      <c r="O13" s="117"/>
      <c r="P13" s="117"/>
      <c r="Q13" s="117"/>
      <c r="R13" s="117"/>
      <c r="S13" s="117"/>
      <c r="T13" s="117"/>
      <c r="U13" s="117"/>
      <c r="V13" s="117"/>
      <c r="W13" s="117"/>
    </row>
    <row r="14" spans="1:25" x14ac:dyDescent="0.25">
      <c r="A14" s="453"/>
      <c r="B14" s="670"/>
      <c r="C14" s="670"/>
      <c r="D14" s="784"/>
      <c r="E14" s="1080"/>
      <c r="F14" s="420"/>
      <c r="G14" s="787"/>
      <c r="H14" s="787"/>
      <c r="I14" s="797"/>
      <c r="J14" s="797"/>
      <c r="K14" s="996"/>
      <c r="L14" s="996"/>
      <c r="M14" s="996"/>
      <c r="N14" s="996"/>
      <c r="O14" s="996"/>
      <c r="P14" s="996"/>
      <c r="Q14" s="996"/>
      <c r="R14" s="996"/>
      <c r="S14" s="996"/>
      <c r="T14" s="996"/>
      <c r="U14" s="996"/>
      <c r="V14" s="996"/>
    </row>
    <row r="15" spans="1:25" x14ac:dyDescent="0.25">
      <c r="A15" s="453"/>
      <c r="B15" s="670"/>
      <c r="C15" s="670"/>
      <c r="D15" s="784"/>
      <c r="E15" s="1080"/>
      <c r="F15" s="420"/>
      <c r="G15" s="787"/>
      <c r="H15" s="787"/>
      <c r="I15" s="797"/>
      <c r="J15" s="797"/>
      <c r="K15" s="996"/>
      <c r="L15" s="996"/>
      <c r="M15" s="996"/>
      <c r="N15" s="996"/>
      <c r="O15" s="996"/>
      <c r="P15" s="996"/>
      <c r="Q15" s="996"/>
      <c r="R15" s="996"/>
      <c r="S15" s="996"/>
      <c r="T15" s="996"/>
      <c r="U15" s="996"/>
      <c r="V15" s="996"/>
    </row>
    <row r="16" spans="1:25" x14ac:dyDescent="0.25">
      <c r="A16" s="453"/>
      <c r="B16" s="670"/>
      <c r="C16" s="670"/>
      <c r="D16" s="120" t="s">
        <v>103</v>
      </c>
      <c r="E16" s="2068" t="s">
        <v>993</v>
      </c>
      <c r="F16" s="120"/>
      <c r="G16" s="120"/>
      <c r="H16" s="120"/>
      <c r="I16" s="120"/>
      <c r="J16" s="120"/>
      <c r="K16" s="117"/>
      <c r="L16" s="117"/>
      <c r="M16" s="117"/>
      <c r="N16" s="117"/>
      <c r="O16" s="117"/>
      <c r="P16" s="117"/>
      <c r="Q16" s="117"/>
      <c r="R16" s="117"/>
      <c r="S16" s="117"/>
      <c r="T16" s="117"/>
      <c r="U16" s="117"/>
      <c r="V16" s="117"/>
    </row>
    <row r="17" spans="1:23" x14ac:dyDescent="0.25">
      <c r="A17" s="453"/>
      <c r="B17" s="670"/>
      <c r="C17" s="670"/>
      <c r="D17" s="369"/>
      <c r="E17" s="3866" t="s">
        <v>992</v>
      </c>
      <c r="F17" s="3866"/>
      <c r="G17" s="3866"/>
      <c r="H17" s="3866"/>
      <c r="I17" s="3867"/>
      <c r="J17" s="3868" t="s">
        <v>991</v>
      </c>
      <c r="K17" s="3866"/>
      <c r="L17" s="3866"/>
      <c r="M17" s="3866"/>
      <c r="N17" s="3866"/>
      <c r="O17" s="3867"/>
      <c r="P17" s="117"/>
      <c r="Q17" s="117"/>
      <c r="R17" s="117"/>
      <c r="S17" s="117"/>
      <c r="T17" s="117"/>
      <c r="U17" s="117"/>
      <c r="V17" s="117"/>
    </row>
    <row r="18" spans="1:23" s="747" customFormat="1" x14ac:dyDescent="0.25">
      <c r="A18" s="650"/>
      <c r="B18" s="2074"/>
      <c r="C18" s="2074"/>
      <c r="E18" s="3864" t="s">
        <v>977</v>
      </c>
      <c r="F18" s="3864"/>
      <c r="G18" s="3864" t="s">
        <v>975</v>
      </c>
      <c r="H18" s="3864"/>
      <c r="I18" s="3865"/>
      <c r="J18" s="3864" t="s">
        <v>977</v>
      </c>
      <c r="K18" s="3864"/>
      <c r="L18" s="3864"/>
      <c r="M18" s="3864" t="s">
        <v>975</v>
      </c>
      <c r="N18" s="3864"/>
      <c r="O18" s="3865"/>
      <c r="P18" s="277"/>
      <c r="Q18" s="277"/>
      <c r="R18" s="277"/>
      <c r="S18" s="277"/>
      <c r="T18" s="277"/>
      <c r="U18" s="277"/>
      <c r="V18" s="2075"/>
    </row>
    <row r="19" spans="1:23" s="723" customFormat="1" x14ac:dyDescent="0.25">
      <c r="A19" s="650"/>
      <c r="B19" s="745"/>
      <c r="C19" s="745"/>
      <c r="D19" s="277"/>
      <c r="E19" s="2076"/>
      <c r="F19" s="2077"/>
      <c r="G19" s="3869"/>
      <c r="H19" s="3870"/>
      <c r="I19" s="3871"/>
      <c r="J19" s="176"/>
      <c r="K19" s="2078"/>
      <c r="L19" s="2079"/>
      <c r="M19" s="3869"/>
      <c r="N19" s="3870"/>
      <c r="O19" s="3871"/>
      <c r="P19" s="133"/>
      <c r="Q19" s="1024"/>
      <c r="R19" s="1086"/>
      <c r="S19" s="1081"/>
      <c r="T19" s="1081"/>
      <c r="U19" s="1081"/>
      <c r="V19" s="1024"/>
    </row>
    <row r="20" spans="1:23" s="723" customFormat="1" x14ac:dyDescent="0.25">
      <c r="A20" s="650"/>
      <c r="B20" s="745"/>
      <c r="C20" s="745"/>
      <c r="D20" s="627">
        <v>1995</v>
      </c>
      <c r="E20" s="627">
        <v>1999</v>
      </c>
      <c r="F20" s="1085">
        <v>2002</v>
      </c>
      <c r="G20" s="627">
        <v>1995</v>
      </c>
      <c r="H20" s="627">
        <v>1999</v>
      </c>
      <c r="I20" s="1085">
        <v>2002</v>
      </c>
      <c r="J20" s="1084">
        <v>2002</v>
      </c>
      <c r="K20" s="627">
        <v>2011</v>
      </c>
      <c r="L20" s="1083">
        <v>2015</v>
      </c>
      <c r="M20" s="1084">
        <v>2002</v>
      </c>
      <c r="N20" s="627">
        <v>2011</v>
      </c>
      <c r="O20" s="1083">
        <v>2015</v>
      </c>
      <c r="P20" s="133"/>
      <c r="Q20" s="133"/>
      <c r="R20" s="1024"/>
      <c r="S20" s="1081"/>
      <c r="T20" s="1081"/>
      <c r="U20" s="1081"/>
      <c r="V20" s="1081"/>
      <c r="W20" s="133"/>
    </row>
    <row r="21" spans="1:23" s="723" customFormat="1" x14ac:dyDescent="0.25">
      <c r="A21" s="650"/>
      <c r="B21" s="745"/>
      <c r="C21" s="745"/>
      <c r="D21" s="422" t="s">
        <v>990</v>
      </c>
      <c r="E21" s="1036" t="s">
        <v>989</v>
      </c>
      <c r="F21" s="1082" t="s">
        <v>988</v>
      </c>
      <c r="G21" s="825" t="s">
        <v>987</v>
      </c>
      <c r="H21" s="825" t="s">
        <v>986</v>
      </c>
      <c r="I21" s="2080" t="s">
        <v>985</v>
      </c>
      <c r="J21" s="2081" t="s">
        <v>984</v>
      </c>
      <c r="K21" s="825" t="s">
        <v>983</v>
      </c>
      <c r="L21" s="2082" t="s">
        <v>982</v>
      </c>
      <c r="M21" s="2081" t="s">
        <v>981</v>
      </c>
      <c r="N21" s="825" t="s">
        <v>980</v>
      </c>
      <c r="O21" s="2082" t="s">
        <v>979</v>
      </c>
      <c r="P21" s="133"/>
      <c r="Q21" s="133"/>
      <c r="R21" s="1081"/>
      <c r="S21" s="1081"/>
      <c r="T21" s="1081"/>
      <c r="U21" s="1081"/>
      <c r="V21" s="1081"/>
      <c r="W21" s="133"/>
    </row>
    <row r="22" spans="1:23" s="723" customFormat="1" x14ac:dyDescent="0.25">
      <c r="A22" s="650"/>
      <c r="B22" s="745"/>
      <c r="C22" s="745"/>
      <c r="D22" s="424"/>
      <c r="E22" s="1080"/>
      <c r="F22" s="420"/>
      <c r="G22" s="787"/>
      <c r="H22" s="787"/>
      <c r="I22" s="797"/>
      <c r="J22" s="797"/>
      <c r="K22" s="787"/>
      <c r="L22" s="787"/>
      <c r="M22" s="133"/>
      <c r="N22" s="133"/>
      <c r="O22" s="133"/>
      <c r="P22" s="133"/>
      <c r="Q22" s="133"/>
      <c r="R22" s="133"/>
      <c r="S22" s="133"/>
      <c r="T22" s="133"/>
      <c r="U22" s="133"/>
      <c r="V22" s="133"/>
    </row>
    <row r="24" spans="1:23" x14ac:dyDescent="0.25">
      <c r="A24" s="229"/>
      <c r="B24" s="229"/>
      <c r="C24" s="670"/>
      <c r="D24" s="119" t="s">
        <v>103</v>
      </c>
      <c r="E24" s="2083" t="s">
        <v>978</v>
      </c>
      <c r="F24" s="119"/>
      <c r="G24" s="119"/>
      <c r="H24" s="119"/>
      <c r="I24" s="119"/>
      <c r="J24" s="119"/>
      <c r="K24" s="119"/>
      <c r="L24" s="119"/>
      <c r="M24" s="119"/>
      <c r="N24" s="119"/>
      <c r="O24" s="119"/>
      <c r="P24" s="119"/>
      <c r="Q24" s="1024"/>
      <c r="R24" s="1024"/>
      <c r="S24" s="1024"/>
      <c r="T24" s="1024"/>
      <c r="U24" s="1024"/>
      <c r="V24" s="1024"/>
      <c r="W24" s="723"/>
    </row>
    <row r="25" spans="1:23" ht="15" customHeight="1" x14ac:dyDescent="0.25">
      <c r="A25" s="453"/>
      <c r="B25" s="670"/>
      <c r="C25" s="670"/>
      <c r="D25" s="369"/>
      <c r="E25" s="3866" t="s">
        <v>977</v>
      </c>
      <c r="F25" s="3866"/>
      <c r="G25" s="3872" t="s">
        <v>976</v>
      </c>
      <c r="H25" s="1466" t="s">
        <v>975</v>
      </c>
      <c r="I25" s="1466"/>
      <c r="J25" s="3872" t="s">
        <v>976</v>
      </c>
      <c r="K25" s="3874" t="s">
        <v>975</v>
      </c>
      <c r="L25" s="3874" t="s">
        <v>977</v>
      </c>
      <c r="M25" s="119"/>
      <c r="N25" s="119"/>
      <c r="O25" s="1024"/>
      <c r="P25" s="1024"/>
      <c r="Q25" s="1024"/>
      <c r="R25" s="1024"/>
      <c r="S25" s="1024"/>
      <c r="T25" s="1024"/>
      <c r="U25" s="723"/>
    </row>
    <row r="26" spans="1:23" ht="21.6" customHeight="1" x14ac:dyDescent="0.25">
      <c r="A26" s="453"/>
      <c r="B26" s="670"/>
      <c r="C26" s="670"/>
      <c r="D26" s="2084" t="s">
        <v>413</v>
      </c>
      <c r="E26" s="2085">
        <v>2011</v>
      </c>
      <c r="F26" s="2085">
        <v>2015</v>
      </c>
      <c r="G26" s="3873"/>
      <c r="H26" s="2085">
        <v>2011</v>
      </c>
      <c r="I26" s="2085">
        <v>2015</v>
      </c>
      <c r="J26" s="3873"/>
      <c r="K26" s="3875"/>
      <c r="L26" s="3875"/>
      <c r="M26" s="276"/>
      <c r="N26" s="276"/>
      <c r="O26" s="276"/>
      <c r="P26" s="276"/>
      <c r="Q26" s="276"/>
      <c r="R26" s="723"/>
    </row>
    <row r="27" spans="1:23" x14ac:dyDescent="0.25">
      <c r="A27" s="453"/>
      <c r="B27" s="670"/>
      <c r="C27" s="670"/>
      <c r="D27" s="1079" t="s">
        <v>415</v>
      </c>
      <c r="E27" s="1078">
        <v>316</v>
      </c>
      <c r="F27" s="1078">
        <v>346</v>
      </c>
      <c r="G27" s="2086" t="s">
        <v>973</v>
      </c>
      <c r="H27" s="1077">
        <v>282</v>
      </c>
      <c r="I27" s="797">
        <v>328</v>
      </c>
      <c r="J27" s="1829" t="s">
        <v>973</v>
      </c>
      <c r="K27" s="1049">
        <f t="shared" ref="K27:K35" si="0">I27-H27</f>
        <v>46</v>
      </c>
      <c r="L27" s="2910">
        <f t="shared" ref="L27:L35" si="1">F27-E27</f>
        <v>30</v>
      </c>
      <c r="M27" s="1049"/>
      <c r="N27" s="1049"/>
      <c r="O27" s="1049"/>
      <c r="P27" s="1049"/>
      <c r="Q27" s="1049"/>
      <c r="R27" s="723"/>
    </row>
    <row r="28" spans="1:23" x14ac:dyDescent="0.25">
      <c r="A28" s="453"/>
      <c r="B28" s="670"/>
      <c r="C28" s="670"/>
      <c r="D28" s="784" t="s">
        <v>417</v>
      </c>
      <c r="E28" s="420">
        <v>359</v>
      </c>
      <c r="F28" s="420">
        <v>367</v>
      </c>
      <c r="G28" s="2086" t="s">
        <v>973</v>
      </c>
      <c r="H28" s="787">
        <v>341</v>
      </c>
      <c r="I28" s="797">
        <v>351</v>
      </c>
      <c r="J28" s="1829" t="s">
        <v>973</v>
      </c>
      <c r="K28" s="1049">
        <f t="shared" si="0"/>
        <v>10</v>
      </c>
      <c r="L28" s="2910">
        <f t="shared" si="1"/>
        <v>8</v>
      </c>
      <c r="M28" s="631"/>
      <c r="N28" s="631"/>
      <c r="O28" s="631"/>
      <c r="P28" s="631"/>
      <c r="Q28" s="631"/>
      <c r="R28" s="723"/>
    </row>
    <row r="29" spans="1:23" x14ac:dyDescent="0.25">
      <c r="A29" s="453"/>
      <c r="B29" s="670"/>
      <c r="C29" s="670"/>
      <c r="D29" s="784" t="s">
        <v>420</v>
      </c>
      <c r="E29" s="420">
        <v>389</v>
      </c>
      <c r="F29" s="420">
        <v>408</v>
      </c>
      <c r="G29" s="2086" t="s">
        <v>973</v>
      </c>
      <c r="H29" s="787">
        <v>387</v>
      </c>
      <c r="I29" s="797">
        <v>405</v>
      </c>
      <c r="J29" s="1829" t="s">
        <v>973</v>
      </c>
      <c r="K29" s="1049">
        <f t="shared" si="0"/>
        <v>18</v>
      </c>
      <c r="L29" s="2910">
        <f t="shared" si="1"/>
        <v>19</v>
      </c>
      <c r="M29" s="631"/>
      <c r="N29" s="631"/>
      <c r="O29" s="631"/>
      <c r="P29" s="631"/>
      <c r="Q29" s="631"/>
      <c r="R29" s="723"/>
    </row>
    <row r="30" spans="1:23" x14ac:dyDescent="0.25">
      <c r="A30" s="453"/>
      <c r="B30" s="670"/>
      <c r="C30" s="745"/>
      <c r="D30" s="784" t="s">
        <v>974</v>
      </c>
      <c r="E30" s="420">
        <v>337</v>
      </c>
      <c r="F30" s="420">
        <v>369</v>
      </c>
      <c r="G30" s="2086" t="s">
        <v>973</v>
      </c>
      <c r="H30" s="787">
        <v>308</v>
      </c>
      <c r="I30" s="797">
        <v>352</v>
      </c>
      <c r="J30" s="1829" t="s">
        <v>973</v>
      </c>
      <c r="K30" s="1049">
        <f t="shared" si="0"/>
        <v>44</v>
      </c>
      <c r="L30" s="2910">
        <f t="shared" si="1"/>
        <v>32</v>
      </c>
      <c r="M30" s="631"/>
      <c r="N30" s="631"/>
      <c r="O30" s="631"/>
      <c r="P30" s="631"/>
      <c r="Q30" s="631"/>
      <c r="R30" s="723"/>
    </row>
    <row r="31" spans="1:23" x14ac:dyDescent="0.25">
      <c r="A31" s="453"/>
      <c r="B31" s="670"/>
      <c r="C31" s="670"/>
      <c r="D31" s="784" t="s">
        <v>422</v>
      </c>
      <c r="E31" s="420">
        <v>322</v>
      </c>
      <c r="F31" s="420">
        <v>361</v>
      </c>
      <c r="G31" s="2086" t="s">
        <v>973</v>
      </c>
      <c r="H31" s="787">
        <v>284</v>
      </c>
      <c r="I31" s="797">
        <v>339</v>
      </c>
      <c r="J31" s="1829" t="s">
        <v>973</v>
      </c>
      <c r="K31" s="1049">
        <f t="shared" si="0"/>
        <v>55</v>
      </c>
      <c r="L31" s="2910">
        <f t="shared" si="1"/>
        <v>39</v>
      </c>
      <c r="M31" s="1049"/>
      <c r="N31" s="1049"/>
      <c r="O31" s="1049"/>
      <c r="P31" s="1049"/>
      <c r="Q31" s="1049"/>
      <c r="R31" s="1063"/>
    </row>
    <row r="32" spans="1:23" x14ac:dyDescent="0.25">
      <c r="A32" s="453"/>
      <c r="B32" s="670"/>
      <c r="C32" s="670"/>
      <c r="D32" s="784" t="s">
        <v>421</v>
      </c>
      <c r="E32" s="420">
        <v>344</v>
      </c>
      <c r="F32" s="420">
        <v>370</v>
      </c>
      <c r="G32" s="2086" t="s">
        <v>973</v>
      </c>
      <c r="H32" s="787">
        <v>326</v>
      </c>
      <c r="I32" s="797">
        <v>348</v>
      </c>
      <c r="J32" s="1829" t="s">
        <v>973</v>
      </c>
      <c r="K32" s="1049">
        <f t="shared" si="0"/>
        <v>22</v>
      </c>
      <c r="L32" s="2910">
        <f t="shared" si="1"/>
        <v>26</v>
      </c>
      <c r="M32" s="631"/>
      <c r="N32" s="631"/>
      <c r="O32" s="631"/>
      <c r="P32" s="631"/>
      <c r="Q32" s="631"/>
      <c r="R32" s="1062"/>
    </row>
    <row r="33" spans="1:22" x14ac:dyDescent="0.25">
      <c r="A33" s="453"/>
      <c r="B33" s="670"/>
      <c r="C33" s="670"/>
      <c r="D33" s="784" t="s">
        <v>419</v>
      </c>
      <c r="E33" s="420">
        <v>350</v>
      </c>
      <c r="F33" s="420">
        <v>354</v>
      </c>
      <c r="G33" s="2086" t="s">
        <v>973</v>
      </c>
      <c r="H33" s="787">
        <v>334</v>
      </c>
      <c r="I33" s="797">
        <v>335</v>
      </c>
      <c r="J33" s="1829" t="s">
        <v>973</v>
      </c>
      <c r="K33" s="1049">
        <f t="shared" si="0"/>
        <v>1</v>
      </c>
      <c r="L33" s="2910">
        <f t="shared" si="1"/>
        <v>4</v>
      </c>
      <c r="M33" s="631"/>
      <c r="N33" s="631"/>
      <c r="O33" s="631"/>
      <c r="P33" s="631"/>
      <c r="Q33" s="631"/>
      <c r="R33" s="723"/>
    </row>
    <row r="34" spans="1:22" x14ac:dyDescent="0.25">
      <c r="A34" s="453"/>
      <c r="B34" s="670"/>
      <c r="C34" s="745"/>
      <c r="D34" s="784" t="s">
        <v>416</v>
      </c>
      <c r="E34" s="420">
        <v>366</v>
      </c>
      <c r="F34" s="420">
        <v>364</v>
      </c>
      <c r="G34" s="2086" t="s">
        <v>528</v>
      </c>
      <c r="H34" s="787">
        <v>368</v>
      </c>
      <c r="I34" s="797">
        <v>356</v>
      </c>
      <c r="J34" s="1829" t="s">
        <v>528</v>
      </c>
      <c r="K34" s="1049">
        <f t="shared" si="0"/>
        <v>-12</v>
      </c>
      <c r="L34" s="2910">
        <f t="shared" si="1"/>
        <v>-2</v>
      </c>
      <c r="M34" s="631"/>
      <c r="N34" s="631"/>
      <c r="O34" s="631"/>
      <c r="P34" s="631"/>
      <c r="Q34" s="631"/>
      <c r="R34" s="723"/>
    </row>
    <row r="35" spans="1:22" x14ac:dyDescent="0.25">
      <c r="A35" s="453"/>
      <c r="B35" s="670"/>
      <c r="C35" s="670"/>
      <c r="D35" s="1076" t="s">
        <v>414</v>
      </c>
      <c r="E35" s="422">
        <v>404</v>
      </c>
      <c r="F35" s="422">
        <v>391</v>
      </c>
      <c r="G35" s="2087" t="s">
        <v>528</v>
      </c>
      <c r="H35" s="825">
        <v>409</v>
      </c>
      <c r="I35" s="2081">
        <v>388</v>
      </c>
      <c r="J35" s="2909" t="s">
        <v>528</v>
      </c>
      <c r="K35" s="2500">
        <f t="shared" si="0"/>
        <v>-21</v>
      </c>
      <c r="L35" s="2911">
        <f t="shared" si="1"/>
        <v>-13</v>
      </c>
      <c r="M35" s="2088"/>
      <c r="N35" s="2088"/>
      <c r="O35" s="2088"/>
      <c r="P35" s="2088"/>
      <c r="Q35" s="2088"/>
      <c r="R35" s="2088"/>
      <c r="S35" s="2088"/>
      <c r="T35" s="133"/>
      <c r="U35" s="723"/>
    </row>
    <row r="36" spans="1:22" x14ac:dyDescent="0.25">
      <c r="A36" s="453"/>
      <c r="B36" s="670"/>
      <c r="C36" s="670"/>
      <c r="D36" s="784"/>
      <c r="E36" s="420"/>
      <c r="F36" s="420"/>
      <c r="G36" s="2089"/>
      <c r="H36" s="787"/>
      <c r="I36" s="797"/>
      <c r="J36" s="2089"/>
      <c r="K36" s="2088"/>
      <c r="L36" s="2088"/>
      <c r="M36" s="2088"/>
      <c r="N36" s="2088"/>
      <c r="O36" s="2088"/>
      <c r="P36" s="2088"/>
      <c r="Q36" s="2088"/>
      <c r="R36" s="2088"/>
      <c r="S36" s="2088"/>
      <c r="T36" s="133"/>
      <c r="U36" s="723"/>
    </row>
    <row r="37" spans="1:22" x14ac:dyDescent="0.25">
      <c r="A37" s="453"/>
      <c r="B37" s="670"/>
      <c r="C37" s="670"/>
      <c r="D37" s="996"/>
      <c r="E37" s="2066"/>
      <c r="F37" s="996"/>
      <c r="G37" s="996"/>
      <c r="H37" s="996"/>
      <c r="I37" s="996"/>
      <c r="J37" s="996"/>
      <c r="K37" s="996"/>
      <c r="L37" s="996"/>
      <c r="M37" s="996"/>
      <c r="N37" s="996"/>
      <c r="O37" s="996"/>
      <c r="P37" s="996"/>
      <c r="Q37" s="996"/>
      <c r="R37" s="2088"/>
      <c r="S37" s="2088"/>
      <c r="T37" s="2088"/>
      <c r="U37" s="2088"/>
      <c r="V37" s="2088"/>
    </row>
    <row r="38" spans="1:22" x14ac:dyDescent="0.25">
      <c r="A38" s="453">
        <v>5</v>
      </c>
      <c r="B38" s="453" t="s">
        <v>78</v>
      </c>
      <c r="C38" s="453"/>
      <c r="D38" s="3553" t="s">
        <v>972</v>
      </c>
      <c r="E38" s="3554"/>
      <c r="F38" s="3554"/>
      <c r="G38" s="3554"/>
      <c r="H38" s="3554"/>
      <c r="I38" s="3554"/>
      <c r="J38" s="3554"/>
      <c r="K38" s="3554"/>
      <c r="L38" s="3554"/>
      <c r="M38" s="3554"/>
      <c r="N38" s="3554"/>
      <c r="O38" s="3554"/>
      <c r="P38" s="3554"/>
      <c r="Q38" s="3555"/>
      <c r="R38" s="2088"/>
      <c r="S38" s="2088"/>
      <c r="T38" s="2088"/>
      <c r="U38" s="2088"/>
      <c r="V38" s="2088"/>
    </row>
    <row r="39" spans="1:22" ht="15" customHeight="1" x14ac:dyDescent="0.25">
      <c r="A39" s="453">
        <v>6</v>
      </c>
      <c r="B39" s="453" t="s">
        <v>83</v>
      </c>
      <c r="C39" s="453"/>
      <c r="D39" s="3553" t="s">
        <v>971</v>
      </c>
      <c r="E39" s="3554"/>
      <c r="F39" s="3554"/>
      <c r="G39" s="3554"/>
      <c r="H39" s="3554"/>
      <c r="I39" s="3554"/>
      <c r="J39" s="3554"/>
      <c r="K39" s="3554"/>
      <c r="L39" s="3554"/>
      <c r="M39" s="3554"/>
      <c r="N39" s="3554"/>
      <c r="O39" s="3554"/>
      <c r="P39" s="3554"/>
      <c r="Q39" s="3555"/>
      <c r="R39" s="2088"/>
      <c r="S39" s="2088"/>
      <c r="T39" s="2088"/>
      <c r="U39" s="2088"/>
      <c r="V39" s="2088"/>
    </row>
    <row r="40" spans="1:22" ht="15" customHeight="1" x14ac:dyDescent="0.25">
      <c r="A40" s="472">
        <v>7</v>
      </c>
      <c r="B40" s="472" t="s">
        <v>80</v>
      </c>
      <c r="C40" s="472"/>
      <c r="D40" s="3553" t="s">
        <v>970</v>
      </c>
      <c r="E40" s="3554"/>
      <c r="F40" s="3554"/>
      <c r="G40" s="3554"/>
      <c r="H40" s="3554"/>
      <c r="I40" s="3554"/>
      <c r="J40" s="3554"/>
      <c r="K40" s="3554"/>
      <c r="L40" s="3554"/>
      <c r="M40" s="3554"/>
      <c r="N40" s="3554"/>
      <c r="O40" s="3554"/>
      <c r="P40" s="3554"/>
      <c r="Q40" s="3555"/>
      <c r="R40" s="2088"/>
      <c r="S40" s="2088"/>
      <c r="T40" s="2088"/>
      <c r="U40" s="2088"/>
      <c r="V40" s="2088"/>
    </row>
    <row r="41" spans="1:22" ht="15" customHeight="1" x14ac:dyDescent="0.25">
      <c r="A41" s="453">
        <v>8</v>
      </c>
      <c r="B41" s="453" t="s">
        <v>20</v>
      </c>
      <c r="C41" s="453"/>
      <c r="D41" s="3553" t="s">
        <v>969</v>
      </c>
      <c r="E41" s="3554"/>
      <c r="F41" s="3554"/>
      <c r="G41" s="3554"/>
      <c r="H41" s="3554"/>
      <c r="I41" s="3554"/>
      <c r="J41" s="3554"/>
      <c r="K41" s="3554"/>
      <c r="L41" s="3554"/>
      <c r="M41" s="3554"/>
      <c r="N41" s="3554"/>
      <c r="O41" s="3554"/>
      <c r="P41" s="3554"/>
      <c r="Q41" s="3555"/>
      <c r="R41" s="2088"/>
      <c r="S41" s="2088"/>
      <c r="T41" s="2088"/>
      <c r="U41" s="2088"/>
      <c r="V41" s="2088"/>
    </row>
    <row r="42" spans="1:22" x14ac:dyDescent="0.25">
      <c r="R42" s="2088"/>
      <c r="S42" s="2088"/>
      <c r="T42" s="2088"/>
      <c r="U42" s="2088"/>
      <c r="V42" s="2088"/>
    </row>
    <row r="46" spans="1:22" x14ac:dyDescent="0.25">
      <c r="D46" s="179"/>
    </row>
  </sheetData>
  <mergeCells count="23">
    <mergeCell ref="D38:Q38"/>
    <mergeCell ref="D39:Q39"/>
    <mergeCell ref="D40:Q40"/>
    <mergeCell ref="D41:Q41"/>
    <mergeCell ref="G19:I19"/>
    <mergeCell ref="M19:O19"/>
    <mergeCell ref="E25:F25"/>
    <mergeCell ref="G25:G26"/>
    <mergeCell ref="J25:J26"/>
    <mergeCell ref="K25:K26"/>
    <mergeCell ref="L25:L26"/>
    <mergeCell ref="M18:O18"/>
    <mergeCell ref="J18:L18"/>
    <mergeCell ref="G18:I18"/>
    <mergeCell ref="E18:F18"/>
    <mergeCell ref="E17:I17"/>
    <mergeCell ref="J17:O17"/>
    <mergeCell ref="D2:Q2"/>
    <mergeCell ref="D3:Q3"/>
    <mergeCell ref="D4:Q4"/>
    <mergeCell ref="D5:Q5"/>
    <mergeCell ref="E7:I7"/>
    <mergeCell ref="J7:N7"/>
  </mergeCells>
  <pageMargins left="0.74803149606299213" right="0.74803149606299213" top="0.98425196850393704" bottom="0.98425196850393704" header="0.51181102362204722" footer="0.51181102362204722"/>
  <pageSetup paperSize="9" scale="6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41"/>
  <sheetViews>
    <sheetView showGridLines="0" view="pageBreakPreview" zoomScaleNormal="100" zoomScaleSheetLayoutView="100" workbookViewId="0">
      <selection activeCell="Q31" sqref="Q31:Q32"/>
    </sheetView>
  </sheetViews>
  <sheetFormatPr defaultRowHeight="12.75" x14ac:dyDescent="0.2"/>
  <cols>
    <col min="1" max="1" width="3" style="2019" bestFit="1" customWidth="1"/>
    <col min="2" max="2" width="14.28515625" style="2019" bestFit="1" customWidth="1"/>
    <col min="3" max="3" width="3" style="2019" bestFit="1" customWidth="1"/>
    <col min="4" max="4" width="27.28515625" style="2019" customWidth="1"/>
    <col min="5" max="11" width="8.28515625" style="2019" customWidth="1"/>
    <col min="12" max="24" width="9.7109375" style="2019" customWidth="1"/>
    <col min="25" max="259" width="9.140625" style="2019"/>
    <col min="260" max="260" width="3" style="2019" bestFit="1" customWidth="1"/>
    <col min="261" max="261" width="14.28515625" style="2019" bestFit="1" customWidth="1"/>
    <col min="262" max="262" width="3" style="2019" bestFit="1" customWidth="1"/>
    <col min="263" max="263" width="12.140625" style="2019" customWidth="1"/>
    <col min="264" max="271" width="7.28515625" style="2019" customWidth="1"/>
    <col min="272" max="273" width="12.140625" style="2019" customWidth="1"/>
    <col min="274" max="274" width="7.28515625" style="2019" customWidth="1"/>
    <col min="275" max="275" width="9.7109375" style="2019" customWidth="1"/>
    <col min="276" max="515" width="9.140625" style="2019"/>
    <col min="516" max="516" width="3" style="2019" bestFit="1" customWidth="1"/>
    <col min="517" max="517" width="14.28515625" style="2019" bestFit="1" customWidth="1"/>
    <col min="518" max="518" width="3" style="2019" bestFit="1" customWidth="1"/>
    <col min="519" max="519" width="12.140625" style="2019" customWidth="1"/>
    <col min="520" max="527" width="7.28515625" style="2019" customWidth="1"/>
    <col min="528" max="529" width="12.140625" style="2019" customWidth="1"/>
    <col min="530" max="530" width="7.28515625" style="2019" customWidth="1"/>
    <col min="531" max="531" width="9.7109375" style="2019" customWidth="1"/>
    <col min="532" max="771" width="9.140625" style="2019"/>
    <col min="772" max="772" width="3" style="2019" bestFit="1" customWidth="1"/>
    <col min="773" max="773" width="14.28515625" style="2019" bestFit="1" customWidth="1"/>
    <col min="774" max="774" width="3" style="2019" bestFit="1" customWidth="1"/>
    <col min="775" max="775" width="12.140625" style="2019" customWidth="1"/>
    <col min="776" max="783" width="7.28515625" style="2019" customWidth="1"/>
    <col min="784" max="785" width="12.140625" style="2019" customWidth="1"/>
    <col min="786" max="786" width="7.28515625" style="2019" customWidth="1"/>
    <col min="787" max="787" width="9.7109375" style="2019" customWidth="1"/>
    <col min="788" max="1027" width="9.140625" style="2019"/>
    <col min="1028" max="1028" width="3" style="2019" bestFit="1" customWidth="1"/>
    <col min="1029" max="1029" width="14.28515625" style="2019" bestFit="1" customWidth="1"/>
    <col min="1030" max="1030" width="3" style="2019" bestFit="1" customWidth="1"/>
    <col min="1031" max="1031" width="12.140625" style="2019" customWidth="1"/>
    <col min="1032" max="1039" width="7.28515625" style="2019" customWidth="1"/>
    <col min="1040" max="1041" width="12.140625" style="2019" customWidth="1"/>
    <col min="1042" max="1042" width="7.28515625" style="2019" customWidth="1"/>
    <col min="1043" max="1043" width="9.7109375" style="2019" customWidth="1"/>
    <col min="1044" max="1283" width="9.140625" style="2019"/>
    <col min="1284" max="1284" width="3" style="2019" bestFit="1" customWidth="1"/>
    <col min="1285" max="1285" width="14.28515625" style="2019" bestFit="1" customWidth="1"/>
    <col min="1286" max="1286" width="3" style="2019" bestFit="1" customWidth="1"/>
    <col min="1287" max="1287" width="12.140625" style="2019" customWidth="1"/>
    <col min="1288" max="1295" width="7.28515625" style="2019" customWidth="1"/>
    <col min="1296" max="1297" width="12.140625" style="2019" customWidth="1"/>
    <col min="1298" max="1298" width="7.28515625" style="2019" customWidth="1"/>
    <col min="1299" max="1299" width="9.7109375" style="2019" customWidth="1"/>
    <col min="1300" max="1539" width="9.140625" style="2019"/>
    <col min="1540" max="1540" width="3" style="2019" bestFit="1" customWidth="1"/>
    <col min="1541" max="1541" width="14.28515625" style="2019" bestFit="1" customWidth="1"/>
    <col min="1542" max="1542" width="3" style="2019" bestFit="1" customWidth="1"/>
    <col min="1543" max="1543" width="12.140625" style="2019" customWidth="1"/>
    <col min="1544" max="1551" width="7.28515625" style="2019" customWidth="1"/>
    <col min="1552" max="1553" width="12.140625" style="2019" customWidth="1"/>
    <col min="1554" max="1554" width="7.28515625" style="2019" customWidth="1"/>
    <col min="1555" max="1555" width="9.7109375" style="2019" customWidth="1"/>
    <col min="1556" max="1795" width="9.140625" style="2019"/>
    <col min="1796" max="1796" width="3" style="2019" bestFit="1" customWidth="1"/>
    <col min="1797" max="1797" width="14.28515625" style="2019" bestFit="1" customWidth="1"/>
    <col min="1798" max="1798" width="3" style="2019" bestFit="1" customWidth="1"/>
    <col min="1799" max="1799" width="12.140625" style="2019" customWidth="1"/>
    <col min="1800" max="1807" width="7.28515625" style="2019" customWidth="1"/>
    <col min="1808" max="1809" width="12.140625" style="2019" customWidth="1"/>
    <col min="1810" max="1810" width="7.28515625" style="2019" customWidth="1"/>
    <col min="1811" max="1811" width="9.7109375" style="2019" customWidth="1"/>
    <col min="1812" max="2051" width="9.140625" style="2019"/>
    <col min="2052" max="2052" width="3" style="2019" bestFit="1" customWidth="1"/>
    <col min="2053" max="2053" width="14.28515625" style="2019" bestFit="1" customWidth="1"/>
    <col min="2054" max="2054" width="3" style="2019" bestFit="1" customWidth="1"/>
    <col min="2055" max="2055" width="12.140625" style="2019" customWidth="1"/>
    <col min="2056" max="2063" width="7.28515625" style="2019" customWidth="1"/>
    <col min="2064" max="2065" width="12.140625" style="2019" customWidth="1"/>
    <col min="2066" max="2066" width="7.28515625" style="2019" customWidth="1"/>
    <col min="2067" max="2067" width="9.7109375" style="2019" customWidth="1"/>
    <col min="2068" max="2307" width="9.140625" style="2019"/>
    <col min="2308" max="2308" width="3" style="2019" bestFit="1" customWidth="1"/>
    <col min="2309" max="2309" width="14.28515625" style="2019" bestFit="1" customWidth="1"/>
    <col min="2310" max="2310" width="3" style="2019" bestFit="1" customWidth="1"/>
    <col min="2311" max="2311" width="12.140625" style="2019" customWidth="1"/>
    <col min="2312" max="2319" width="7.28515625" style="2019" customWidth="1"/>
    <col min="2320" max="2321" width="12.140625" style="2019" customWidth="1"/>
    <col min="2322" max="2322" width="7.28515625" style="2019" customWidth="1"/>
    <col min="2323" max="2323" width="9.7109375" style="2019" customWidth="1"/>
    <col min="2324" max="2563" width="9.140625" style="2019"/>
    <col min="2564" max="2564" width="3" style="2019" bestFit="1" customWidth="1"/>
    <col min="2565" max="2565" width="14.28515625" style="2019" bestFit="1" customWidth="1"/>
    <col min="2566" max="2566" width="3" style="2019" bestFit="1" customWidth="1"/>
    <col min="2567" max="2567" width="12.140625" style="2019" customWidth="1"/>
    <col min="2568" max="2575" width="7.28515625" style="2019" customWidth="1"/>
    <col min="2576" max="2577" width="12.140625" style="2019" customWidth="1"/>
    <col min="2578" max="2578" width="7.28515625" style="2019" customWidth="1"/>
    <col min="2579" max="2579" width="9.7109375" style="2019" customWidth="1"/>
    <col min="2580" max="2819" width="9.140625" style="2019"/>
    <col min="2820" max="2820" width="3" style="2019" bestFit="1" customWidth="1"/>
    <col min="2821" max="2821" width="14.28515625" style="2019" bestFit="1" customWidth="1"/>
    <col min="2822" max="2822" width="3" style="2019" bestFit="1" customWidth="1"/>
    <col min="2823" max="2823" width="12.140625" style="2019" customWidth="1"/>
    <col min="2824" max="2831" width="7.28515625" style="2019" customWidth="1"/>
    <col min="2832" max="2833" width="12.140625" style="2019" customWidth="1"/>
    <col min="2834" max="2834" width="7.28515625" style="2019" customWidth="1"/>
    <col min="2835" max="2835" width="9.7109375" style="2019" customWidth="1"/>
    <col min="2836" max="3075" width="9.140625" style="2019"/>
    <col min="3076" max="3076" width="3" style="2019" bestFit="1" customWidth="1"/>
    <col min="3077" max="3077" width="14.28515625" style="2019" bestFit="1" customWidth="1"/>
    <col min="3078" max="3078" width="3" style="2019" bestFit="1" customWidth="1"/>
    <col min="3079" max="3079" width="12.140625" style="2019" customWidth="1"/>
    <col min="3080" max="3087" width="7.28515625" style="2019" customWidth="1"/>
    <col min="3088" max="3089" width="12.140625" style="2019" customWidth="1"/>
    <col min="3090" max="3090" width="7.28515625" style="2019" customWidth="1"/>
    <col min="3091" max="3091" width="9.7109375" style="2019" customWidth="1"/>
    <col min="3092" max="3331" width="9.140625" style="2019"/>
    <col min="3332" max="3332" width="3" style="2019" bestFit="1" customWidth="1"/>
    <col min="3333" max="3333" width="14.28515625" style="2019" bestFit="1" customWidth="1"/>
    <col min="3334" max="3334" width="3" style="2019" bestFit="1" customWidth="1"/>
    <col min="3335" max="3335" width="12.140625" style="2019" customWidth="1"/>
    <col min="3336" max="3343" width="7.28515625" style="2019" customWidth="1"/>
    <col min="3344" max="3345" width="12.140625" style="2019" customWidth="1"/>
    <col min="3346" max="3346" width="7.28515625" style="2019" customWidth="1"/>
    <col min="3347" max="3347" width="9.7109375" style="2019" customWidth="1"/>
    <col min="3348" max="3587" width="9.140625" style="2019"/>
    <col min="3588" max="3588" width="3" style="2019" bestFit="1" customWidth="1"/>
    <col min="3589" max="3589" width="14.28515625" style="2019" bestFit="1" customWidth="1"/>
    <col min="3590" max="3590" width="3" style="2019" bestFit="1" customWidth="1"/>
    <col min="3591" max="3591" width="12.140625" style="2019" customWidth="1"/>
    <col min="3592" max="3599" width="7.28515625" style="2019" customWidth="1"/>
    <col min="3600" max="3601" width="12.140625" style="2019" customWidth="1"/>
    <col min="3602" max="3602" width="7.28515625" style="2019" customWidth="1"/>
    <col min="3603" max="3603" width="9.7109375" style="2019" customWidth="1"/>
    <col min="3604" max="3843" width="9.140625" style="2019"/>
    <col min="3844" max="3844" width="3" style="2019" bestFit="1" customWidth="1"/>
    <col min="3845" max="3845" width="14.28515625" style="2019" bestFit="1" customWidth="1"/>
    <col min="3846" max="3846" width="3" style="2019" bestFit="1" customWidth="1"/>
    <col min="3847" max="3847" width="12.140625" style="2019" customWidth="1"/>
    <col min="3848" max="3855" width="7.28515625" style="2019" customWidth="1"/>
    <col min="3856" max="3857" width="12.140625" style="2019" customWidth="1"/>
    <col min="3858" max="3858" width="7.28515625" style="2019" customWidth="1"/>
    <col min="3859" max="3859" width="9.7109375" style="2019" customWidth="1"/>
    <col min="3860" max="4099" width="9.140625" style="2019"/>
    <col min="4100" max="4100" width="3" style="2019" bestFit="1" customWidth="1"/>
    <col min="4101" max="4101" width="14.28515625" style="2019" bestFit="1" customWidth="1"/>
    <col min="4102" max="4102" width="3" style="2019" bestFit="1" customWidth="1"/>
    <col min="4103" max="4103" width="12.140625" style="2019" customWidth="1"/>
    <col min="4104" max="4111" width="7.28515625" style="2019" customWidth="1"/>
    <col min="4112" max="4113" width="12.140625" style="2019" customWidth="1"/>
    <col min="4114" max="4114" width="7.28515625" style="2019" customWidth="1"/>
    <col min="4115" max="4115" width="9.7109375" style="2019" customWidth="1"/>
    <col min="4116" max="4355" width="9.140625" style="2019"/>
    <col min="4356" max="4356" width="3" style="2019" bestFit="1" customWidth="1"/>
    <col min="4357" max="4357" width="14.28515625" style="2019" bestFit="1" customWidth="1"/>
    <col min="4358" max="4358" width="3" style="2019" bestFit="1" customWidth="1"/>
    <col min="4359" max="4359" width="12.140625" style="2019" customWidth="1"/>
    <col min="4360" max="4367" width="7.28515625" style="2019" customWidth="1"/>
    <col min="4368" max="4369" width="12.140625" style="2019" customWidth="1"/>
    <col min="4370" max="4370" width="7.28515625" style="2019" customWidth="1"/>
    <col min="4371" max="4371" width="9.7109375" style="2019" customWidth="1"/>
    <col min="4372" max="4611" width="9.140625" style="2019"/>
    <col min="4612" max="4612" width="3" style="2019" bestFit="1" customWidth="1"/>
    <col min="4613" max="4613" width="14.28515625" style="2019" bestFit="1" customWidth="1"/>
    <col min="4614" max="4614" width="3" style="2019" bestFit="1" customWidth="1"/>
    <col min="4615" max="4615" width="12.140625" style="2019" customWidth="1"/>
    <col min="4616" max="4623" width="7.28515625" style="2019" customWidth="1"/>
    <col min="4624" max="4625" width="12.140625" style="2019" customWidth="1"/>
    <col min="4626" max="4626" width="7.28515625" style="2019" customWidth="1"/>
    <col min="4627" max="4627" width="9.7109375" style="2019" customWidth="1"/>
    <col min="4628" max="4867" width="9.140625" style="2019"/>
    <col min="4868" max="4868" width="3" style="2019" bestFit="1" customWidth="1"/>
    <col min="4869" max="4869" width="14.28515625" style="2019" bestFit="1" customWidth="1"/>
    <col min="4870" max="4870" width="3" style="2019" bestFit="1" customWidth="1"/>
    <col min="4871" max="4871" width="12.140625" style="2019" customWidth="1"/>
    <col min="4872" max="4879" width="7.28515625" style="2019" customWidth="1"/>
    <col min="4880" max="4881" width="12.140625" style="2019" customWidth="1"/>
    <col min="4882" max="4882" width="7.28515625" style="2019" customWidth="1"/>
    <col min="4883" max="4883" width="9.7109375" style="2019" customWidth="1"/>
    <col min="4884" max="5123" width="9.140625" style="2019"/>
    <col min="5124" max="5124" width="3" style="2019" bestFit="1" customWidth="1"/>
    <col min="5125" max="5125" width="14.28515625" style="2019" bestFit="1" customWidth="1"/>
    <col min="5126" max="5126" width="3" style="2019" bestFit="1" customWidth="1"/>
    <col min="5127" max="5127" width="12.140625" style="2019" customWidth="1"/>
    <col min="5128" max="5135" width="7.28515625" style="2019" customWidth="1"/>
    <col min="5136" max="5137" width="12.140625" style="2019" customWidth="1"/>
    <col min="5138" max="5138" width="7.28515625" style="2019" customWidth="1"/>
    <col min="5139" max="5139" width="9.7109375" style="2019" customWidth="1"/>
    <col min="5140" max="5379" width="9.140625" style="2019"/>
    <col min="5380" max="5380" width="3" style="2019" bestFit="1" customWidth="1"/>
    <col min="5381" max="5381" width="14.28515625" style="2019" bestFit="1" customWidth="1"/>
    <col min="5382" max="5382" width="3" style="2019" bestFit="1" customWidth="1"/>
    <col min="5383" max="5383" width="12.140625" style="2019" customWidth="1"/>
    <col min="5384" max="5391" width="7.28515625" style="2019" customWidth="1"/>
    <col min="5392" max="5393" width="12.140625" style="2019" customWidth="1"/>
    <col min="5394" max="5394" width="7.28515625" style="2019" customWidth="1"/>
    <col min="5395" max="5395" width="9.7109375" style="2019" customWidth="1"/>
    <col min="5396" max="5635" width="9.140625" style="2019"/>
    <col min="5636" max="5636" width="3" style="2019" bestFit="1" customWidth="1"/>
    <col min="5637" max="5637" width="14.28515625" style="2019" bestFit="1" customWidth="1"/>
    <col min="5638" max="5638" width="3" style="2019" bestFit="1" customWidth="1"/>
    <col min="5639" max="5639" width="12.140625" style="2019" customWidth="1"/>
    <col min="5640" max="5647" width="7.28515625" style="2019" customWidth="1"/>
    <col min="5648" max="5649" width="12.140625" style="2019" customWidth="1"/>
    <col min="5650" max="5650" width="7.28515625" style="2019" customWidth="1"/>
    <col min="5651" max="5651" width="9.7109375" style="2019" customWidth="1"/>
    <col min="5652" max="5891" width="9.140625" style="2019"/>
    <col min="5892" max="5892" width="3" style="2019" bestFit="1" customWidth="1"/>
    <col min="5893" max="5893" width="14.28515625" style="2019" bestFit="1" customWidth="1"/>
    <col min="5894" max="5894" width="3" style="2019" bestFit="1" customWidth="1"/>
    <col min="5895" max="5895" width="12.140625" style="2019" customWidth="1"/>
    <col min="5896" max="5903" width="7.28515625" style="2019" customWidth="1"/>
    <col min="5904" max="5905" width="12.140625" style="2019" customWidth="1"/>
    <col min="5906" max="5906" width="7.28515625" style="2019" customWidth="1"/>
    <col min="5907" max="5907" width="9.7109375" style="2019" customWidth="1"/>
    <col min="5908" max="6147" width="9.140625" style="2019"/>
    <col min="6148" max="6148" width="3" style="2019" bestFit="1" customWidth="1"/>
    <col min="6149" max="6149" width="14.28515625" style="2019" bestFit="1" customWidth="1"/>
    <col min="6150" max="6150" width="3" style="2019" bestFit="1" customWidth="1"/>
    <col min="6151" max="6151" width="12.140625" style="2019" customWidth="1"/>
    <col min="6152" max="6159" width="7.28515625" style="2019" customWidth="1"/>
    <col min="6160" max="6161" width="12.140625" style="2019" customWidth="1"/>
    <col min="6162" max="6162" width="7.28515625" style="2019" customWidth="1"/>
    <col min="6163" max="6163" width="9.7109375" style="2019" customWidth="1"/>
    <col min="6164" max="6403" width="9.140625" style="2019"/>
    <col min="6404" max="6404" width="3" style="2019" bestFit="1" customWidth="1"/>
    <col min="6405" max="6405" width="14.28515625" style="2019" bestFit="1" customWidth="1"/>
    <col min="6406" max="6406" width="3" style="2019" bestFit="1" customWidth="1"/>
    <col min="6407" max="6407" width="12.140625" style="2019" customWidth="1"/>
    <col min="6408" max="6415" width="7.28515625" style="2019" customWidth="1"/>
    <col min="6416" max="6417" width="12.140625" style="2019" customWidth="1"/>
    <col min="6418" max="6418" width="7.28515625" style="2019" customWidth="1"/>
    <col min="6419" max="6419" width="9.7109375" style="2019" customWidth="1"/>
    <col min="6420" max="6659" width="9.140625" style="2019"/>
    <col min="6660" max="6660" width="3" style="2019" bestFit="1" customWidth="1"/>
    <col min="6661" max="6661" width="14.28515625" style="2019" bestFit="1" customWidth="1"/>
    <col min="6662" max="6662" width="3" style="2019" bestFit="1" customWidth="1"/>
    <col min="6663" max="6663" width="12.140625" style="2019" customWidth="1"/>
    <col min="6664" max="6671" width="7.28515625" style="2019" customWidth="1"/>
    <col min="6672" max="6673" width="12.140625" style="2019" customWidth="1"/>
    <col min="6674" max="6674" width="7.28515625" style="2019" customWidth="1"/>
    <col min="6675" max="6675" width="9.7109375" style="2019" customWidth="1"/>
    <col min="6676" max="6915" width="9.140625" style="2019"/>
    <col min="6916" max="6916" width="3" style="2019" bestFit="1" customWidth="1"/>
    <col min="6917" max="6917" width="14.28515625" style="2019" bestFit="1" customWidth="1"/>
    <col min="6918" max="6918" width="3" style="2019" bestFit="1" customWidth="1"/>
    <col min="6919" max="6919" width="12.140625" style="2019" customWidth="1"/>
    <col min="6920" max="6927" width="7.28515625" style="2019" customWidth="1"/>
    <col min="6928" max="6929" width="12.140625" style="2019" customWidth="1"/>
    <col min="6930" max="6930" width="7.28515625" style="2019" customWidth="1"/>
    <col min="6931" max="6931" width="9.7109375" style="2019" customWidth="1"/>
    <col min="6932" max="7171" width="9.140625" style="2019"/>
    <col min="7172" max="7172" width="3" style="2019" bestFit="1" customWidth="1"/>
    <col min="7173" max="7173" width="14.28515625" style="2019" bestFit="1" customWidth="1"/>
    <col min="7174" max="7174" width="3" style="2019" bestFit="1" customWidth="1"/>
    <col min="7175" max="7175" width="12.140625" style="2019" customWidth="1"/>
    <col min="7176" max="7183" width="7.28515625" style="2019" customWidth="1"/>
    <col min="7184" max="7185" width="12.140625" style="2019" customWidth="1"/>
    <col min="7186" max="7186" width="7.28515625" style="2019" customWidth="1"/>
    <col min="7187" max="7187" width="9.7109375" style="2019" customWidth="1"/>
    <col min="7188" max="7427" width="9.140625" style="2019"/>
    <col min="7428" max="7428" width="3" style="2019" bestFit="1" customWidth="1"/>
    <col min="7429" max="7429" width="14.28515625" style="2019" bestFit="1" customWidth="1"/>
    <col min="7430" max="7430" width="3" style="2019" bestFit="1" customWidth="1"/>
    <col min="7431" max="7431" width="12.140625" style="2019" customWidth="1"/>
    <col min="7432" max="7439" width="7.28515625" style="2019" customWidth="1"/>
    <col min="7440" max="7441" width="12.140625" style="2019" customWidth="1"/>
    <col min="7442" max="7442" width="7.28515625" style="2019" customWidth="1"/>
    <col min="7443" max="7443" width="9.7109375" style="2019" customWidth="1"/>
    <col min="7444" max="7683" width="9.140625" style="2019"/>
    <col min="7684" max="7684" width="3" style="2019" bestFit="1" customWidth="1"/>
    <col min="7685" max="7685" width="14.28515625" style="2019" bestFit="1" customWidth="1"/>
    <col min="7686" max="7686" width="3" style="2019" bestFit="1" customWidth="1"/>
    <col min="7687" max="7687" width="12.140625" style="2019" customWidth="1"/>
    <col min="7688" max="7695" width="7.28515625" style="2019" customWidth="1"/>
    <col min="7696" max="7697" width="12.140625" style="2019" customWidth="1"/>
    <col min="7698" max="7698" width="7.28515625" style="2019" customWidth="1"/>
    <col min="7699" max="7699" width="9.7109375" style="2019" customWidth="1"/>
    <col min="7700" max="7939" width="9.140625" style="2019"/>
    <col min="7940" max="7940" width="3" style="2019" bestFit="1" customWidth="1"/>
    <col min="7941" max="7941" width="14.28515625" style="2019" bestFit="1" customWidth="1"/>
    <col min="7942" max="7942" width="3" style="2019" bestFit="1" customWidth="1"/>
    <col min="7943" max="7943" width="12.140625" style="2019" customWidth="1"/>
    <col min="7944" max="7951" width="7.28515625" style="2019" customWidth="1"/>
    <col min="7952" max="7953" width="12.140625" style="2019" customWidth="1"/>
    <col min="7954" max="7954" width="7.28515625" style="2019" customWidth="1"/>
    <col min="7955" max="7955" width="9.7109375" style="2019" customWidth="1"/>
    <col min="7956" max="8195" width="9.140625" style="2019"/>
    <col min="8196" max="8196" width="3" style="2019" bestFit="1" customWidth="1"/>
    <col min="8197" max="8197" width="14.28515625" style="2019" bestFit="1" customWidth="1"/>
    <col min="8198" max="8198" width="3" style="2019" bestFit="1" customWidth="1"/>
    <col min="8199" max="8199" width="12.140625" style="2019" customWidth="1"/>
    <col min="8200" max="8207" width="7.28515625" style="2019" customWidth="1"/>
    <col min="8208" max="8209" width="12.140625" style="2019" customWidth="1"/>
    <col min="8210" max="8210" width="7.28515625" style="2019" customWidth="1"/>
    <col min="8211" max="8211" width="9.7109375" style="2019" customWidth="1"/>
    <col min="8212" max="8451" width="9.140625" style="2019"/>
    <col min="8452" max="8452" width="3" style="2019" bestFit="1" customWidth="1"/>
    <col min="8453" max="8453" width="14.28515625" style="2019" bestFit="1" customWidth="1"/>
    <col min="8454" max="8454" width="3" style="2019" bestFit="1" customWidth="1"/>
    <col min="8455" max="8455" width="12.140625" style="2019" customWidth="1"/>
    <col min="8456" max="8463" width="7.28515625" style="2019" customWidth="1"/>
    <col min="8464" max="8465" width="12.140625" style="2019" customWidth="1"/>
    <col min="8466" max="8466" width="7.28515625" style="2019" customWidth="1"/>
    <col min="8467" max="8467" width="9.7109375" style="2019" customWidth="1"/>
    <col min="8468" max="8707" width="9.140625" style="2019"/>
    <col min="8708" max="8708" width="3" style="2019" bestFit="1" customWidth="1"/>
    <col min="8709" max="8709" width="14.28515625" style="2019" bestFit="1" customWidth="1"/>
    <col min="8710" max="8710" width="3" style="2019" bestFit="1" customWidth="1"/>
    <col min="8711" max="8711" width="12.140625" style="2019" customWidth="1"/>
    <col min="8712" max="8719" width="7.28515625" style="2019" customWidth="1"/>
    <col min="8720" max="8721" width="12.140625" style="2019" customWidth="1"/>
    <col min="8722" max="8722" width="7.28515625" style="2019" customWidth="1"/>
    <col min="8723" max="8723" width="9.7109375" style="2019" customWidth="1"/>
    <col min="8724" max="8963" width="9.140625" style="2019"/>
    <col min="8964" max="8964" width="3" style="2019" bestFit="1" customWidth="1"/>
    <col min="8965" max="8965" width="14.28515625" style="2019" bestFit="1" customWidth="1"/>
    <col min="8966" max="8966" width="3" style="2019" bestFit="1" customWidth="1"/>
    <col min="8967" max="8967" width="12.140625" style="2019" customWidth="1"/>
    <col min="8968" max="8975" width="7.28515625" style="2019" customWidth="1"/>
    <col min="8976" max="8977" width="12.140625" style="2019" customWidth="1"/>
    <col min="8978" max="8978" width="7.28515625" style="2019" customWidth="1"/>
    <col min="8979" max="8979" width="9.7109375" style="2019" customWidth="1"/>
    <col min="8980" max="9219" width="9.140625" style="2019"/>
    <col min="9220" max="9220" width="3" style="2019" bestFit="1" customWidth="1"/>
    <col min="9221" max="9221" width="14.28515625" style="2019" bestFit="1" customWidth="1"/>
    <col min="9222" max="9222" width="3" style="2019" bestFit="1" customWidth="1"/>
    <col min="9223" max="9223" width="12.140625" style="2019" customWidth="1"/>
    <col min="9224" max="9231" width="7.28515625" style="2019" customWidth="1"/>
    <col min="9232" max="9233" width="12.140625" style="2019" customWidth="1"/>
    <col min="9234" max="9234" width="7.28515625" style="2019" customWidth="1"/>
    <col min="9235" max="9235" width="9.7109375" style="2019" customWidth="1"/>
    <col min="9236" max="9475" width="9.140625" style="2019"/>
    <col min="9476" max="9476" width="3" style="2019" bestFit="1" customWidth="1"/>
    <col min="9477" max="9477" width="14.28515625" style="2019" bestFit="1" customWidth="1"/>
    <col min="9478" max="9478" width="3" style="2019" bestFit="1" customWidth="1"/>
    <col min="9479" max="9479" width="12.140625" style="2019" customWidth="1"/>
    <col min="9480" max="9487" width="7.28515625" style="2019" customWidth="1"/>
    <col min="9488" max="9489" width="12.140625" style="2019" customWidth="1"/>
    <col min="9490" max="9490" width="7.28515625" style="2019" customWidth="1"/>
    <col min="9491" max="9491" width="9.7109375" style="2019" customWidth="1"/>
    <col min="9492" max="9731" width="9.140625" style="2019"/>
    <col min="9732" max="9732" width="3" style="2019" bestFit="1" customWidth="1"/>
    <col min="9733" max="9733" width="14.28515625" style="2019" bestFit="1" customWidth="1"/>
    <col min="9734" max="9734" width="3" style="2019" bestFit="1" customWidth="1"/>
    <col min="9735" max="9735" width="12.140625" style="2019" customWidth="1"/>
    <col min="9736" max="9743" width="7.28515625" style="2019" customWidth="1"/>
    <col min="9744" max="9745" width="12.140625" style="2019" customWidth="1"/>
    <col min="9746" max="9746" width="7.28515625" style="2019" customWidth="1"/>
    <col min="9747" max="9747" width="9.7109375" style="2019" customWidth="1"/>
    <col min="9748" max="9987" width="9.140625" style="2019"/>
    <col min="9988" max="9988" width="3" style="2019" bestFit="1" customWidth="1"/>
    <col min="9989" max="9989" width="14.28515625" style="2019" bestFit="1" customWidth="1"/>
    <col min="9990" max="9990" width="3" style="2019" bestFit="1" customWidth="1"/>
    <col min="9991" max="9991" width="12.140625" style="2019" customWidth="1"/>
    <col min="9992" max="9999" width="7.28515625" style="2019" customWidth="1"/>
    <col min="10000" max="10001" width="12.140625" style="2019" customWidth="1"/>
    <col min="10002" max="10002" width="7.28515625" style="2019" customWidth="1"/>
    <col min="10003" max="10003" width="9.7109375" style="2019" customWidth="1"/>
    <col min="10004" max="10243" width="9.140625" style="2019"/>
    <col min="10244" max="10244" width="3" style="2019" bestFit="1" customWidth="1"/>
    <col min="10245" max="10245" width="14.28515625" style="2019" bestFit="1" customWidth="1"/>
    <col min="10246" max="10246" width="3" style="2019" bestFit="1" customWidth="1"/>
    <col min="10247" max="10247" width="12.140625" style="2019" customWidth="1"/>
    <col min="10248" max="10255" width="7.28515625" style="2019" customWidth="1"/>
    <col min="10256" max="10257" width="12.140625" style="2019" customWidth="1"/>
    <col min="10258" max="10258" width="7.28515625" style="2019" customWidth="1"/>
    <col min="10259" max="10259" width="9.7109375" style="2019" customWidth="1"/>
    <col min="10260" max="10499" width="9.140625" style="2019"/>
    <col min="10500" max="10500" width="3" style="2019" bestFit="1" customWidth="1"/>
    <col min="10501" max="10501" width="14.28515625" style="2019" bestFit="1" customWidth="1"/>
    <col min="10502" max="10502" width="3" style="2019" bestFit="1" customWidth="1"/>
    <col min="10503" max="10503" width="12.140625" style="2019" customWidth="1"/>
    <col min="10504" max="10511" width="7.28515625" style="2019" customWidth="1"/>
    <col min="10512" max="10513" width="12.140625" style="2019" customWidth="1"/>
    <col min="10514" max="10514" width="7.28515625" style="2019" customWidth="1"/>
    <col min="10515" max="10515" width="9.7109375" style="2019" customWidth="1"/>
    <col min="10516" max="10755" width="9.140625" style="2019"/>
    <col min="10756" max="10756" width="3" style="2019" bestFit="1" customWidth="1"/>
    <col min="10757" max="10757" width="14.28515625" style="2019" bestFit="1" customWidth="1"/>
    <col min="10758" max="10758" width="3" style="2019" bestFit="1" customWidth="1"/>
    <col min="10759" max="10759" width="12.140625" style="2019" customWidth="1"/>
    <col min="10760" max="10767" width="7.28515625" style="2019" customWidth="1"/>
    <col min="10768" max="10769" width="12.140625" style="2019" customWidth="1"/>
    <col min="10770" max="10770" width="7.28515625" style="2019" customWidth="1"/>
    <col min="10771" max="10771" width="9.7109375" style="2019" customWidth="1"/>
    <col min="10772" max="11011" width="9.140625" style="2019"/>
    <col min="11012" max="11012" width="3" style="2019" bestFit="1" customWidth="1"/>
    <col min="11013" max="11013" width="14.28515625" style="2019" bestFit="1" customWidth="1"/>
    <col min="11014" max="11014" width="3" style="2019" bestFit="1" customWidth="1"/>
    <col min="11015" max="11015" width="12.140625" style="2019" customWidth="1"/>
    <col min="11016" max="11023" width="7.28515625" style="2019" customWidth="1"/>
    <col min="11024" max="11025" width="12.140625" style="2019" customWidth="1"/>
    <col min="11026" max="11026" width="7.28515625" style="2019" customWidth="1"/>
    <col min="11027" max="11027" width="9.7109375" style="2019" customWidth="1"/>
    <col min="11028" max="11267" width="9.140625" style="2019"/>
    <col min="11268" max="11268" width="3" style="2019" bestFit="1" customWidth="1"/>
    <col min="11269" max="11269" width="14.28515625" style="2019" bestFit="1" customWidth="1"/>
    <col min="11270" max="11270" width="3" style="2019" bestFit="1" customWidth="1"/>
    <col min="11271" max="11271" width="12.140625" style="2019" customWidth="1"/>
    <col min="11272" max="11279" width="7.28515625" style="2019" customWidth="1"/>
    <col min="11280" max="11281" width="12.140625" style="2019" customWidth="1"/>
    <col min="11282" max="11282" width="7.28515625" style="2019" customWidth="1"/>
    <col min="11283" max="11283" width="9.7109375" style="2019" customWidth="1"/>
    <col min="11284" max="11523" width="9.140625" style="2019"/>
    <col min="11524" max="11524" width="3" style="2019" bestFit="1" customWidth="1"/>
    <col min="11525" max="11525" width="14.28515625" style="2019" bestFit="1" customWidth="1"/>
    <col min="11526" max="11526" width="3" style="2019" bestFit="1" customWidth="1"/>
    <col min="11527" max="11527" width="12.140625" style="2019" customWidth="1"/>
    <col min="11528" max="11535" width="7.28515625" style="2019" customWidth="1"/>
    <col min="11536" max="11537" width="12.140625" style="2019" customWidth="1"/>
    <col min="11538" max="11538" width="7.28515625" style="2019" customWidth="1"/>
    <col min="11539" max="11539" width="9.7109375" style="2019" customWidth="1"/>
    <col min="11540" max="11779" width="9.140625" style="2019"/>
    <col min="11780" max="11780" width="3" style="2019" bestFit="1" customWidth="1"/>
    <col min="11781" max="11781" width="14.28515625" style="2019" bestFit="1" customWidth="1"/>
    <col min="11782" max="11782" width="3" style="2019" bestFit="1" customWidth="1"/>
    <col min="11783" max="11783" width="12.140625" style="2019" customWidth="1"/>
    <col min="11784" max="11791" width="7.28515625" style="2019" customWidth="1"/>
    <col min="11792" max="11793" width="12.140625" style="2019" customWidth="1"/>
    <col min="11794" max="11794" width="7.28515625" style="2019" customWidth="1"/>
    <col min="11795" max="11795" width="9.7109375" style="2019" customWidth="1"/>
    <col min="11796" max="12035" width="9.140625" style="2019"/>
    <col min="12036" max="12036" width="3" style="2019" bestFit="1" customWidth="1"/>
    <col min="12037" max="12037" width="14.28515625" style="2019" bestFit="1" customWidth="1"/>
    <col min="12038" max="12038" width="3" style="2019" bestFit="1" customWidth="1"/>
    <col min="12039" max="12039" width="12.140625" style="2019" customWidth="1"/>
    <col min="12040" max="12047" width="7.28515625" style="2019" customWidth="1"/>
    <col min="12048" max="12049" width="12.140625" style="2019" customWidth="1"/>
    <col min="12050" max="12050" width="7.28515625" style="2019" customWidth="1"/>
    <col min="12051" max="12051" width="9.7109375" style="2019" customWidth="1"/>
    <col min="12052" max="12291" width="9.140625" style="2019"/>
    <col min="12292" max="12292" width="3" style="2019" bestFit="1" customWidth="1"/>
    <col min="12293" max="12293" width="14.28515625" style="2019" bestFit="1" customWidth="1"/>
    <col min="12294" max="12294" width="3" style="2019" bestFit="1" customWidth="1"/>
    <col min="12295" max="12295" width="12.140625" style="2019" customWidth="1"/>
    <col min="12296" max="12303" width="7.28515625" style="2019" customWidth="1"/>
    <col min="12304" max="12305" width="12.140625" style="2019" customWidth="1"/>
    <col min="12306" max="12306" width="7.28515625" style="2019" customWidth="1"/>
    <col min="12307" max="12307" width="9.7109375" style="2019" customWidth="1"/>
    <col min="12308" max="12547" width="9.140625" style="2019"/>
    <col min="12548" max="12548" width="3" style="2019" bestFit="1" customWidth="1"/>
    <col min="12549" max="12549" width="14.28515625" style="2019" bestFit="1" customWidth="1"/>
    <col min="12550" max="12550" width="3" style="2019" bestFit="1" customWidth="1"/>
    <col min="12551" max="12551" width="12.140625" style="2019" customWidth="1"/>
    <col min="12552" max="12559" width="7.28515625" style="2019" customWidth="1"/>
    <col min="12560" max="12561" width="12.140625" style="2019" customWidth="1"/>
    <col min="12562" max="12562" width="7.28515625" style="2019" customWidth="1"/>
    <col min="12563" max="12563" width="9.7109375" style="2019" customWidth="1"/>
    <col min="12564" max="12803" width="9.140625" style="2019"/>
    <col min="12804" max="12804" width="3" style="2019" bestFit="1" customWidth="1"/>
    <col min="12805" max="12805" width="14.28515625" style="2019" bestFit="1" customWidth="1"/>
    <col min="12806" max="12806" width="3" style="2019" bestFit="1" customWidth="1"/>
    <col min="12807" max="12807" width="12.140625" style="2019" customWidth="1"/>
    <col min="12808" max="12815" width="7.28515625" style="2019" customWidth="1"/>
    <col min="12816" max="12817" width="12.140625" style="2019" customWidth="1"/>
    <col min="12818" max="12818" width="7.28515625" style="2019" customWidth="1"/>
    <col min="12819" max="12819" width="9.7109375" style="2019" customWidth="1"/>
    <col min="12820" max="13059" width="9.140625" style="2019"/>
    <col min="13060" max="13060" width="3" style="2019" bestFit="1" customWidth="1"/>
    <col min="13061" max="13061" width="14.28515625" style="2019" bestFit="1" customWidth="1"/>
    <col min="13062" max="13062" width="3" style="2019" bestFit="1" customWidth="1"/>
    <col min="13063" max="13063" width="12.140625" style="2019" customWidth="1"/>
    <col min="13064" max="13071" width="7.28515625" style="2019" customWidth="1"/>
    <col min="13072" max="13073" width="12.140625" style="2019" customWidth="1"/>
    <col min="13074" max="13074" width="7.28515625" style="2019" customWidth="1"/>
    <col min="13075" max="13075" width="9.7109375" style="2019" customWidth="1"/>
    <col min="13076" max="13315" width="9.140625" style="2019"/>
    <col min="13316" max="13316" width="3" style="2019" bestFit="1" customWidth="1"/>
    <col min="13317" max="13317" width="14.28515625" style="2019" bestFit="1" customWidth="1"/>
    <col min="13318" max="13318" width="3" style="2019" bestFit="1" customWidth="1"/>
    <col min="13319" max="13319" width="12.140625" style="2019" customWidth="1"/>
    <col min="13320" max="13327" width="7.28515625" style="2019" customWidth="1"/>
    <col min="13328" max="13329" width="12.140625" style="2019" customWidth="1"/>
    <col min="13330" max="13330" width="7.28515625" style="2019" customWidth="1"/>
    <col min="13331" max="13331" width="9.7109375" style="2019" customWidth="1"/>
    <col min="13332" max="13571" width="9.140625" style="2019"/>
    <col min="13572" max="13572" width="3" style="2019" bestFit="1" customWidth="1"/>
    <col min="13573" max="13573" width="14.28515625" style="2019" bestFit="1" customWidth="1"/>
    <col min="13574" max="13574" width="3" style="2019" bestFit="1" customWidth="1"/>
    <col min="13575" max="13575" width="12.140625" style="2019" customWidth="1"/>
    <col min="13576" max="13583" width="7.28515625" style="2019" customWidth="1"/>
    <col min="13584" max="13585" width="12.140625" style="2019" customWidth="1"/>
    <col min="13586" max="13586" width="7.28515625" style="2019" customWidth="1"/>
    <col min="13587" max="13587" width="9.7109375" style="2019" customWidth="1"/>
    <col min="13588" max="13827" width="9.140625" style="2019"/>
    <col min="13828" max="13828" width="3" style="2019" bestFit="1" customWidth="1"/>
    <col min="13829" max="13829" width="14.28515625" style="2019" bestFit="1" customWidth="1"/>
    <col min="13830" max="13830" width="3" style="2019" bestFit="1" customWidth="1"/>
    <col min="13831" max="13831" width="12.140625" style="2019" customWidth="1"/>
    <col min="13832" max="13839" width="7.28515625" style="2019" customWidth="1"/>
    <col min="13840" max="13841" width="12.140625" style="2019" customWidth="1"/>
    <col min="13842" max="13842" width="7.28515625" style="2019" customWidth="1"/>
    <col min="13843" max="13843" width="9.7109375" style="2019" customWidth="1"/>
    <col min="13844" max="14083" width="9.140625" style="2019"/>
    <col min="14084" max="14084" width="3" style="2019" bestFit="1" customWidth="1"/>
    <col min="14085" max="14085" width="14.28515625" style="2019" bestFit="1" customWidth="1"/>
    <col min="14086" max="14086" width="3" style="2019" bestFit="1" customWidth="1"/>
    <col min="14087" max="14087" width="12.140625" style="2019" customWidth="1"/>
    <col min="14088" max="14095" width="7.28515625" style="2019" customWidth="1"/>
    <col min="14096" max="14097" width="12.140625" style="2019" customWidth="1"/>
    <col min="14098" max="14098" width="7.28515625" style="2019" customWidth="1"/>
    <col min="14099" max="14099" width="9.7109375" style="2019" customWidth="1"/>
    <col min="14100" max="14339" width="9.140625" style="2019"/>
    <col min="14340" max="14340" width="3" style="2019" bestFit="1" customWidth="1"/>
    <col min="14341" max="14341" width="14.28515625" style="2019" bestFit="1" customWidth="1"/>
    <col min="14342" max="14342" width="3" style="2019" bestFit="1" customWidth="1"/>
    <col min="14343" max="14343" width="12.140625" style="2019" customWidth="1"/>
    <col min="14344" max="14351" width="7.28515625" style="2019" customWidth="1"/>
    <col min="14352" max="14353" width="12.140625" style="2019" customWidth="1"/>
    <col min="14354" max="14354" width="7.28515625" style="2019" customWidth="1"/>
    <col min="14355" max="14355" width="9.7109375" style="2019" customWidth="1"/>
    <col min="14356" max="14595" width="9.140625" style="2019"/>
    <col min="14596" max="14596" width="3" style="2019" bestFit="1" customWidth="1"/>
    <col min="14597" max="14597" width="14.28515625" style="2019" bestFit="1" customWidth="1"/>
    <col min="14598" max="14598" width="3" style="2019" bestFit="1" customWidth="1"/>
    <col min="14599" max="14599" width="12.140625" style="2019" customWidth="1"/>
    <col min="14600" max="14607" width="7.28515625" style="2019" customWidth="1"/>
    <col min="14608" max="14609" width="12.140625" style="2019" customWidth="1"/>
    <col min="14610" max="14610" width="7.28515625" style="2019" customWidth="1"/>
    <col min="14611" max="14611" width="9.7109375" style="2019" customWidth="1"/>
    <col min="14612" max="14851" width="9.140625" style="2019"/>
    <col min="14852" max="14852" width="3" style="2019" bestFit="1" customWidth="1"/>
    <col min="14853" max="14853" width="14.28515625" style="2019" bestFit="1" customWidth="1"/>
    <col min="14854" max="14854" width="3" style="2019" bestFit="1" customWidth="1"/>
    <col min="14855" max="14855" width="12.140625" style="2019" customWidth="1"/>
    <col min="14856" max="14863" width="7.28515625" style="2019" customWidth="1"/>
    <col min="14864" max="14865" width="12.140625" style="2019" customWidth="1"/>
    <col min="14866" max="14866" width="7.28515625" style="2019" customWidth="1"/>
    <col min="14867" max="14867" width="9.7109375" style="2019" customWidth="1"/>
    <col min="14868" max="15107" width="9.140625" style="2019"/>
    <col min="15108" max="15108" width="3" style="2019" bestFit="1" customWidth="1"/>
    <col min="15109" max="15109" width="14.28515625" style="2019" bestFit="1" customWidth="1"/>
    <col min="15110" max="15110" width="3" style="2019" bestFit="1" customWidth="1"/>
    <col min="15111" max="15111" width="12.140625" style="2019" customWidth="1"/>
    <col min="15112" max="15119" width="7.28515625" style="2019" customWidth="1"/>
    <col min="15120" max="15121" width="12.140625" style="2019" customWidth="1"/>
    <col min="15122" max="15122" width="7.28515625" style="2019" customWidth="1"/>
    <col min="15123" max="15123" width="9.7109375" style="2019" customWidth="1"/>
    <col min="15124" max="15363" width="9.140625" style="2019"/>
    <col min="15364" max="15364" width="3" style="2019" bestFit="1" customWidth="1"/>
    <col min="15365" max="15365" width="14.28515625" style="2019" bestFit="1" customWidth="1"/>
    <col min="15366" max="15366" width="3" style="2019" bestFit="1" customWidth="1"/>
    <col min="15367" max="15367" width="12.140625" style="2019" customWidth="1"/>
    <col min="15368" max="15375" width="7.28515625" style="2019" customWidth="1"/>
    <col min="15376" max="15377" width="12.140625" style="2019" customWidth="1"/>
    <col min="15378" max="15378" width="7.28515625" style="2019" customWidth="1"/>
    <col min="15379" max="15379" width="9.7109375" style="2019" customWidth="1"/>
    <col min="15380" max="15619" width="9.140625" style="2019"/>
    <col min="15620" max="15620" width="3" style="2019" bestFit="1" customWidth="1"/>
    <col min="15621" max="15621" width="14.28515625" style="2019" bestFit="1" customWidth="1"/>
    <col min="15622" max="15622" width="3" style="2019" bestFit="1" customWidth="1"/>
    <col min="15623" max="15623" width="12.140625" style="2019" customWidth="1"/>
    <col min="15624" max="15631" width="7.28515625" style="2019" customWidth="1"/>
    <col min="15632" max="15633" width="12.140625" style="2019" customWidth="1"/>
    <col min="15634" max="15634" width="7.28515625" style="2019" customWidth="1"/>
    <col min="15635" max="15635" width="9.7109375" style="2019" customWidth="1"/>
    <col min="15636" max="15875" width="9.140625" style="2019"/>
    <col min="15876" max="15876" width="3" style="2019" bestFit="1" customWidth="1"/>
    <col min="15877" max="15877" width="14.28515625" style="2019" bestFit="1" customWidth="1"/>
    <col min="15878" max="15878" width="3" style="2019" bestFit="1" customWidth="1"/>
    <col min="15879" max="15879" width="12.140625" style="2019" customWidth="1"/>
    <col min="15880" max="15887" width="7.28515625" style="2019" customWidth="1"/>
    <col min="15888" max="15889" width="12.140625" style="2019" customWidth="1"/>
    <col min="15890" max="15890" width="7.28515625" style="2019" customWidth="1"/>
    <col min="15891" max="15891" width="9.7109375" style="2019" customWidth="1"/>
    <col min="15892" max="16131" width="9.140625" style="2019"/>
    <col min="16132" max="16132" width="3" style="2019" bestFit="1" customWidth="1"/>
    <col min="16133" max="16133" width="14.28515625" style="2019" bestFit="1" customWidth="1"/>
    <col min="16134" max="16134" width="3" style="2019" bestFit="1" customWidth="1"/>
    <col min="16135" max="16135" width="12.140625" style="2019" customWidth="1"/>
    <col min="16136" max="16143" width="7.28515625" style="2019" customWidth="1"/>
    <col min="16144" max="16145" width="12.140625" style="2019" customWidth="1"/>
    <col min="16146" max="16146" width="7.28515625" style="2019" customWidth="1"/>
    <col min="16147" max="16147" width="9.7109375" style="2019" customWidth="1"/>
    <col min="16148" max="16384" width="9.140625" style="2019"/>
  </cols>
  <sheetData>
    <row r="1" spans="1:26" ht="14.25" x14ac:dyDescent="0.2">
      <c r="A1" s="453"/>
      <c r="B1" s="1822"/>
      <c r="C1" s="1822"/>
      <c r="D1" s="1823"/>
      <c r="E1" s="1823"/>
      <c r="F1" s="1823"/>
      <c r="G1" s="1823"/>
      <c r="H1" s="1823"/>
      <c r="I1" s="1823"/>
      <c r="J1" s="1823"/>
      <c r="K1" s="1823"/>
      <c r="L1" s="1823"/>
      <c r="M1" s="1823"/>
      <c r="N1" s="1823"/>
      <c r="O1" s="1823"/>
      <c r="P1" s="1823"/>
      <c r="Q1" s="2033"/>
      <c r="R1" s="2033"/>
      <c r="S1" s="2033"/>
      <c r="T1" s="1824"/>
      <c r="U1" s="1824"/>
      <c r="V1" s="1824"/>
      <c r="W1" s="1824"/>
      <c r="X1" s="1824"/>
    </row>
    <row r="2" spans="1:26" ht="14.45" customHeight="1" x14ac:dyDescent="0.2">
      <c r="A2" s="453">
        <v>1</v>
      </c>
      <c r="B2" s="453" t="s">
        <v>24</v>
      </c>
      <c r="C2" s="453">
        <f>1+'Maths, science perf'!C2</f>
        <v>52</v>
      </c>
      <c r="D2" s="3729" t="s">
        <v>1063</v>
      </c>
      <c r="E2" s="3730"/>
      <c r="F2" s="3730"/>
      <c r="G2" s="3730"/>
      <c r="H2" s="3730"/>
      <c r="I2" s="3730"/>
      <c r="J2" s="3730"/>
      <c r="K2" s="3730"/>
      <c r="L2" s="3730"/>
      <c r="M2" s="3730"/>
      <c r="N2" s="3730"/>
      <c r="O2" s="3730"/>
      <c r="P2" s="3734"/>
      <c r="Q2" s="2033"/>
      <c r="R2" s="2033"/>
      <c r="S2" s="2033"/>
      <c r="T2" s="2020"/>
      <c r="U2" s="2020"/>
      <c r="V2" s="2020"/>
      <c r="W2" s="1824"/>
      <c r="X2" s="1824"/>
    </row>
    <row r="3" spans="1:26" ht="15" customHeight="1" x14ac:dyDescent="0.2">
      <c r="A3" s="453">
        <v>2</v>
      </c>
      <c r="B3" s="453" t="s">
        <v>26</v>
      </c>
      <c r="C3" s="453"/>
      <c r="D3" s="3553" t="s">
        <v>860</v>
      </c>
      <c r="E3" s="3554"/>
      <c r="F3" s="3554"/>
      <c r="G3" s="3554"/>
      <c r="H3" s="3554"/>
      <c r="I3" s="3554"/>
      <c r="J3" s="3554"/>
      <c r="K3" s="3554"/>
      <c r="L3" s="3554"/>
      <c r="M3" s="3554"/>
      <c r="N3" s="3554"/>
      <c r="O3" s="3554"/>
      <c r="P3" s="3555"/>
      <c r="Q3" s="2030"/>
      <c r="R3" s="2030"/>
      <c r="S3" s="2030"/>
      <c r="T3" s="1824"/>
      <c r="U3" s="1824"/>
      <c r="V3" s="1824"/>
      <c r="W3" s="1824"/>
      <c r="X3" s="1824"/>
    </row>
    <row r="4" spans="1:26" ht="13.15" customHeight="1" x14ac:dyDescent="0.2">
      <c r="A4" s="453">
        <v>3</v>
      </c>
      <c r="B4" s="453" t="s">
        <v>28</v>
      </c>
      <c r="C4" s="453"/>
      <c r="D4" s="3553" t="s">
        <v>1062</v>
      </c>
      <c r="E4" s="3554"/>
      <c r="F4" s="3554"/>
      <c r="G4" s="3554"/>
      <c r="H4" s="3554"/>
      <c r="I4" s="3554"/>
      <c r="J4" s="3554"/>
      <c r="K4" s="3554"/>
      <c r="L4" s="3554"/>
      <c r="M4" s="3554"/>
      <c r="N4" s="3554"/>
      <c r="O4" s="3554"/>
      <c r="P4" s="3555"/>
      <c r="Q4" s="2030"/>
      <c r="R4" s="2030"/>
      <c r="S4" s="2030"/>
      <c r="T4" s="195"/>
      <c r="U4" s="195"/>
      <c r="V4" s="195"/>
      <c r="W4" s="195"/>
      <c r="X4" s="195"/>
      <c r="Y4" s="195"/>
      <c r="Z4" s="195"/>
    </row>
    <row r="5" spans="1:26" ht="13.15" customHeight="1" x14ac:dyDescent="0.2">
      <c r="A5" s="453"/>
      <c r="B5" s="453"/>
      <c r="N5" s="138"/>
      <c r="O5" s="138"/>
      <c r="P5" s="138"/>
      <c r="Q5" s="2030"/>
      <c r="R5" s="2030"/>
      <c r="S5" s="2030"/>
      <c r="T5" s="195"/>
      <c r="U5" s="195"/>
      <c r="V5" s="195"/>
      <c r="W5" s="195"/>
      <c r="X5" s="195"/>
      <c r="Y5" s="195"/>
      <c r="Z5" s="195"/>
    </row>
    <row r="6" spans="1:26" ht="14.25" x14ac:dyDescent="0.2">
      <c r="A6" s="453">
        <v>4</v>
      </c>
      <c r="B6" s="453" t="s">
        <v>1</v>
      </c>
      <c r="N6" s="1840"/>
      <c r="O6" s="1840"/>
      <c r="Q6" s="2030"/>
      <c r="R6" s="2030"/>
      <c r="S6" s="2030"/>
      <c r="T6" s="1824"/>
      <c r="U6" s="1824"/>
      <c r="V6" s="1824"/>
      <c r="W6" s="1824"/>
      <c r="X6" s="1824"/>
    </row>
    <row r="7" spans="1:26" ht="15" x14ac:dyDescent="0.25">
      <c r="A7" s="453"/>
      <c r="B7" s="1822"/>
      <c r="C7" s="1822"/>
      <c r="D7" s="2021" t="s">
        <v>31</v>
      </c>
      <c r="E7" s="2021" t="s">
        <v>1061</v>
      </c>
      <c r="F7" s="2021"/>
      <c r="G7" s="2021"/>
      <c r="H7" s="2022"/>
      <c r="I7" s="2023"/>
      <c r="J7" s="2024"/>
      <c r="Q7" s="854"/>
      <c r="R7" s="854"/>
      <c r="S7" s="746"/>
      <c r="T7" s="2025"/>
      <c r="U7" s="1840"/>
      <c r="V7" s="1824"/>
      <c r="W7" s="1824"/>
      <c r="X7" s="1824"/>
    </row>
    <row r="8" spans="1:26" ht="14.25" x14ac:dyDescent="0.2">
      <c r="A8" s="453"/>
      <c r="B8" s="1822"/>
      <c r="C8" s="1822"/>
      <c r="D8" s="2026"/>
      <c r="E8" s="862">
        <v>2011</v>
      </c>
      <c r="F8" s="862">
        <v>2012</v>
      </c>
      <c r="G8" s="862">
        <v>2013</v>
      </c>
      <c r="H8" s="2912">
        <v>2014</v>
      </c>
      <c r="I8" s="860"/>
      <c r="J8" s="1840"/>
      <c r="K8" s="2027"/>
      <c r="L8" s="2027"/>
      <c r="M8" s="2027"/>
      <c r="N8" s="2027"/>
      <c r="O8" s="2027"/>
      <c r="P8" s="2027"/>
      <c r="Q8" s="2027"/>
      <c r="R8" s="1056"/>
      <c r="S8" s="2028"/>
      <c r="T8" s="75"/>
      <c r="U8" s="1840"/>
      <c r="V8" s="1824"/>
      <c r="W8" s="1824"/>
      <c r="X8" s="1824"/>
      <c r="Y8" s="1824"/>
    </row>
    <row r="9" spans="1:26" ht="14.25" x14ac:dyDescent="0.2">
      <c r="A9" s="453"/>
      <c r="B9" s="1822"/>
      <c r="C9" s="1822"/>
      <c r="D9" s="861" t="s">
        <v>1060</v>
      </c>
      <c r="E9" s="2029">
        <v>124658</v>
      </c>
      <c r="F9" s="2029">
        <v>140575</v>
      </c>
      <c r="G9" s="2029">
        <v>154960</v>
      </c>
      <c r="H9" s="2913">
        <v>166433</v>
      </c>
      <c r="I9" s="3880"/>
      <c r="J9" s="3880"/>
      <c r="K9" s="3880"/>
      <c r="L9" s="2030"/>
      <c r="M9" s="2030"/>
      <c r="N9" s="2030"/>
      <c r="O9" s="2030"/>
      <c r="P9" s="2030"/>
      <c r="Q9" s="2030"/>
      <c r="R9" s="1056"/>
      <c r="S9" s="2028"/>
      <c r="T9" s="75"/>
      <c r="U9" s="1840"/>
      <c r="V9" s="1824"/>
      <c r="W9" s="1824"/>
      <c r="X9" s="1824"/>
      <c r="Y9" s="1824"/>
    </row>
    <row r="10" spans="1:26" s="2034" customFormat="1" ht="14.25" x14ac:dyDescent="0.2">
      <c r="A10" s="650"/>
      <c r="B10" s="1839"/>
      <c r="C10" s="1839"/>
      <c r="D10" s="2031" t="s">
        <v>1059</v>
      </c>
      <c r="E10" s="2032">
        <v>70253</v>
      </c>
      <c r="F10" s="2032">
        <v>205274</v>
      </c>
      <c r="G10" s="2032">
        <v>248932</v>
      </c>
      <c r="H10" s="2914">
        <v>98254</v>
      </c>
      <c r="I10" s="3880"/>
      <c r="J10" s="3880"/>
      <c r="K10" s="3880"/>
      <c r="L10" s="2033"/>
      <c r="M10" s="2033"/>
      <c r="N10" s="2033"/>
      <c r="O10" s="2033"/>
      <c r="P10" s="2033"/>
      <c r="Q10" s="2033"/>
      <c r="R10" s="2033"/>
      <c r="S10" s="2033"/>
      <c r="T10" s="2033"/>
      <c r="U10" s="2033"/>
      <c r="V10" s="2033"/>
      <c r="W10" s="2033"/>
      <c r="X10" s="2033"/>
      <c r="Y10" s="2033"/>
    </row>
    <row r="11" spans="1:26" s="2034" customFormat="1" ht="14.25" x14ac:dyDescent="0.2">
      <c r="A11" s="650"/>
      <c r="B11" s="1839"/>
      <c r="C11" s="1839"/>
      <c r="D11" s="2035" t="s">
        <v>1058</v>
      </c>
      <c r="E11" s="378">
        <v>100061</v>
      </c>
      <c r="F11" s="378">
        <v>154350</v>
      </c>
      <c r="G11" s="378">
        <v>193355</v>
      </c>
      <c r="H11" s="2915">
        <v>32832</v>
      </c>
      <c r="I11" s="3880"/>
      <c r="J11" s="3880"/>
      <c r="K11" s="3880"/>
      <c r="L11" s="119"/>
      <c r="M11" s="2036"/>
      <c r="N11" s="119"/>
      <c r="O11" s="119"/>
      <c r="P11" s="119"/>
      <c r="Q11" s="119"/>
      <c r="R11" s="119"/>
      <c r="S11" s="119"/>
      <c r="T11" s="119"/>
      <c r="U11" s="119"/>
      <c r="V11" s="119"/>
      <c r="W11" s="3660"/>
      <c r="X11" s="3660"/>
      <c r="Y11" s="3660"/>
    </row>
    <row r="12" spans="1:26" s="2042" customFormat="1" ht="14.25" x14ac:dyDescent="0.2">
      <c r="A12" s="687"/>
      <c r="B12" s="2037"/>
      <c r="C12" s="2037"/>
      <c r="D12" s="2038" t="s">
        <v>261</v>
      </c>
      <c r="E12" s="2039">
        <f>SUM(E9:E11)</f>
        <v>294972</v>
      </c>
      <c r="F12" s="2039">
        <f>SUM(F9:F11)</f>
        <v>500199</v>
      </c>
      <c r="G12" s="2039">
        <f>SUM(G9:G11)</f>
        <v>597247</v>
      </c>
      <c r="H12" s="2916">
        <f>SUM(H9:H11)</f>
        <v>297519</v>
      </c>
      <c r="I12" s="2040"/>
      <c r="J12" s="2040"/>
      <c r="K12" s="2040"/>
      <c r="L12" s="2040"/>
      <c r="M12" s="2040"/>
      <c r="N12" s="2041"/>
      <c r="O12" s="2040"/>
      <c r="P12" s="2040"/>
      <c r="Q12" s="2040"/>
      <c r="R12" s="2040"/>
      <c r="S12" s="2040"/>
      <c r="T12" s="2040"/>
      <c r="U12" s="2040"/>
      <c r="V12" s="2040"/>
      <c r="W12" s="2040"/>
      <c r="X12" s="2040"/>
      <c r="Y12" s="2040"/>
    </row>
    <row r="13" spans="1:26" s="2034" customFormat="1" ht="14.25" x14ac:dyDescent="0.2">
      <c r="A13" s="650"/>
      <c r="B13" s="1839"/>
      <c r="C13" s="1839"/>
      <c r="D13" s="784"/>
      <c r="E13" s="2043"/>
      <c r="F13" s="2043"/>
      <c r="G13" s="2043"/>
      <c r="H13" s="2043"/>
      <c r="I13" s="2043"/>
      <c r="J13" s="2043"/>
      <c r="K13" s="2043"/>
      <c r="L13" s="2043"/>
      <c r="M13" s="2043"/>
      <c r="N13" s="2043"/>
      <c r="O13" s="2043"/>
      <c r="P13" s="2043"/>
      <c r="Q13" s="2043"/>
      <c r="R13" s="2043"/>
      <c r="S13" s="2043"/>
      <c r="T13" s="2043"/>
      <c r="U13" s="2043"/>
      <c r="V13" s="2043"/>
      <c r="W13" s="2043"/>
      <c r="X13" s="2043"/>
    </row>
    <row r="14" spans="1:26" s="2034" customFormat="1" ht="14.25" x14ac:dyDescent="0.2">
      <c r="A14" s="650"/>
      <c r="B14" s="1839"/>
      <c r="C14" s="1839"/>
      <c r="D14" s="424" t="s">
        <v>55</v>
      </c>
      <c r="E14" s="2044" t="s">
        <v>1057</v>
      </c>
      <c r="F14" s="2043"/>
      <c r="G14" s="2043"/>
      <c r="H14" s="2043"/>
      <c r="I14" s="2043"/>
      <c r="J14" s="2043"/>
      <c r="K14" s="2043"/>
      <c r="L14" s="2043"/>
      <c r="M14" s="2043"/>
      <c r="N14" s="2043"/>
      <c r="O14" s="2043"/>
      <c r="P14" s="2043"/>
      <c r="Q14" s="2043"/>
      <c r="R14" s="2043"/>
      <c r="S14" s="2043"/>
      <c r="T14" s="2043"/>
      <c r="U14" s="2043"/>
      <c r="V14" s="2043"/>
      <c r="W14" s="2043"/>
      <c r="X14" s="2043"/>
    </row>
    <row r="15" spans="1:26" s="2034" customFormat="1" ht="14.25" x14ac:dyDescent="0.2">
      <c r="A15" s="650"/>
      <c r="B15" s="1839"/>
      <c r="C15" s="1839"/>
      <c r="D15" s="1092"/>
      <c r="E15" s="2045" t="s">
        <v>138</v>
      </c>
      <c r="F15" s="2045" t="s">
        <v>139</v>
      </c>
      <c r="G15" s="2045" t="s">
        <v>140</v>
      </c>
      <c r="H15" s="2045" t="s">
        <v>141</v>
      </c>
      <c r="I15" s="2045" t="s">
        <v>142</v>
      </c>
      <c r="J15" s="2045" t="s">
        <v>143</v>
      </c>
      <c r="K15" s="2045" t="s">
        <v>144</v>
      </c>
      <c r="L15" s="2917" t="s">
        <v>145</v>
      </c>
      <c r="M15" s="2043"/>
      <c r="N15" s="2043"/>
      <c r="O15" s="2043"/>
      <c r="P15" s="2043"/>
      <c r="Q15" s="2043"/>
      <c r="R15" s="2043"/>
      <c r="S15" s="2043"/>
      <c r="T15" s="2043"/>
      <c r="U15" s="2043"/>
      <c r="V15" s="2043"/>
      <c r="W15" s="2043"/>
      <c r="X15" s="2043"/>
      <c r="Y15" s="2043"/>
    </row>
    <row r="16" spans="1:26" s="2034" customFormat="1" ht="14.25" x14ac:dyDescent="0.2">
      <c r="A16" s="650"/>
      <c r="B16" s="1839"/>
      <c r="C16" s="1839"/>
      <c r="D16" s="784" t="s">
        <v>1056</v>
      </c>
      <c r="E16" s="2046">
        <v>16193</v>
      </c>
      <c r="F16" s="2046">
        <v>24229</v>
      </c>
      <c r="G16" s="2046">
        <v>26301</v>
      </c>
      <c r="H16" s="2046">
        <v>23517</v>
      </c>
      <c r="I16" s="2046">
        <v>24415</v>
      </c>
      <c r="J16" s="2046">
        <v>21849</v>
      </c>
      <c r="K16" s="2046">
        <v>27670</v>
      </c>
      <c r="L16" s="2918">
        <v>28302</v>
      </c>
      <c r="M16" s="2043"/>
      <c r="N16" s="2043"/>
      <c r="O16" s="2043"/>
      <c r="P16" s="2043"/>
      <c r="Q16" s="2043"/>
      <c r="R16" s="2043"/>
      <c r="S16" s="2043"/>
      <c r="T16" s="2043"/>
      <c r="U16" s="2043"/>
      <c r="V16" s="2043"/>
      <c r="W16" s="2043"/>
      <c r="X16" s="2043"/>
      <c r="Y16" s="2043"/>
    </row>
    <row r="17" spans="1:29" s="2034" customFormat="1" ht="14.25" x14ac:dyDescent="0.2">
      <c r="A17" s="650"/>
      <c r="B17" s="1839"/>
      <c r="C17" s="1839"/>
      <c r="D17" s="784" t="s">
        <v>1055</v>
      </c>
      <c r="E17" s="2046">
        <v>6030</v>
      </c>
      <c r="F17" s="2046">
        <v>8935</v>
      </c>
      <c r="G17" s="2046">
        <v>8238</v>
      </c>
      <c r="H17" s="2046">
        <v>11778</v>
      </c>
      <c r="I17" s="2046">
        <v>14023</v>
      </c>
      <c r="J17" s="2046">
        <v>15277</v>
      </c>
      <c r="K17" s="2046">
        <v>18110</v>
      </c>
      <c r="L17" s="2918">
        <v>14389</v>
      </c>
      <c r="M17" s="2043"/>
      <c r="N17" s="2043"/>
      <c r="O17" s="2043"/>
      <c r="P17" s="2043"/>
      <c r="Q17" s="2043"/>
      <c r="R17" s="2043"/>
      <c r="S17" s="2043"/>
      <c r="T17" s="2043"/>
      <c r="U17" s="2043"/>
      <c r="V17" s="2043"/>
      <c r="W17" s="2043"/>
      <c r="X17" s="2043"/>
      <c r="Y17" s="2043"/>
    </row>
    <row r="18" spans="1:29" s="1366" customFormat="1" ht="15" x14ac:dyDescent="0.2">
      <c r="A18" s="650"/>
      <c r="B18" s="1831"/>
      <c r="C18" s="1831"/>
      <c r="D18" s="1093" t="s">
        <v>1051</v>
      </c>
      <c r="E18" s="2047">
        <f t="shared" ref="E18:L18" si="0">E17/E16</f>
        <v>0.37238312851232014</v>
      </c>
      <c r="F18" s="2047">
        <f t="shared" si="0"/>
        <v>0.36877295802550664</v>
      </c>
      <c r="G18" s="2047">
        <f t="shared" si="0"/>
        <v>0.31322002965666706</v>
      </c>
      <c r="H18" s="2047">
        <f t="shared" si="0"/>
        <v>0.50082918739635163</v>
      </c>
      <c r="I18" s="2047">
        <f t="shared" si="0"/>
        <v>0.5743600245750563</v>
      </c>
      <c r="J18" s="2047">
        <f t="shared" si="0"/>
        <v>0.69920820174836373</v>
      </c>
      <c r="K18" s="2047">
        <f t="shared" si="0"/>
        <v>0.65449945789663899</v>
      </c>
      <c r="L18" s="2919">
        <f t="shared" si="0"/>
        <v>0.50840929969613458</v>
      </c>
      <c r="M18" s="2048"/>
      <c r="N18" s="2048"/>
      <c r="O18" s="2048"/>
      <c r="P18" s="2048"/>
      <c r="Q18" s="2048"/>
      <c r="R18" s="2048"/>
      <c r="S18" s="2048"/>
      <c r="T18" s="2048"/>
      <c r="U18" s="2048"/>
      <c r="V18" s="2048"/>
      <c r="W18" s="2048"/>
      <c r="X18" s="2048"/>
      <c r="Y18" s="2048"/>
    </row>
    <row r="19" spans="1:29" s="2034" customFormat="1" ht="14.25" x14ac:dyDescent="0.2">
      <c r="A19" s="650"/>
      <c r="B19" s="1839"/>
      <c r="C19" s="1839"/>
      <c r="D19" s="784"/>
      <c r="E19" s="2043"/>
      <c r="F19" s="2043"/>
      <c r="G19" s="2043"/>
      <c r="H19" s="2043"/>
      <c r="I19" s="2043"/>
      <c r="J19" s="2043"/>
      <c r="K19" s="2043"/>
      <c r="L19" s="2043"/>
      <c r="M19" s="2043"/>
      <c r="N19" s="2043"/>
      <c r="O19" s="2043"/>
      <c r="P19" s="2043"/>
      <c r="Q19" s="2043"/>
      <c r="R19" s="2043"/>
      <c r="S19" s="2043"/>
      <c r="T19" s="2043"/>
      <c r="U19" s="2043"/>
      <c r="V19" s="2043"/>
      <c r="W19" s="2043"/>
      <c r="X19" s="2043"/>
    </row>
    <row r="20" spans="1:29" s="2034" customFormat="1" ht="14.25" x14ac:dyDescent="0.2">
      <c r="A20" s="650"/>
      <c r="B20" s="1839"/>
      <c r="C20" s="1839"/>
      <c r="D20" s="424" t="s">
        <v>262</v>
      </c>
      <c r="E20" s="2044" t="s">
        <v>1054</v>
      </c>
      <c r="F20" s="2043"/>
      <c r="G20" s="2043"/>
      <c r="H20" s="2043"/>
      <c r="I20" s="2043"/>
      <c r="J20" s="2043"/>
      <c r="K20" s="2043"/>
      <c r="L20" s="2043"/>
      <c r="M20" s="2043"/>
      <c r="N20" s="2043"/>
      <c r="O20" s="2043"/>
      <c r="P20" s="2043"/>
      <c r="Q20" s="2043"/>
      <c r="R20" s="2043"/>
      <c r="S20" s="2043"/>
      <c r="T20" s="2043"/>
      <c r="U20" s="2043"/>
      <c r="V20" s="2043"/>
      <c r="W20" s="2043"/>
      <c r="X20" s="2043"/>
    </row>
    <row r="21" spans="1:29" s="2034" customFormat="1" ht="14.25" x14ac:dyDescent="0.2">
      <c r="A21" s="650"/>
      <c r="B21" s="1839"/>
      <c r="C21" s="1839"/>
      <c r="D21" s="1092"/>
      <c r="E21" s="3876" t="s">
        <v>142</v>
      </c>
      <c r="F21" s="3876"/>
      <c r="G21" s="3877"/>
      <c r="H21" s="3876" t="s">
        <v>143</v>
      </c>
      <c r="I21" s="3876"/>
      <c r="J21" s="3877"/>
      <c r="K21" s="3876" t="s">
        <v>144</v>
      </c>
      <c r="L21" s="3876"/>
      <c r="M21" s="3877"/>
      <c r="N21" s="3878" t="s">
        <v>145</v>
      </c>
      <c r="O21" s="3876"/>
      <c r="P21" s="3879"/>
      <c r="Q21" s="2043"/>
      <c r="R21" s="2043"/>
      <c r="S21" s="2043"/>
      <c r="T21" s="2043"/>
      <c r="U21" s="2043"/>
      <c r="V21" s="2043"/>
      <c r="W21" s="2043"/>
      <c r="X21" s="2043"/>
      <c r="Y21" s="2043"/>
      <c r="Z21" s="2043"/>
      <c r="AA21" s="2043"/>
      <c r="AB21" s="2043"/>
    </row>
    <row r="22" spans="1:29" s="2034" customFormat="1" ht="22.5" x14ac:dyDescent="0.2">
      <c r="A22" s="650"/>
      <c r="B22" s="1839"/>
      <c r="C22" s="1839"/>
      <c r="D22" s="784"/>
      <c r="E22" s="2049" t="s">
        <v>1053</v>
      </c>
      <c r="F22" s="2050" t="s">
        <v>1052</v>
      </c>
      <c r="G22" s="2051" t="s">
        <v>1051</v>
      </c>
      <c r="H22" s="2049" t="s">
        <v>1053</v>
      </c>
      <c r="I22" s="2050" t="s">
        <v>1052</v>
      </c>
      <c r="J22" s="2051" t="s">
        <v>1051</v>
      </c>
      <c r="K22" s="2049" t="s">
        <v>1053</v>
      </c>
      <c r="L22" s="2050" t="s">
        <v>1052</v>
      </c>
      <c r="M22" s="2051" t="s">
        <v>1051</v>
      </c>
      <c r="N22" s="2920" t="s">
        <v>1053</v>
      </c>
      <c r="O22" s="2050" t="s">
        <v>1052</v>
      </c>
      <c r="P22" s="2921" t="s">
        <v>1051</v>
      </c>
      <c r="Q22" s="2043"/>
      <c r="R22" s="2043"/>
      <c r="S22" s="2043"/>
      <c r="T22" s="2043"/>
      <c r="U22" s="2043"/>
      <c r="V22" s="2043"/>
      <c r="W22" s="2043"/>
      <c r="X22" s="2043"/>
      <c r="Y22" s="2043"/>
      <c r="Z22" s="2043"/>
      <c r="AA22" s="2043"/>
      <c r="AB22" s="2043"/>
    </row>
    <row r="23" spans="1:29" s="2034" customFormat="1" ht="14.25" x14ac:dyDescent="0.2">
      <c r="A23" s="650"/>
      <c r="B23" s="1839"/>
      <c r="C23" s="1839"/>
      <c r="D23" s="784" t="s">
        <v>1050</v>
      </c>
      <c r="E23" s="2052"/>
      <c r="F23" s="848"/>
      <c r="G23" s="2053"/>
      <c r="H23" s="2052"/>
      <c r="I23" s="848"/>
      <c r="J23" s="2053"/>
      <c r="K23" s="2052"/>
      <c r="L23" s="848"/>
      <c r="M23" s="2053"/>
      <c r="N23" s="2922"/>
      <c r="O23" s="848"/>
      <c r="P23" s="2923"/>
      <c r="Q23" s="2054"/>
      <c r="R23" s="2054"/>
      <c r="S23" s="2054"/>
      <c r="T23" s="2054"/>
      <c r="U23" s="2054"/>
      <c r="V23" s="2054"/>
      <c r="W23" s="2054"/>
      <c r="X23" s="2054"/>
      <c r="Y23" s="2054"/>
      <c r="Z23" s="2054"/>
      <c r="AA23" s="2054"/>
      <c r="AB23" s="2054"/>
      <c r="AC23" s="2054"/>
    </row>
    <row r="24" spans="1:29" s="2034" customFormat="1" ht="14.25" x14ac:dyDescent="0.2">
      <c r="A24" s="650"/>
      <c r="B24" s="1839"/>
      <c r="C24" s="1839"/>
      <c r="D24" s="420" t="s">
        <v>1049</v>
      </c>
      <c r="E24" s="2046">
        <v>17795</v>
      </c>
      <c r="F24" s="2046">
        <v>9500</v>
      </c>
      <c r="G24" s="2055">
        <f>F24/E24</f>
        <v>0.53385782523180669</v>
      </c>
      <c r="H24" s="2046">
        <v>20108</v>
      </c>
      <c r="I24" s="2046">
        <v>14333</v>
      </c>
      <c r="J24" s="2055">
        <f>I24/H24</f>
        <v>0.71280087527352298</v>
      </c>
      <c r="K24" s="2046">
        <v>30511</v>
      </c>
      <c r="L24" s="2046">
        <v>14500</v>
      </c>
      <c r="M24" s="2055">
        <f>L24/K24</f>
        <v>0.47523843859591625</v>
      </c>
      <c r="N24" s="2924">
        <v>29100</v>
      </c>
      <c r="O24" s="2046">
        <v>18685</v>
      </c>
      <c r="P24" s="1096">
        <f>O24/N24</f>
        <v>0.64209621993127153</v>
      </c>
      <c r="Q24" s="2054"/>
      <c r="R24" s="2054"/>
      <c r="S24" s="2054"/>
      <c r="T24" s="2054"/>
      <c r="U24" s="2054"/>
      <c r="V24" s="2054"/>
      <c r="W24" s="2054"/>
      <c r="X24" s="2054"/>
      <c r="Y24" s="2054"/>
      <c r="Z24" s="2054"/>
      <c r="AA24" s="2054"/>
      <c r="AB24" s="2054"/>
      <c r="AC24" s="2054"/>
    </row>
    <row r="25" spans="1:29" ht="14.25" x14ac:dyDescent="0.2">
      <c r="A25" s="453"/>
      <c r="B25" s="1822"/>
      <c r="C25" s="1822"/>
      <c r="D25" s="420" t="s">
        <v>1048</v>
      </c>
      <c r="E25" s="2046">
        <v>27523</v>
      </c>
      <c r="F25" s="2046">
        <v>19205</v>
      </c>
      <c r="G25" s="2055">
        <f>F25/E25</f>
        <v>0.69778003851324344</v>
      </c>
      <c r="H25" s="2046">
        <v>29601</v>
      </c>
      <c r="I25" s="2046">
        <v>21983</v>
      </c>
      <c r="J25" s="2055">
        <f>I25/H25</f>
        <v>0.74264382960035136</v>
      </c>
      <c r="K25" s="2046">
        <v>46012</v>
      </c>
      <c r="L25" s="2046">
        <v>21372</v>
      </c>
      <c r="M25" s="2055">
        <f>L25/K25</f>
        <v>0.46448752499347995</v>
      </c>
      <c r="N25" s="2924">
        <v>48831</v>
      </c>
      <c r="O25" s="2046">
        <v>22206</v>
      </c>
      <c r="P25" s="1096">
        <f>O25/N25</f>
        <v>0.45475210419610496</v>
      </c>
      <c r="Q25" s="2030"/>
      <c r="R25" s="2027"/>
      <c r="S25" s="2027"/>
      <c r="T25" s="2027"/>
      <c r="U25" s="2027"/>
      <c r="V25" s="2025"/>
      <c r="W25" s="2025"/>
      <c r="X25" s="2025"/>
      <c r="Y25" s="1840"/>
      <c r="Z25" s="1824"/>
      <c r="AA25" s="1824"/>
      <c r="AB25" s="1824"/>
      <c r="AC25" s="1824"/>
    </row>
    <row r="26" spans="1:29" s="2063" customFormat="1" ht="14.25" x14ac:dyDescent="0.2">
      <c r="A26" s="2056"/>
      <c r="B26" s="2057"/>
      <c r="C26" s="2057"/>
      <c r="D26" s="1091" t="s">
        <v>1047</v>
      </c>
      <c r="E26" s="2058">
        <v>2993</v>
      </c>
      <c r="F26" s="2058">
        <v>901</v>
      </c>
      <c r="G26" s="2059">
        <f>F26/E26</f>
        <v>0.30103575008352823</v>
      </c>
      <c r="H26" s="2058">
        <v>5164</v>
      </c>
      <c r="I26" s="2058">
        <v>2337</v>
      </c>
      <c r="J26" s="2059">
        <f>I26/H26</f>
        <v>0.45255615801704108</v>
      </c>
      <c r="K26" s="2058">
        <v>7747</v>
      </c>
      <c r="L26" s="2058">
        <v>2129</v>
      </c>
      <c r="M26" s="2059">
        <f>L26/K26</f>
        <v>0.27481605782883695</v>
      </c>
      <c r="N26" s="2925">
        <v>12006</v>
      </c>
      <c r="O26" s="2058">
        <v>3663</v>
      </c>
      <c r="P26" s="2016">
        <f>O26/N26</f>
        <v>0.30509745127436283</v>
      </c>
      <c r="Q26" s="2060"/>
      <c r="R26" s="2061"/>
      <c r="S26" s="2061"/>
      <c r="T26" s="2061"/>
      <c r="U26" s="2061"/>
      <c r="V26" s="1090"/>
      <c r="W26" s="1090"/>
      <c r="X26" s="1090"/>
      <c r="Y26" s="2062"/>
      <c r="Z26" s="2062"/>
      <c r="AA26" s="2062"/>
      <c r="AB26" s="2062"/>
      <c r="AC26" s="2062"/>
    </row>
    <row r="27" spans="1:29" ht="14.25" x14ac:dyDescent="0.2">
      <c r="A27" s="453"/>
      <c r="B27" s="1822"/>
      <c r="C27" s="1822"/>
      <c r="D27" s="424"/>
      <c r="E27" s="1995"/>
      <c r="F27" s="1995"/>
      <c r="G27" s="1995"/>
      <c r="H27" s="1995"/>
      <c r="I27" s="1995"/>
      <c r="J27" s="1995"/>
      <c r="K27" s="1995"/>
      <c r="L27" s="1823"/>
      <c r="M27" s="1823"/>
      <c r="N27" s="1823"/>
      <c r="O27" s="1823"/>
      <c r="P27" s="1823"/>
      <c r="Q27" s="138"/>
      <c r="R27" s="138"/>
      <c r="S27" s="138"/>
      <c r="T27" s="1824"/>
      <c r="U27" s="1824"/>
      <c r="V27" s="1824"/>
      <c r="W27" s="1824"/>
      <c r="X27" s="1824"/>
    </row>
    <row r="28" spans="1:29" s="2034" customFormat="1" ht="14.25" x14ac:dyDescent="0.2">
      <c r="A28" s="650"/>
      <c r="B28" s="1839"/>
      <c r="C28" s="1839"/>
      <c r="D28" s="424"/>
      <c r="E28" s="1995"/>
      <c r="F28" s="1995"/>
      <c r="G28" s="1995"/>
      <c r="H28" s="1995"/>
      <c r="I28" s="1995"/>
      <c r="J28" s="1995"/>
      <c r="K28" s="1995"/>
      <c r="L28" s="2025"/>
      <c r="M28" s="2025"/>
      <c r="N28" s="2025"/>
      <c r="O28" s="2025"/>
      <c r="P28" s="2025"/>
      <c r="Q28" s="138"/>
      <c r="R28" s="138"/>
      <c r="S28" s="138"/>
      <c r="T28" s="1840"/>
      <c r="U28" s="1840"/>
      <c r="V28" s="1840"/>
      <c r="W28" s="1840"/>
      <c r="X28" s="1840"/>
    </row>
    <row r="29" spans="1:29" s="2034" customFormat="1" ht="14.25" x14ac:dyDescent="0.2">
      <c r="A29" s="650"/>
      <c r="B29" s="1839"/>
      <c r="C29" s="1839"/>
      <c r="D29" s="424"/>
      <c r="E29" s="1995"/>
      <c r="F29" s="1995"/>
      <c r="G29" s="1995"/>
      <c r="H29" s="1995"/>
      <c r="I29" s="1995"/>
      <c r="J29" s="1995"/>
      <c r="K29" s="1995"/>
      <c r="L29" s="2025"/>
      <c r="M29" s="2025"/>
      <c r="N29" s="2025"/>
      <c r="O29" s="2025"/>
      <c r="P29" s="2025"/>
      <c r="Q29" s="138"/>
      <c r="R29" s="138"/>
      <c r="S29" s="138"/>
      <c r="T29" s="1840"/>
      <c r="U29" s="1840"/>
      <c r="V29" s="1840"/>
      <c r="W29" s="1840"/>
      <c r="X29" s="1840"/>
    </row>
    <row r="30" spans="1:29" ht="14.25" x14ac:dyDescent="0.2">
      <c r="A30" s="453"/>
      <c r="B30" s="1822"/>
      <c r="C30" s="1822"/>
      <c r="D30" s="424"/>
      <c r="E30" s="1995"/>
      <c r="F30" s="1995"/>
      <c r="G30" s="1995"/>
      <c r="H30" s="1995"/>
      <c r="I30" s="1995"/>
      <c r="J30" s="1995"/>
      <c r="K30" s="1995"/>
      <c r="L30" s="1823"/>
      <c r="M30" s="1823"/>
      <c r="N30" s="1823"/>
      <c r="O30" s="1823"/>
      <c r="P30" s="1823"/>
      <c r="Q30" s="2054"/>
      <c r="R30" s="2054"/>
      <c r="S30" s="2054"/>
      <c r="T30" s="1824"/>
      <c r="U30" s="1824"/>
      <c r="V30" s="1824"/>
      <c r="W30" s="1824"/>
      <c r="X30" s="1824"/>
    </row>
    <row r="31" spans="1:29" ht="15" customHeight="1" x14ac:dyDescent="0.2">
      <c r="A31" s="453">
        <v>5</v>
      </c>
      <c r="B31" s="453" t="s">
        <v>78</v>
      </c>
      <c r="C31" s="453"/>
      <c r="D31" s="3553" t="s">
        <v>698</v>
      </c>
      <c r="E31" s="3554"/>
      <c r="F31" s="3554"/>
      <c r="G31" s="3554"/>
      <c r="H31" s="3554"/>
      <c r="I31" s="3554"/>
      <c r="J31" s="3554"/>
      <c r="K31" s="3554"/>
      <c r="L31" s="3554"/>
      <c r="M31" s="3554"/>
      <c r="N31" s="3554"/>
      <c r="O31" s="3554"/>
      <c r="P31" s="3555"/>
      <c r="Q31" s="2054"/>
      <c r="R31" s="2054"/>
      <c r="S31" s="2054"/>
      <c r="T31" s="1824"/>
      <c r="U31" s="1824"/>
      <c r="V31" s="1824"/>
      <c r="W31" s="1824"/>
      <c r="X31" s="1824"/>
    </row>
    <row r="32" spans="1:29" ht="14.25" customHeight="1" x14ac:dyDescent="0.2">
      <c r="A32" s="453">
        <v>6</v>
      </c>
      <c r="B32" s="453" t="s">
        <v>83</v>
      </c>
      <c r="C32" s="453"/>
      <c r="D32" s="3553" t="s">
        <v>910</v>
      </c>
      <c r="E32" s="3554"/>
      <c r="F32" s="3554"/>
      <c r="G32" s="3554"/>
      <c r="H32" s="3554"/>
      <c r="I32" s="3554"/>
      <c r="J32" s="3554"/>
      <c r="K32" s="3554"/>
      <c r="L32" s="3554"/>
      <c r="M32" s="3554"/>
      <c r="N32" s="3554"/>
      <c r="O32" s="3554"/>
      <c r="P32" s="3555"/>
      <c r="Q32" s="2054"/>
      <c r="R32" s="2054"/>
      <c r="S32" s="2054"/>
      <c r="T32" s="1824"/>
      <c r="U32" s="1824"/>
      <c r="V32" s="1824"/>
      <c r="W32" s="1824"/>
      <c r="X32" s="1824"/>
    </row>
    <row r="33" spans="1:24" ht="14.25" customHeight="1" x14ac:dyDescent="0.2">
      <c r="A33" s="472">
        <v>7</v>
      </c>
      <c r="B33" s="472" t="s">
        <v>80</v>
      </c>
      <c r="C33" s="472"/>
      <c r="D33" s="3578" t="s">
        <v>1046</v>
      </c>
      <c r="E33" s="3579"/>
      <c r="F33" s="3579"/>
      <c r="G33" s="3579"/>
      <c r="H33" s="3579"/>
      <c r="I33" s="3579"/>
      <c r="J33" s="3579"/>
      <c r="K33" s="3579"/>
      <c r="L33" s="3579"/>
      <c r="M33" s="3579"/>
      <c r="N33" s="3579"/>
      <c r="O33" s="3579"/>
      <c r="P33" s="3580"/>
      <c r="Q33" s="2043"/>
      <c r="R33" s="2043"/>
      <c r="S33" s="2043"/>
      <c r="T33" s="1824"/>
      <c r="U33" s="1824"/>
      <c r="V33" s="1824"/>
      <c r="W33" s="1824"/>
      <c r="X33" s="1824"/>
    </row>
    <row r="34" spans="1:24" ht="14.25" customHeight="1" x14ac:dyDescent="0.2">
      <c r="A34" s="453">
        <v>8</v>
      </c>
      <c r="B34" s="453" t="s">
        <v>20</v>
      </c>
      <c r="C34" s="453"/>
      <c r="D34" s="3553" t="s">
        <v>1045</v>
      </c>
      <c r="E34" s="3554"/>
      <c r="F34" s="3554"/>
      <c r="G34" s="3554"/>
      <c r="H34" s="3554"/>
      <c r="I34" s="3554"/>
      <c r="J34" s="3554"/>
      <c r="K34" s="3554"/>
      <c r="L34" s="3554"/>
      <c r="M34" s="3554"/>
      <c r="N34" s="3554"/>
      <c r="O34" s="3554"/>
      <c r="P34" s="3555"/>
      <c r="Q34" s="2043"/>
      <c r="R34" s="2043"/>
      <c r="S34" s="2043"/>
      <c r="T34" s="1824"/>
      <c r="U34" s="1824"/>
      <c r="V34" s="1824"/>
      <c r="W34" s="1824"/>
      <c r="X34" s="1824"/>
    </row>
    <row r="35" spans="1:24" ht="14.25" x14ac:dyDescent="0.2">
      <c r="A35" s="637"/>
      <c r="B35" s="2064"/>
      <c r="C35" s="2064"/>
      <c r="D35" s="1824"/>
      <c r="E35" s="1824"/>
      <c r="F35" s="1824"/>
      <c r="G35" s="1824"/>
      <c r="H35" s="1824"/>
      <c r="I35" s="1824"/>
      <c r="J35" s="1824"/>
      <c r="K35" s="1824"/>
      <c r="L35" s="1824"/>
      <c r="M35" s="1824"/>
      <c r="N35" s="1824"/>
      <c r="O35" s="1824"/>
      <c r="P35" s="1824"/>
      <c r="Q35" s="1824"/>
      <c r="R35" s="1824"/>
      <c r="S35" s="2065"/>
      <c r="T35" s="1824"/>
      <c r="U35" s="1824"/>
      <c r="V35" s="1824"/>
      <c r="W35" s="1824"/>
      <c r="X35" s="1824"/>
    </row>
    <row r="36" spans="1:24" ht="14.25" x14ac:dyDescent="0.2">
      <c r="A36" s="637"/>
      <c r="B36" s="2064"/>
      <c r="C36" s="2064"/>
      <c r="D36" s="1824"/>
      <c r="E36" s="1824"/>
      <c r="F36" s="1824"/>
      <c r="G36" s="1824"/>
      <c r="H36" s="1824"/>
      <c r="I36" s="1824"/>
      <c r="J36" s="1824"/>
      <c r="K36" s="1824"/>
      <c r="L36" s="1824"/>
      <c r="M36" s="1824"/>
      <c r="N36" s="1824"/>
      <c r="O36" s="1824"/>
      <c r="P36" s="1824"/>
      <c r="Q36" s="1824"/>
      <c r="R36" s="1824"/>
      <c r="S36" s="1824"/>
      <c r="T36" s="1824"/>
      <c r="U36" s="1824"/>
      <c r="V36" s="1824"/>
      <c r="W36" s="1824"/>
      <c r="X36" s="1824"/>
    </row>
    <row r="37" spans="1:24" ht="14.25" x14ac:dyDescent="0.2">
      <c r="A37" s="637"/>
      <c r="B37" s="2064"/>
      <c r="C37" s="2064"/>
      <c r="D37" s="1824"/>
      <c r="E37" s="1824"/>
      <c r="F37" s="1824"/>
      <c r="G37" s="1824"/>
      <c r="H37" s="1824"/>
      <c r="I37" s="1824"/>
      <c r="J37" s="1824"/>
      <c r="K37" s="1824"/>
      <c r="L37" s="1824"/>
      <c r="M37" s="1824"/>
      <c r="N37" s="1824"/>
      <c r="O37" s="1824"/>
      <c r="P37" s="1824"/>
      <c r="Q37" s="1824"/>
      <c r="R37" s="1824"/>
      <c r="S37" s="1824"/>
      <c r="T37" s="1824"/>
      <c r="U37" s="1824"/>
      <c r="V37" s="1824"/>
      <c r="W37" s="1824"/>
      <c r="X37" s="1824"/>
    </row>
    <row r="38" spans="1:24" ht="14.25" x14ac:dyDescent="0.2">
      <c r="A38" s="637"/>
      <c r="B38" s="2064"/>
      <c r="C38" s="2064"/>
      <c r="D38" s="1824"/>
      <c r="E38" s="1824"/>
      <c r="F38" s="1824"/>
      <c r="G38" s="1824"/>
      <c r="H38" s="1824"/>
      <c r="I38" s="1824"/>
      <c r="J38" s="1824"/>
      <c r="K38" s="1824"/>
      <c r="L38" s="1824"/>
      <c r="M38" s="1824"/>
      <c r="N38" s="1824"/>
      <c r="O38" s="1824"/>
      <c r="P38" s="1824"/>
      <c r="Q38" s="1824"/>
      <c r="R38" s="1824"/>
      <c r="S38" s="1824"/>
      <c r="T38" s="1824"/>
      <c r="U38" s="1824"/>
      <c r="V38" s="1824"/>
      <c r="W38" s="1824"/>
      <c r="X38" s="1824"/>
    </row>
    <row r="39" spans="1:24" ht="14.25" x14ac:dyDescent="0.2">
      <c r="A39" s="637"/>
      <c r="B39" s="2064"/>
      <c r="C39" s="2064"/>
      <c r="D39" s="1824"/>
      <c r="E39" s="1824"/>
      <c r="F39" s="1824"/>
      <c r="G39" s="1824"/>
      <c r="H39" s="1824"/>
      <c r="I39" s="1824"/>
      <c r="J39" s="1824"/>
      <c r="K39" s="1824"/>
      <c r="L39" s="1824"/>
      <c r="M39" s="1824"/>
      <c r="N39" s="1824"/>
      <c r="O39" s="1824"/>
      <c r="P39" s="1824"/>
      <c r="Q39" s="1824"/>
      <c r="R39" s="1824"/>
      <c r="S39" s="1824"/>
      <c r="T39" s="1824"/>
      <c r="U39" s="1824"/>
      <c r="V39" s="1824"/>
      <c r="W39" s="1824"/>
      <c r="X39" s="1824"/>
    </row>
    <row r="40" spans="1:24" ht="14.25" x14ac:dyDescent="0.2">
      <c r="A40" s="637"/>
      <c r="B40" s="2064"/>
      <c r="C40" s="2064"/>
      <c r="D40" s="1824"/>
      <c r="E40" s="1824"/>
      <c r="F40" s="1824"/>
      <c r="G40" s="1824"/>
      <c r="H40" s="1824"/>
      <c r="I40" s="1824"/>
      <c r="J40" s="1824"/>
      <c r="K40" s="1824"/>
      <c r="L40" s="1824"/>
      <c r="M40" s="1824"/>
      <c r="N40" s="1824"/>
      <c r="O40" s="1824"/>
      <c r="P40" s="1824"/>
      <c r="Q40" s="1824"/>
      <c r="R40" s="1824"/>
      <c r="S40" s="1824"/>
      <c r="T40" s="1824"/>
      <c r="U40" s="1824"/>
      <c r="V40" s="1824"/>
      <c r="W40" s="1824"/>
      <c r="X40" s="1824"/>
    </row>
    <row r="41" spans="1:24" ht="14.25" x14ac:dyDescent="0.2">
      <c r="A41" s="637"/>
      <c r="B41" s="2064"/>
      <c r="C41" s="2064"/>
      <c r="D41" s="1824"/>
      <c r="E41" s="1824"/>
      <c r="F41" s="1824"/>
      <c r="G41" s="1824"/>
      <c r="H41" s="1824"/>
      <c r="I41" s="1824"/>
      <c r="J41" s="1824"/>
      <c r="K41" s="1824"/>
      <c r="L41" s="1824"/>
      <c r="M41" s="1824"/>
      <c r="N41" s="1824"/>
      <c r="O41" s="1824"/>
      <c r="P41" s="1824"/>
      <c r="Q41" s="1824"/>
      <c r="R41" s="1824"/>
      <c r="S41" s="1824"/>
      <c r="T41" s="1824"/>
      <c r="U41" s="1824"/>
      <c r="V41" s="1824"/>
      <c r="W41" s="1824"/>
      <c r="X41" s="1824"/>
    </row>
  </sheetData>
  <mergeCells count="13">
    <mergeCell ref="D33:P33"/>
    <mergeCell ref="D34:P34"/>
    <mergeCell ref="D2:P2"/>
    <mergeCell ref="D3:P3"/>
    <mergeCell ref="D4:P4"/>
    <mergeCell ref="D31:P31"/>
    <mergeCell ref="D32:P32"/>
    <mergeCell ref="W11:Y11"/>
    <mergeCell ref="E21:G21"/>
    <mergeCell ref="H21:J21"/>
    <mergeCell ref="N21:P21"/>
    <mergeCell ref="K21:M21"/>
    <mergeCell ref="I9:K11"/>
  </mergeCells>
  <pageMargins left="0.74803149606299213" right="0.74803149606299213" top="0.98425196850393704" bottom="0.98425196850393704" header="0.51181102362204722" footer="0.51181102362204722"/>
  <pageSetup paperSize="9" scale="7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42"/>
  <sheetViews>
    <sheetView showGridLines="0" view="pageBreakPreview" topLeftCell="D7" zoomScaleNormal="100" zoomScaleSheetLayoutView="100" workbookViewId="0">
      <selection activeCell="D4" sqref="D4:T4"/>
    </sheetView>
  </sheetViews>
  <sheetFormatPr defaultColWidth="9.140625" defaultRowHeight="12" x14ac:dyDescent="0.2"/>
  <cols>
    <col min="1" max="1" width="3.7109375" style="1687" customWidth="1"/>
    <col min="2" max="2" width="14.42578125" style="1688" customWidth="1"/>
    <col min="3" max="3" width="3.7109375" style="1688" customWidth="1"/>
    <col min="4" max="4" width="18.140625" style="428" customWidth="1"/>
    <col min="5" max="13" width="9.140625" style="428"/>
    <col min="14" max="14" width="7.7109375" style="428" customWidth="1"/>
    <col min="15" max="17" width="8.5703125" style="428" customWidth="1"/>
    <col min="18" max="257" width="9.140625" style="428"/>
    <col min="258" max="258" width="3.7109375" style="428" customWidth="1"/>
    <col min="259" max="259" width="14.42578125" style="428" customWidth="1"/>
    <col min="260" max="260" width="3.7109375" style="428" customWidth="1"/>
    <col min="261" max="261" width="18.140625" style="428" customWidth="1"/>
    <col min="262" max="263" width="9.140625" style="428"/>
    <col min="264" max="264" width="8.42578125" style="428" customWidth="1"/>
    <col min="265" max="266" width="9.140625" style="428"/>
    <col min="267" max="267" width="7.7109375" style="428" customWidth="1"/>
    <col min="268" max="269" width="9.140625" style="428"/>
    <col min="270" max="270" width="8.7109375" style="428" customWidth="1"/>
    <col min="271" max="271" width="7.7109375" style="428" customWidth="1"/>
    <col min="272" max="272" width="8.5703125" style="428" customWidth="1"/>
    <col min="273" max="273" width="9" style="428" customWidth="1"/>
    <col min="274" max="513" width="9.140625" style="428"/>
    <col min="514" max="514" width="3.7109375" style="428" customWidth="1"/>
    <col min="515" max="515" width="14.42578125" style="428" customWidth="1"/>
    <col min="516" max="516" width="3.7109375" style="428" customWidth="1"/>
    <col min="517" max="517" width="18.140625" style="428" customWidth="1"/>
    <col min="518" max="519" width="9.140625" style="428"/>
    <col min="520" max="520" width="8.42578125" style="428" customWidth="1"/>
    <col min="521" max="522" width="9.140625" style="428"/>
    <col min="523" max="523" width="7.7109375" style="428" customWidth="1"/>
    <col min="524" max="525" width="9.140625" style="428"/>
    <col min="526" max="526" width="8.7109375" style="428" customWidth="1"/>
    <col min="527" max="527" width="7.7109375" style="428" customWidth="1"/>
    <col min="528" max="528" width="8.5703125" style="428" customWidth="1"/>
    <col min="529" max="529" width="9" style="428" customWidth="1"/>
    <col min="530" max="769" width="9.140625" style="428"/>
    <col min="770" max="770" width="3.7109375" style="428" customWidth="1"/>
    <col min="771" max="771" width="14.42578125" style="428" customWidth="1"/>
    <col min="772" max="772" width="3.7109375" style="428" customWidth="1"/>
    <col min="773" max="773" width="18.140625" style="428" customWidth="1"/>
    <col min="774" max="775" width="9.140625" style="428"/>
    <col min="776" max="776" width="8.42578125" style="428" customWidth="1"/>
    <col min="777" max="778" width="9.140625" style="428"/>
    <col min="779" max="779" width="7.7109375" style="428" customWidth="1"/>
    <col min="780" max="781" width="9.140625" style="428"/>
    <col min="782" max="782" width="8.7109375" style="428" customWidth="1"/>
    <col min="783" max="783" width="7.7109375" style="428" customWidth="1"/>
    <col min="784" max="784" width="8.5703125" style="428" customWidth="1"/>
    <col min="785" max="785" width="9" style="428" customWidth="1"/>
    <col min="786" max="1025" width="9.140625" style="428"/>
    <col min="1026" max="1026" width="3.7109375" style="428" customWidth="1"/>
    <col min="1027" max="1027" width="14.42578125" style="428" customWidth="1"/>
    <col min="1028" max="1028" width="3.7109375" style="428" customWidth="1"/>
    <col min="1029" max="1029" width="18.140625" style="428" customWidth="1"/>
    <col min="1030" max="1031" width="9.140625" style="428"/>
    <col min="1032" max="1032" width="8.42578125" style="428" customWidth="1"/>
    <col min="1033" max="1034" width="9.140625" style="428"/>
    <col min="1035" max="1035" width="7.7109375" style="428" customWidth="1"/>
    <col min="1036" max="1037" width="9.140625" style="428"/>
    <col min="1038" max="1038" width="8.7109375" style="428" customWidth="1"/>
    <col min="1039" max="1039" width="7.7109375" style="428" customWidth="1"/>
    <col min="1040" max="1040" width="8.5703125" style="428" customWidth="1"/>
    <col min="1041" max="1041" width="9" style="428" customWidth="1"/>
    <col min="1042" max="1281" width="9.140625" style="428"/>
    <col min="1282" max="1282" width="3.7109375" style="428" customWidth="1"/>
    <col min="1283" max="1283" width="14.42578125" style="428" customWidth="1"/>
    <col min="1284" max="1284" width="3.7109375" style="428" customWidth="1"/>
    <col min="1285" max="1285" width="18.140625" style="428" customWidth="1"/>
    <col min="1286" max="1287" width="9.140625" style="428"/>
    <col min="1288" max="1288" width="8.42578125" style="428" customWidth="1"/>
    <col min="1289" max="1290" width="9.140625" style="428"/>
    <col min="1291" max="1291" width="7.7109375" style="428" customWidth="1"/>
    <col min="1292" max="1293" width="9.140625" style="428"/>
    <col min="1294" max="1294" width="8.7109375" style="428" customWidth="1"/>
    <col min="1295" max="1295" width="7.7109375" style="428" customWidth="1"/>
    <col min="1296" max="1296" width="8.5703125" style="428" customWidth="1"/>
    <col min="1297" max="1297" width="9" style="428" customWidth="1"/>
    <col min="1298" max="1537" width="9.140625" style="428"/>
    <col min="1538" max="1538" width="3.7109375" style="428" customWidth="1"/>
    <col min="1539" max="1539" width="14.42578125" style="428" customWidth="1"/>
    <col min="1540" max="1540" width="3.7109375" style="428" customWidth="1"/>
    <col min="1541" max="1541" width="18.140625" style="428" customWidth="1"/>
    <col min="1542" max="1543" width="9.140625" style="428"/>
    <col min="1544" max="1544" width="8.42578125" style="428" customWidth="1"/>
    <col min="1545" max="1546" width="9.140625" style="428"/>
    <col min="1547" max="1547" width="7.7109375" style="428" customWidth="1"/>
    <col min="1548" max="1549" width="9.140625" style="428"/>
    <col min="1550" max="1550" width="8.7109375" style="428" customWidth="1"/>
    <col min="1551" max="1551" width="7.7109375" style="428" customWidth="1"/>
    <col min="1552" max="1552" width="8.5703125" style="428" customWidth="1"/>
    <col min="1553" max="1553" width="9" style="428" customWidth="1"/>
    <col min="1554" max="1793" width="9.140625" style="428"/>
    <col min="1794" max="1794" width="3.7109375" style="428" customWidth="1"/>
    <col min="1795" max="1795" width="14.42578125" style="428" customWidth="1"/>
    <col min="1796" max="1796" width="3.7109375" style="428" customWidth="1"/>
    <col min="1797" max="1797" width="18.140625" style="428" customWidth="1"/>
    <col min="1798" max="1799" width="9.140625" style="428"/>
    <col min="1800" max="1800" width="8.42578125" style="428" customWidth="1"/>
    <col min="1801" max="1802" width="9.140625" style="428"/>
    <col min="1803" max="1803" width="7.7109375" style="428" customWidth="1"/>
    <col min="1804" max="1805" width="9.140625" style="428"/>
    <col min="1806" max="1806" width="8.7109375" style="428" customWidth="1"/>
    <col min="1807" max="1807" width="7.7109375" style="428" customWidth="1"/>
    <col min="1808" max="1808" width="8.5703125" style="428" customWidth="1"/>
    <col min="1809" max="1809" width="9" style="428" customWidth="1"/>
    <col min="1810" max="2049" width="9.140625" style="428"/>
    <col min="2050" max="2050" width="3.7109375" style="428" customWidth="1"/>
    <col min="2051" max="2051" width="14.42578125" style="428" customWidth="1"/>
    <col min="2052" max="2052" width="3.7109375" style="428" customWidth="1"/>
    <col min="2053" max="2053" width="18.140625" style="428" customWidth="1"/>
    <col min="2054" max="2055" width="9.140625" style="428"/>
    <col min="2056" max="2056" width="8.42578125" style="428" customWidth="1"/>
    <col min="2057" max="2058" width="9.140625" style="428"/>
    <col min="2059" max="2059" width="7.7109375" style="428" customWidth="1"/>
    <col min="2060" max="2061" width="9.140625" style="428"/>
    <col min="2062" max="2062" width="8.7109375" style="428" customWidth="1"/>
    <col min="2063" max="2063" width="7.7109375" style="428" customWidth="1"/>
    <col min="2064" max="2064" width="8.5703125" style="428" customWidth="1"/>
    <col min="2065" max="2065" width="9" style="428" customWidth="1"/>
    <col min="2066" max="2305" width="9.140625" style="428"/>
    <col min="2306" max="2306" width="3.7109375" style="428" customWidth="1"/>
    <col min="2307" max="2307" width="14.42578125" style="428" customWidth="1"/>
    <col min="2308" max="2308" width="3.7109375" style="428" customWidth="1"/>
    <col min="2309" max="2309" width="18.140625" style="428" customWidth="1"/>
    <col min="2310" max="2311" width="9.140625" style="428"/>
    <col min="2312" max="2312" width="8.42578125" style="428" customWidth="1"/>
    <col min="2313" max="2314" width="9.140625" style="428"/>
    <col min="2315" max="2315" width="7.7109375" style="428" customWidth="1"/>
    <col min="2316" max="2317" width="9.140625" style="428"/>
    <col min="2318" max="2318" width="8.7109375" style="428" customWidth="1"/>
    <col min="2319" max="2319" width="7.7109375" style="428" customWidth="1"/>
    <col min="2320" max="2320" width="8.5703125" style="428" customWidth="1"/>
    <col min="2321" max="2321" width="9" style="428" customWidth="1"/>
    <col min="2322" max="2561" width="9.140625" style="428"/>
    <col min="2562" max="2562" width="3.7109375" style="428" customWidth="1"/>
    <col min="2563" max="2563" width="14.42578125" style="428" customWidth="1"/>
    <col min="2564" max="2564" width="3.7109375" style="428" customWidth="1"/>
    <col min="2565" max="2565" width="18.140625" style="428" customWidth="1"/>
    <col min="2566" max="2567" width="9.140625" style="428"/>
    <col min="2568" max="2568" width="8.42578125" style="428" customWidth="1"/>
    <col min="2569" max="2570" width="9.140625" style="428"/>
    <col min="2571" max="2571" width="7.7109375" style="428" customWidth="1"/>
    <col min="2572" max="2573" width="9.140625" style="428"/>
    <col min="2574" max="2574" width="8.7109375" style="428" customWidth="1"/>
    <col min="2575" max="2575" width="7.7109375" style="428" customWidth="1"/>
    <col min="2576" max="2576" width="8.5703125" style="428" customWidth="1"/>
    <col min="2577" max="2577" width="9" style="428" customWidth="1"/>
    <col min="2578" max="2817" width="9.140625" style="428"/>
    <col min="2818" max="2818" width="3.7109375" style="428" customWidth="1"/>
    <col min="2819" max="2819" width="14.42578125" style="428" customWidth="1"/>
    <col min="2820" max="2820" width="3.7109375" style="428" customWidth="1"/>
    <col min="2821" max="2821" width="18.140625" style="428" customWidth="1"/>
    <col min="2822" max="2823" width="9.140625" style="428"/>
    <col min="2824" max="2824" width="8.42578125" style="428" customWidth="1"/>
    <col min="2825" max="2826" width="9.140625" style="428"/>
    <col min="2827" max="2827" width="7.7109375" style="428" customWidth="1"/>
    <col min="2828" max="2829" width="9.140625" style="428"/>
    <col min="2830" max="2830" width="8.7109375" style="428" customWidth="1"/>
    <col min="2831" max="2831" width="7.7109375" style="428" customWidth="1"/>
    <col min="2832" max="2832" width="8.5703125" style="428" customWidth="1"/>
    <col min="2833" max="2833" width="9" style="428" customWidth="1"/>
    <col min="2834" max="3073" width="9.140625" style="428"/>
    <col min="3074" max="3074" width="3.7109375" style="428" customWidth="1"/>
    <col min="3075" max="3075" width="14.42578125" style="428" customWidth="1"/>
    <col min="3076" max="3076" width="3.7109375" style="428" customWidth="1"/>
    <col min="3077" max="3077" width="18.140625" style="428" customWidth="1"/>
    <col min="3078" max="3079" width="9.140625" style="428"/>
    <col min="3080" max="3080" width="8.42578125" style="428" customWidth="1"/>
    <col min="3081" max="3082" width="9.140625" style="428"/>
    <col min="3083" max="3083" width="7.7109375" style="428" customWidth="1"/>
    <col min="3084" max="3085" width="9.140625" style="428"/>
    <col min="3086" max="3086" width="8.7109375" style="428" customWidth="1"/>
    <col min="3087" max="3087" width="7.7109375" style="428" customWidth="1"/>
    <col min="3088" max="3088" width="8.5703125" style="428" customWidth="1"/>
    <col min="3089" max="3089" width="9" style="428" customWidth="1"/>
    <col min="3090" max="3329" width="9.140625" style="428"/>
    <col min="3330" max="3330" width="3.7109375" style="428" customWidth="1"/>
    <col min="3331" max="3331" width="14.42578125" style="428" customWidth="1"/>
    <col min="3332" max="3332" width="3.7109375" style="428" customWidth="1"/>
    <col min="3333" max="3333" width="18.140625" style="428" customWidth="1"/>
    <col min="3334" max="3335" width="9.140625" style="428"/>
    <col min="3336" max="3336" width="8.42578125" style="428" customWidth="1"/>
    <col min="3337" max="3338" width="9.140625" style="428"/>
    <col min="3339" max="3339" width="7.7109375" style="428" customWidth="1"/>
    <col min="3340" max="3341" width="9.140625" style="428"/>
    <col min="3342" max="3342" width="8.7109375" style="428" customWidth="1"/>
    <col min="3343" max="3343" width="7.7109375" style="428" customWidth="1"/>
    <col min="3344" max="3344" width="8.5703125" style="428" customWidth="1"/>
    <col min="3345" max="3345" width="9" style="428" customWidth="1"/>
    <col min="3346" max="3585" width="9.140625" style="428"/>
    <col min="3586" max="3586" width="3.7109375" style="428" customWidth="1"/>
    <col min="3587" max="3587" width="14.42578125" style="428" customWidth="1"/>
    <col min="3588" max="3588" width="3.7109375" style="428" customWidth="1"/>
    <col min="3589" max="3589" width="18.140625" style="428" customWidth="1"/>
    <col min="3590" max="3591" width="9.140625" style="428"/>
    <col min="3592" max="3592" width="8.42578125" style="428" customWidth="1"/>
    <col min="3593" max="3594" width="9.140625" style="428"/>
    <col min="3595" max="3595" width="7.7109375" style="428" customWidth="1"/>
    <col min="3596" max="3597" width="9.140625" style="428"/>
    <col min="3598" max="3598" width="8.7109375" style="428" customWidth="1"/>
    <col min="3599" max="3599" width="7.7109375" style="428" customWidth="1"/>
    <col min="3600" max="3600" width="8.5703125" style="428" customWidth="1"/>
    <col min="3601" max="3601" width="9" style="428" customWidth="1"/>
    <col min="3602" max="3841" width="9.140625" style="428"/>
    <col min="3842" max="3842" width="3.7109375" style="428" customWidth="1"/>
    <col min="3843" max="3843" width="14.42578125" style="428" customWidth="1"/>
    <col min="3844" max="3844" width="3.7109375" style="428" customWidth="1"/>
    <col min="3845" max="3845" width="18.140625" style="428" customWidth="1"/>
    <col min="3846" max="3847" width="9.140625" style="428"/>
    <col min="3848" max="3848" width="8.42578125" style="428" customWidth="1"/>
    <col min="3849" max="3850" width="9.140625" style="428"/>
    <col min="3851" max="3851" width="7.7109375" style="428" customWidth="1"/>
    <col min="3852" max="3853" width="9.140625" style="428"/>
    <col min="3854" max="3854" width="8.7109375" style="428" customWidth="1"/>
    <col min="3855" max="3855" width="7.7109375" style="428" customWidth="1"/>
    <col min="3856" max="3856" width="8.5703125" style="428" customWidth="1"/>
    <col min="3857" max="3857" width="9" style="428" customWidth="1"/>
    <col min="3858" max="4097" width="9.140625" style="428"/>
    <col min="4098" max="4098" width="3.7109375" style="428" customWidth="1"/>
    <col min="4099" max="4099" width="14.42578125" style="428" customWidth="1"/>
    <col min="4100" max="4100" width="3.7109375" style="428" customWidth="1"/>
    <col min="4101" max="4101" width="18.140625" style="428" customWidth="1"/>
    <col min="4102" max="4103" width="9.140625" style="428"/>
    <col min="4104" max="4104" width="8.42578125" style="428" customWidth="1"/>
    <col min="4105" max="4106" width="9.140625" style="428"/>
    <col min="4107" max="4107" width="7.7109375" style="428" customWidth="1"/>
    <col min="4108" max="4109" width="9.140625" style="428"/>
    <col min="4110" max="4110" width="8.7109375" style="428" customWidth="1"/>
    <col min="4111" max="4111" width="7.7109375" style="428" customWidth="1"/>
    <col min="4112" max="4112" width="8.5703125" style="428" customWidth="1"/>
    <col min="4113" max="4113" width="9" style="428" customWidth="1"/>
    <col min="4114" max="4353" width="9.140625" style="428"/>
    <col min="4354" max="4354" width="3.7109375" style="428" customWidth="1"/>
    <col min="4355" max="4355" width="14.42578125" style="428" customWidth="1"/>
    <col min="4356" max="4356" width="3.7109375" style="428" customWidth="1"/>
    <col min="4357" max="4357" width="18.140625" style="428" customWidth="1"/>
    <col min="4358" max="4359" width="9.140625" style="428"/>
    <col min="4360" max="4360" width="8.42578125" style="428" customWidth="1"/>
    <col min="4361" max="4362" width="9.140625" style="428"/>
    <col min="4363" max="4363" width="7.7109375" style="428" customWidth="1"/>
    <col min="4364" max="4365" width="9.140625" style="428"/>
    <col min="4366" max="4366" width="8.7109375" style="428" customWidth="1"/>
    <col min="4367" max="4367" width="7.7109375" style="428" customWidth="1"/>
    <col min="4368" max="4368" width="8.5703125" style="428" customWidth="1"/>
    <col min="4369" max="4369" width="9" style="428" customWidth="1"/>
    <col min="4370" max="4609" width="9.140625" style="428"/>
    <col min="4610" max="4610" width="3.7109375" style="428" customWidth="1"/>
    <col min="4611" max="4611" width="14.42578125" style="428" customWidth="1"/>
    <col min="4612" max="4612" width="3.7109375" style="428" customWidth="1"/>
    <col min="4613" max="4613" width="18.140625" style="428" customWidth="1"/>
    <col min="4614" max="4615" width="9.140625" style="428"/>
    <col min="4616" max="4616" width="8.42578125" style="428" customWidth="1"/>
    <col min="4617" max="4618" width="9.140625" style="428"/>
    <col min="4619" max="4619" width="7.7109375" style="428" customWidth="1"/>
    <col min="4620" max="4621" width="9.140625" style="428"/>
    <col min="4622" max="4622" width="8.7109375" style="428" customWidth="1"/>
    <col min="4623" max="4623" width="7.7109375" style="428" customWidth="1"/>
    <col min="4624" max="4624" width="8.5703125" style="428" customWidth="1"/>
    <col min="4625" max="4625" width="9" style="428" customWidth="1"/>
    <col min="4626" max="4865" width="9.140625" style="428"/>
    <col min="4866" max="4866" width="3.7109375" style="428" customWidth="1"/>
    <col min="4867" max="4867" width="14.42578125" style="428" customWidth="1"/>
    <col min="4868" max="4868" width="3.7109375" style="428" customWidth="1"/>
    <col min="4869" max="4869" width="18.140625" style="428" customWidth="1"/>
    <col min="4870" max="4871" width="9.140625" style="428"/>
    <col min="4872" max="4872" width="8.42578125" style="428" customWidth="1"/>
    <col min="4873" max="4874" width="9.140625" style="428"/>
    <col min="4875" max="4875" width="7.7109375" style="428" customWidth="1"/>
    <col min="4876" max="4877" width="9.140625" style="428"/>
    <col min="4878" max="4878" width="8.7109375" style="428" customWidth="1"/>
    <col min="4879" max="4879" width="7.7109375" style="428" customWidth="1"/>
    <col min="4880" max="4880" width="8.5703125" style="428" customWidth="1"/>
    <col min="4881" max="4881" width="9" style="428" customWidth="1"/>
    <col min="4882" max="5121" width="9.140625" style="428"/>
    <col min="5122" max="5122" width="3.7109375" style="428" customWidth="1"/>
    <col min="5123" max="5123" width="14.42578125" style="428" customWidth="1"/>
    <col min="5124" max="5124" width="3.7109375" style="428" customWidth="1"/>
    <col min="5125" max="5125" width="18.140625" style="428" customWidth="1"/>
    <col min="5126" max="5127" width="9.140625" style="428"/>
    <col min="5128" max="5128" width="8.42578125" style="428" customWidth="1"/>
    <col min="5129" max="5130" width="9.140625" style="428"/>
    <col min="5131" max="5131" width="7.7109375" style="428" customWidth="1"/>
    <col min="5132" max="5133" width="9.140625" style="428"/>
    <col min="5134" max="5134" width="8.7109375" style="428" customWidth="1"/>
    <col min="5135" max="5135" width="7.7109375" style="428" customWidth="1"/>
    <col min="5136" max="5136" width="8.5703125" style="428" customWidth="1"/>
    <col min="5137" max="5137" width="9" style="428" customWidth="1"/>
    <col min="5138" max="5377" width="9.140625" style="428"/>
    <col min="5378" max="5378" width="3.7109375" style="428" customWidth="1"/>
    <col min="5379" max="5379" width="14.42578125" style="428" customWidth="1"/>
    <col min="5380" max="5380" width="3.7109375" style="428" customWidth="1"/>
    <col min="5381" max="5381" width="18.140625" style="428" customWidth="1"/>
    <col min="5382" max="5383" width="9.140625" style="428"/>
    <col min="5384" max="5384" width="8.42578125" style="428" customWidth="1"/>
    <col min="5385" max="5386" width="9.140625" style="428"/>
    <col min="5387" max="5387" width="7.7109375" style="428" customWidth="1"/>
    <col min="5388" max="5389" width="9.140625" style="428"/>
    <col min="5390" max="5390" width="8.7109375" style="428" customWidth="1"/>
    <col min="5391" max="5391" width="7.7109375" style="428" customWidth="1"/>
    <col min="5392" max="5392" width="8.5703125" style="428" customWidth="1"/>
    <col min="5393" max="5393" width="9" style="428" customWidth="1"/>
    <col min="5394" max="5633" width="9.140625" style="428"/>
    <col min="5634" max="5634" width="3.7109375" style="428" customWidth="1"/>
    <col min="5635" max="5635" width="14.42578125" style="428" customWidth="1"/>
    <col min="5636" max="5636" width="3.7109375" style="428" customWidth="1"/>
    <col min="5637" max="5637" width="18.140625" style="428" customWidth="1"/>
    <col min="5638" max="5639" width="9.140625" style="428"/>
    <col min="5640" max="5640" width="8.42578125" style="428" customWidth="1"/>
    <col min="5641" max="5642" width="9.140625" style="428"/>
    <col min="5643" max="5643" width="7.7109375" style="428" customWidth="1"/>
    <col min="5644" max="5645" width="9.140625" style="428"/>
    <col min="5646" max="5646" width="8.7109375" style="428" customWidth="1"/>
    <col min="5647" max="5647" width="7.7109375" style="428" customWidth="1"/>
    <col min="5648" max="5648" width="8.5703125" style="428" customWidth="1"/>
    <col min="5649" max="5649" width="9" style="428" customWidth="1"/>
    <col min="5650" max="5889" width="9.140625" style="428"/>
    <col min="5890" max="5890" width="3.7109375" style="428" customWidth="1"/>
    <col min="5891" max="5891" width="14.42578125" style="428" customWidth="1"/>
    <col min="5892" max="5892" width="3.7109375" style="428" customWidth="1"/>
    <col min="5893" max="5893" width="18.140625" style="428" customWidth="1"/>
    <col min="5894" max="5895" width="9.140625" style="428"/>
    <col min="5896" max="5896" width="8.42578125" style="428" customWidth="1"/>
    <col min="5897" max="5898" width="9.140625" style="428"/>
    <col min="5899" max="5899" width="7.7109375" style="428" customWidth="1"/>
    <col min="5900" max="5901" width="9.140625" style="428"/>
    <col min="5902" max="5902" width="8.7109375" style="428" customWidth="1"/>
    <col min="5903" max="5903" width="7.7109375" style="428" customWidth="1"/>
    <col min="5904" max="5904" width="8.5703125" style="428" customWidth="1"/>
    <col min="5905" max="5905" width="9" style="428" customWidth="1"/>
    <col min="5906" max="6145" width="9.140625" style="428"/>
    <col min="6146" max="6146" width="3.7109375" style="428" customWidth="1"/>
    <col min="6147" max="6147" width="14.42578125" style="428" customWidth="1"/>
    <col min="6148" max="6148" width="3.7109375" style="428" customWidth="1"/>
    <col min="6149" max="6149" width="18.140625" style="428" customWidth="1"/>
    <col min="6150" max="6151" width="9.140625" style="428"/>
    <col min="6152" max="6152" width="8.42578125" style="428" customWidth="1"/>
    <col min="6153" max="6154" width="9.140625" style="428"/>
    <col min="6155" max="6155" width="7.7109375" style="428" customWidth="1"/>
    <col min="6156" max="6157" width="9.140625" style="428"/>
    <col min="6158" max="6158" width="8.7109375" style="428" customWidth="1"/>
    <col min="6159" max="6159" width="7.7109375" style="428" customWidth="1"/>
    <col min="6160" max="6160" width="8.5703125" style="428" customWidth="1"/>
    <col min="6161" max="6161" width="9" style="428" customWidth="1"/>
    <col min="6162" max="6401" width="9.140625" style="428"/>
    <col min="6402" max="6402" width="3.7109375" style="428" customWidth="1"/>
    <col min="6403" max="6403" width="14.42578125" style="428" customWidth="1"/>
    <col min="6404" max="6404" width="3.7109375" style="428" customWidth="1"/>
    <col min="6405" max="6405" width="18.140625" style="428" customWidth="1"/>
    <col min="6406" max="6407" width="9.140625" style="428"/>
    <col min="6408" max="6408" width="8.42578125" style="428" customWidth="1"/>
    <col min="6409" max="6410" width="9.140625" style="428"/>
    <col min="6411" max="6411" width="7.7109375" style="428" customWidth="1"/>
    <col min="6412" max="6413" width="9.140625" style="428"/>
    <col min="6414" max="6414" width="8.7109375" style="428" customWidth="1"/>
    <col min="6415" max="6415" width="7.7109375" style="428" customWidth="1"/>
    <col min="6416" max="6416" width="8.5703125" style="428" customWidth="1"/>
    <col min="6417" max="6417" width="9" style="428" customWidth="1"/>
    <col min="6418" max="6657" width="9.140625" style="428"/>
    <col min="6658" max="6658" width="3.7109375" style="428" customWidth="1"/>
    <col min="6659" max="6659" width="14.42578125" style="428" customWidth="1"/>
    <col min="6660" max="6660" width="3.7109375" style="428" customWidth="1"/>
    <col min="6661" max="6661" width="18.140625" style="428" customWidth="1"/>
    <col min="6662" max="6663" width="9.140625" style="428"/>
    <col min="6664" max="6664" width="8.42578125" style="428" customWidth="1"/>
    <col min="6665" max="6666" width="9.140625" style="428"/>
    <col min="6667" max="6667" width="7.7109375" style="428" customWidth="1"/>
    <col min="6668" max="6669" width="9.140625" style="428"/>
    <col min="6670" max="6670" width="8.7109375" style="428" customWidth="1"/>
    <col min="6671" max="6671" width="7.7109375" style="428" customWidth="1"/>
    <col min="6672" max="6672" width="8.5703125" style="428" customWidth="1"/>
    <col min="6673" max="6673" width="9" style="428" customWidth="1"/>
    <col min="6674" max="6913" width="9.140625" style="428"/>
    <col min="6914" max="6914" width="3.7109375" style="428" customWidth="1"/>
    <col min="6915" max="6915" width="14.42578125" style="428" customWidth="1"/>
    <col min="6916" max="6916" width="3.7109375" style="428" customWidth="1"/>
    <col min="6917" max="6917" width="18.140625" style="428" customWidth="1"/>
    <col min="6918" max="6919" width="9.140625" style="428"/>
    <col min="6920" max="6920" width="8.42578125" style="428" customWidth="1"/>
    <col min="6921" max="6922" width="9.140625" style="428"/>
    <col min="6923" max="6923" width="7.7109375" style="428" customWidth="1"/>
    <col min="6924" max="6925" width="9.140625" style="428"/>
    <col min="6926" max="6926" width="8.7109375" style="428" customWidth="1"/>
    <col min="6927" max="6927" width="7.7109375" style="428" customWidth="1"/>
    <col min="6928" max="6928" width="8.5703125" style="428" customWidth="1"/>
    <col min="6929" max="6929" width="9" style="428" customWidth="1"/>
    <col min="6930" max="7169" width="9.140625" style="428"/>
    <col min="7170" max="7170" width="3.7109375" style="428" customWidth="1"/>
    <col min="7171" max="7171" width="14.42578125" style="428" customWidth="1"/>
    <col min="7172" max="7172" width="3.7109375" style="428" customWidth="1"/>
    <col min="7173" max="7173" width="18.140625" style="428" customWidth="1"/>
    <col min="7174" max="7175" width="9.140625" style="428"/>
    <col min="7176" max="7176" width="8.42578125" style="428" customWidth="1"/>
    <col min="7177" max="7178" width="9.140625" style="428"/>
    <col min="7179" max="7179" width="7.7109375" style="428" customWidth="1"/>
    <col min="7180" max="7181" width="9.140625" style="428"/>
    <col min="7182" max="7182" width="8.7109375" style="428" customWidth="1"/>
    <col min="7183" max="7183" width="7.7109375" style="428" customWidth="1"/>
    <col min="7184" max="7184" width="8.5703125" style="428" customWidth="1"/>
    <col min="7185" max="7185" width="9" style="428" customWidth="1"/>
    <col min="7186" max="7425" width="9.140625" style="428"/>
    <col min="7426" max="7426" width="3.7109375" style="428" customWidth="1"/>
    <col min="7427" max="7427" width="14.42578125" style="428" customWidth="1"/>
    <col min="7428" max="7428" width="3.7109375" style="428" customWidth="1"/>
    <col min="7429" max="7429" width="18.140625" style="428" customWidth="1"/>
    <col min="7430" max="7431" width="9.140625" style="428"/>
    <col min="7432" max="7432" width="8.42578125" style="428" customWidth="1"/>
    <col min="7433" max="7434" width="9.140625" style="428"/>
    <col min="7435" max="7435" width="7.7109375" style="428" customWidth="1"/>
    <col min="7436" max="7437" width="9.140625" style="428"/>
    <col min="7438" max="7438" width="8.7109375" style="428" customWidth="1"/>
    <col min="7439" max="7439" width="7.7109375" style="428" customWidth="1"/>
    <col min="7440" max="7440" width="8.5703125" style="428" customWidth="1"/>
    <col min="7441" max="7441" width="9" style="428" customWidth="1"/>
    <col min="7442" max="7681" width="9.140625" style="428"/>
    <col min="7682" max="7682" width="3.7109375" style="428" customWidth="1"/>
    <col min="7683" max="7683" width="14.42578125" style="428" customWidth="1"/>
    <col min="7684" max="7684" width="3.7109375" style="428" customWidth="1"/>
    <col min="7685" max="7685" width="18.140625" style="428" customWidth="1"/>
    <col min="7686" max="7687" width="9.140625" style="428"/>
    <col min="7688" max="7688" width="8.42578125" style="428" customWidth="1"/>
    <col min="7689" max="7690" width="9.140625" style="428"/>
    <col min="7691" max="7691" width="7.7109375" style="428" customWidth="1"/>
    <col min="7692" max="7693" width="9.140625" style="428"/>
    <col min="7694" max="7694" width="8.7109375" style="428" customWidth="1"/>
    <col min="7695" max="7695" width="7.7109375" style="428" customWidth="1"/>
    <col min="7696" max="7696" width="8.5703125" style="428" customWidth="1"/>
    <col min="7697" max="7697" width="9" style="428" customWidth="1"/>
    <col min="7698" max="7937" width="9.140625" style="428"/>
    <col min="7938" max="7938" width="3.7109375" style="428" customWidth="1"/>
    <col min="7939" max="7939" width="14.42578125" style="428" customWidth="1"/>
    <col min="7940" max="7940" width="3.7109375" style="428" customWidth="1"/>
    <col min="7941" max="7941" width="18.140625" style="428" customWidth="1"/>
    <col min="7942" max="7943" width="9.140625" style="428"/>
    <col min="7944" max="7944" width="8.42578125" style="428" customWidth="1"/>
    <col min="7945" max="7946" width="9.140625" style="428"/>
    <col min="7947" max="7947" width="7.7109375" style="428" customWidth="1"/>
    <col min="7948" max="7949" width="9.140625" style="428"/>
    <col min="7950" max="7950" width="8.7109375" style="428" customWidth="1"/>
    <col min="7951" max="7951" width="7.7109375" style="428" customWidth="1"/>
    <col min="7952" max="7952" width="8.5703125" style="428" customWidth="1"/>
    <col min="7953" max="7953" width="9" style="428" customWidth="1"/>
    <col min="7954" max="8193" width="9.140625" style="428"/>
    <col min="8194" max="8194" width="3.7109375" style="428" customWidth="1"/>
    <col min="8195" max="8195" width="14.42578125" style="428" customWidth="1"/>
    <col min="8196" max="8196" width="3.7109375" style="428" customWidth="1"/>
    <col min="8197" max="8197" width="18.140625" style="428" customWidth="1"/>
    <col min="8198" max="8199" width="9.140625" style="428"/>
    <col min="8200" max="8200" width="8.42578125" style="428" customWidth="1"/>
    <col min="8201" max="8202" width="9.140625" style="428"/>
    <col min="8203" max="8203" width="7.7109375" style="428" customWidth="1"/>
    <col min="8204" max="8205" width="9.140625" style="428"/>
    <col min="8206" max="8206" width="8.7109375" style="428" customWidth="1"/>
    <col min="8207" max="8207" width="7.7109375" style="428" customWidth="1"/>
    <col min="8208" max="8208" width="8.5703125" style="428" customWidth="1"/>
    <col min="8209" max="8209" width="9" style="428" customWidth="1"/>
    <col min="8210" max="8449" width="9.140625" style="428"/>
    <col min="8450" max="8450" width="3.7109375" style="428" customWidth="1"/>
    <col min="8451" max="8451" width="14.42578125" style="428" customWidth="1"/>
    <col min="8452" max="8452" width="3.7109375" style="428" customWidth="1"/>
    <col min="8453" max="8453" width="18.140625" style="428" customWidth="1"/>
    <col min="8454" max="8455" width="9.140625" style="428"/>
    <col min="8456" max="8456" width="8.42578125" style="428" customWidth="1"/>
    <col min="8457" max="8458" width="9.140625" style="428"/>
    <col min="8459" max="8459" width="7.7109375" style="428" customWidth="1"/>
    <col min="8460" max="8461" width="9.140625" style="428"/>
    <col min="8462" max="8462" width="8.7109375" style="428" customWidth="1"/>
    <col min="8463" max="8463" width="7.7109375" style="428" customWidth="1"/>
    <col min="8464" max="8464" width="8.5703125" style="428" customWidth="1"/>
    <col min="8465" max="8465" width="9" style="428" customWidth="1"/>
    <col min="8466" max="8705" width="9.140625" style="428"/>
    <col min="8706" max="8706" width="3.7109375" style="428" customWidth="1"/>
    <col min="8707" max="8707" width="14.42578125" style="428" customWidth="1"/>
    <col min="8708" max="8708" width="3.7109375" style="428" customWidth="1"/>
    <col min="8709" max="8709" width="18.140625" style="428" customWidth="1"/>
    <col min="8710" max="8711" width="9.140625" style="428"/>
    <col min="8712" max="8712" width="8.42578125" style="428" customWidth="1"/>
    <col min="8713" max="8714" width="9.140625" style="428"/>
    <col min="8715" max="8715" width="7.7109375" style="428" customWidth="1"/>
    <col min="8716" max="8717" width="9.140625" style="428"/>
    <col min="8718" max="8718" width="8.7109375" style="428" customWidth="1"/>
    <col min="8719" max="8719" width="7.7109375" style="428" customWidth="1"/>
    <col min="8720" max="8720" width="8.5703125" style="428" customWidth="1"/>
    <col min="8721" max="8721" width="9" style="428" customWidth="1"/>
    <col min="8722" max="8961" width="9.140625" style="428"/>
    <col min="8962" max="8962" width="3.7109375" style="428" customWidth="1"/>
    <col min="8963" max="8963" width="14.42578125" style="428" customWidth="1"/>
    <col min="8964" max="8964" width="3.7109375" style="428" customWidth="1"/>
    <col min="8965" max="8965" width="18.140625" style="428" customWidth="1"/>
    <col min="8966" max="8967" width="9.140625" style="428"/>
    <col min="8968" max="8968" width="8.42578125" style="428" customWidth="1"/>
    <col min="8969" max="8970" width="9.140625" style="428"/>
    <col min="8971" max="8971" width="7.7109375" style="428" customWidth="1"/>
    <col min="8972" max="8973" width="9.140625" style="428"/>
    <col min="8974" max="8974" width="8.7109375" style="428" customWidth="1"/>
    <col min="8975" max="8975" width="7.7109375" style="428" customWidth="1"/>
    <col min="8976" max="8976" width="8.5703125" style="428" customWidth="1"/>
    <col min="8977" max="8977" width="9" style="428" customWidth="1"/>
    <col min="8978" max="9217" width="9.140625" style="428"/>
    <col min="9218" max="9218" width="3.7109375" style="428" customWidth="1"/>
    <col min="9219" max="9219" width="14.42578125" style="428" customWidth="1"/>
    <col min="9220" max="9220" width="3.7109375" style="428" customWidth="1"/>
    <col min="9221" max="9221" width="18.140625" style="428" customWidth="1"/>
    <col min="9222" max="9223" width="9.140625" style="428"/>
    <col min="9224" max="9224" width="8.42578125" style="428" customWidth="1"/>
    <col min="9225" max="9226" width="9.140625" style="428"/>
    <col min="9227" max="9227" width="7.7109375" style="428" customWidth="1"/>
    <col min="9228" max="9229" width="9.140625" style="428"/>
    <col min="9230" max="9230" width="8.7109375" style="428" customWidth="1"/>
    <col min="9231" max="9231" width="7.7109375" style="428" customWidth="1"/>
    <col min="9232" max="9232" width="8.5703125" style="428" customWidth="1"/>
    <col min="9233" max="9233" width="9" style="428" customWidth="1"/>
    <col min="9234" max="9473" width="9.140625" style="428"/>
    <col min="9474" max="9474" width="3.7109375" style="428" customWidth="1"/>
    <col min="9475" max="9475" width="14.42578125" style="428" customWidth="1"/>
    <col min="9476" max="9476" width="3.7109375" style="428" customWidth="1"/>
    <col min="9477" max="9477" width="18.140625" style="428" customWidth="1"/>
    <col min="9478" max="9479" width="9.140625" style="428"/>
    <col min="9480" max="9480" width="8.42578125" style="428" customWidth="1"/>
    <col min="9481" max="9482" width="9.140625" style="428"/>
    <col min="9483" max="9483" width="7.7109375" style="428" customWidth="1"/>
    <col min="9484" max="9485" width="9.140625" style="428"/>
    <col min="9486" max="9486" width="8.7109375" style="428" customWidth="1"/>
    <col min="9487" max="9487" width="7.7109375" style="428" customWidth="1"/>
    <col min="9488" max="9488" width="8.5703125" style="428" customWidth="1"/>
    <col min="9489" max="9489" width="9" style="428" customWidth="1"/>
    <col min="9490" max="9729" width="9.140625" style="428"/>
    <col min="9730" max="9730" width="3.7109375" style="428" customWidth="1"/>
    <col min="9731" max="9731" width="14.42578125" style="428" customWidth="1"/>
    <col min="9732" max="9732" width="3.7109375" style="428" customWidth="1"/>
    <col min="9733" max="9733" width="18.140625" style="428" customWidth="1"/>
    <col min="9734" max="9735" width="9.140625" style="428"/>
    <col min="9736" max="9736" width="8.42578125" style="428" customWidth="1"/>
    <col min="9737" max="9738" width="9.140625" style="428"/>
    <col min="9739" max="9739" width="7.7109375" style="428" customWidth="1"/>
    <col min="9740" max="9741" width="9.140625" style="428"/>
    <col min="9742" max="9742" width="8.7109375" style="428" customWidth="1"/>
    <col min="9743" max="9743" width="7.7109375" style="428" customWidth="1"/>
    <col min="9744" max="9744" width="8.5703125" style="428" customWidth="1"/>
    <col min="9745" max="9745" width="9" style="428" customWidth="1"/>
    <col min="9746" max="9985" width="9.140625" style="428"/>
    <col min="9986" max="9986" width="3.7109375" style="428" customWidth="1"/>
    <col min="9987" max="9987" width="14.42578125" style="428" customWidth="1"/>
    <col min="9988" max="9988" width="3.7109375" style="428" customWidth="1"/>
    <col min="9989" max="9989" width="18.140625" style="428" customWidth="1"/>
    <col min="9990" max="9991" width="9.140625" style="428"/>
    <col min="9992" max="9992" width="8.42578125" style="428" customWidth="1"/>
    <col min="9993" max="9994" width="9.140625" style="428"/>
    <col min="9995" max="9995" width="7.7109375" style="428" customWidth="1"/>
    <col min="9996" max="9997" width="9.140625" style="428"/>
    <col min="9998" max="9998" width="8.7109375" style="428" customWidth="1"/>
    <col min="9999" max="9999" width="7.7109375" style="428" customWidth="1"/>
    <col min="10000" max="10000" width="8.5703125" style="428" customWidth="1"/>
    <col min="10001" max="10001" width="9" style="428" customWidth="1"/>
    <col min="10002" max="10241" width="9.140625" style="428"/>
    <col min="10242" max="10242" width="3.7109375" style="428" customWidth="1"/>
    <col min="10243" max="10243" width="14.42578125" style="428" customWidth="1"/>
    <col min="10244" max="10244" width="3.7109375" style="428" customWidth="1"/>
    <col min="10245" max="10245" width="18.140625" style="428" customWidth="1"/>
    <col min="10246" max="10247" width="9.140625" style="428"/>
    <col min="10248" max="10248" width="8.42578125" style="428" customWidth="1"/>
    <col min="10249" max="10250" width="9.140625" style="428"/>
    <col min="10251" max="10251" width="7.7109375" style="428" customWidth="1"/>
    <col min="10252" max="10253" width="9.140625" style="428"/>
    <col min="10254" max="10254" width="8.7109375" style="428" customWidth="1"/>
    <col min="10255" max="10255" width="7.7109375" style="428" customWidth="1"/>
    <col min="10256" max="10256" width="8.5703125" style="428" customWidth="1"/>
    <col min="10257" max="10257" width="9" style="428" customWidth="1"/>
    <col min="10258" max="10497" width="9.140625" style="428"/>
    <col min="10498" max="10498" width="3.7109375" style="428" customWidth="1"/>
    <col min="10499" max="10499" width="14.42578125" style="428" customWidth="1"/>
    <col min="10500" max="10500" width="3.7109375" style="428" customWidth="1"/>
    <col min="10501" max="10501" width="18.140625" style="428" customWidth="1"/>
    <col min="10502" max="10503" width="9.140625" style="428"/>
    <col min="10504" max="10504" width="8.42578125" style="428" customWidth="1"/>
    <col min="10505" max="10506" width="9.140625" style="428"/>
    <col min="10507" max="10507" width="7.7109375" style="428" customWidth="1"/>
    <col min="10508" max="10509" width="9.140625" style="428"/>
    <col min="10510" max="10510" width="8.7109375" style="428" customWidth="1"/>
    <col min="10511" max="10511" width="7.7109375" style="428" customWidth="1"/>
    <col min="10512" max="10512" width="8.5703125" style="428" customWidth="1"/>
    <col min="10513" max="10513" width="9" style="428" customWidth="1"/>
    <col min="10514" max="10753" width="9.140625" style="428"/>
    <col min="10754" max="10754" width="3.7109375" style="428" customWidth="1"/>
    <col min="10755" max="10755" width="14.42578125" style="428" customWidth="1"/>
    <col min="10756" max="10756" width="3.7109375" style="428" customWidth="1"/>
    <col min="10757" max="10757" width="18.140625" style="428" customWidth="1"/>
    <col min="10758" max="10759" width="9.140625" style="428"/>
    <col min="10760" max="10760" width="8.42578125" style="428" customWidth="1"/>
    <col min="10761" max="10762" width="9.140625" style="428"/>
    <col min="10763" max="10763" width="7.7109375" style="428" customWidth="1"/>
    <col min="10764" max="10765" width="9.140625" style="428"/>
    <col min="10766" max="10766" width="8.7109375" style="428" customWidth="1"/>
    <col min="10767" max="10767" width="7.7109375" style="428" customWidth="1"/>
    <col min="10768" max="10768" width="8.5703125" style="428" customWidth="1"/>
    <col min="10769" max="10769" width="9" style="428" customWidth="1"/>
    <col min="10770" max="11009" width="9.140625" style="428"/>
    <col min="11010" max="11010" width="3.7109375" style="428" customWidth="1"/>
    <col min="11011" max="11011" width="14.42578125" style="428" customWidth="1"/>
    <col min="11012" max="11012" width="3.7109375" style="428" customWidth="1"/>
    <col min="11013" max="11013" width="18.140625" style="428" customWidth="1"/>
    <col min="11014" max="11015" width="9.140625" style="428"/>
    <col min="11016" max="11016" width="8.42578125" style="428" customWidth="1"/>
    <col min="11017" max="11018" width="9.140625" style="428"/>
    <col min="11019" max="11019" width="7.7109375" style="428" customWidth="1"/>
    <col min="11020" max="11021" width="9.140625" style="428"/>
    <col min="11022" max="11022" width="8.7109375" style="428" customWidth="1"/>
    <col min="11023" max="11023" width="7.7109375" style="428" customWidth="1"/>
    <col min="11024" max="11024" width="8.5703125" style="428" customWidth="1"/>
    <col min="11025" max="11025" width="9" style="428" customWidth="1"/>
    <col min="11026" max="11265" width="9.140625" style="428"/>
    <col min="11266" max="11266" width="3.7109375" style="428" customWidth="1"/>
    <col min="11267" max="11267" width="14.42578125" style="428" customWidth="1"/>
    <col min="11268" max="11268" width="3.7109375" style="428" customWidth="1"/>
    <col min="11269" max="11269" width="18.140625" style="428" customWidth="1"/>
    <col min="11270" max="11271" width="9.140625" style="428"/>
    <col min="11272" max="11272" width="8.42578125" style="428" customWidth="1"/>
    <col min="11273" max="11274" width="9.140625" style="428"/>
    <col min="11275" max="11275" width="7.7109375" style="428" customWidth="1"/>
    <col min="11276" max="11277" width="9.140625" style="428"/>
    <col min="11278" max="11278" width="8.7109375" style="428" customWidth="1"/>
    <col min="11279" max="11279" width="7.7109375" style="428" customWidth="1"/>
    <col min="11280" max="11280" width="8.5703125" style="428" customWidth="1"/>
    <col min="11281" max="11281" width="9" style="428" customWidth="1"/>
    <col min="11282" max="11521" width="9.140625" style="428"/>
    <col min="11522" max="11522" width="3.7109375" style="428" customWidth="1"/>
    <col min="11523" max="11523" width="14.42578125" style="428" customWidth="1"/>
    <col min="11524" max="11524" width="3.7109375" style="428" customWidth="1"/>
    <col min="11525" max="11525" width="18.140625" style="428" customWidth="1"/>
    <col min="11526" max="11527" width="9.140625" style="428"/>
    <col min="11528" max="11528" width="8.42578125" style="428" customWidth="1"/>
    <col min="11529" max="11530" width="9.140625" style="428"/>
    <col min="11531" max="11531" width="7.7109375" style="428" customWidth="1"/>
    <col min="11532" max="11533" width="9.140625" style="428"/>
    <col min="11534" max="11534" width="8.7109375" style="428" customWidth="1"/>
    <col min="11535" max="11535" width="7.7109375" style="428" customWidth="1"/>
    <col min="11536" max="11536" width="8.5703125" style="428" customWidth="1"/>
    <col min="11537" max="11537" width="9" style="428" customWidth="1"/>
    <col min="11538" max="11777" width="9.140625" style="428"/>
    <col min="11778" max="11778" width="3.7109375" style="428" customWidth="1"/>
    <col min="11779" max="11779" width="14.42578125" style="428" customWidth="1"/>
    <col min="11780" max="11780" width="3.7109375" style="428" customWidth="1"/>
    <col min="11781" max="11781" width="18.140625" style="428" customWidth="1"/>
    <col min="11782" max="11783" width="9.140625" style="428"/>
    <col min="11784" max="11784" width="8.42578125" style="428" customWidth="1"/>
    <col min="11785" max="11786" width="9.140625" style="428"/>
    <col min="11787" max="11787" width="7.7109375" style="428" customWidth="1"/>
    <col min="11788" max="11789" width="9.140625" style="428"/>
    <col min="11790" max="11790" width="8.7109375" style="428" customWidth="1"/>
    <col min="11791" max="11791" width="7.7109375" style="428" customWidth="1"/>
    <col min="11792" max="11792" width="8.5703125" style="428" customWidth="1"/>
    <col min="11793" max="11793" width="9" style="428" customWidth="1"/>
    <col min="11794" max="12033" width="9.140625" style="428"/>
    <col min="12034" max="12034" width="3.7109375" style="428" customWidth="1"/>
    <col min="12035" max="12035" width="14.42578125" style="428" customWidth="1"/>
    <col min="12036" max="12036" width="3.7109375" style="428" customWidth="1"/>
    <col min="12037" max="12037" width="18.140625" style="428" customWidth="1"/>
    <col min="12038" max="12039" width="9.140625" style="428"/>
    <col min="12040" max="12040" width="8.42578125" style="428" customWidth="1"/>
    <col min="12041" max="12042" width="9.140625" style="428"/>
    <col min="12043" max="12043" width="7.7109375" style="428" customWidth="1"/>
    <col min="12044" max="12045" width="9.140625" style="428"/>
    <col min="12046" max="12046" width="8.7109375" style="428" customWidth="1"/>
    <col min="12047" max="12047" width="7.7109375" style="428" customWidth="1"/>
    <col min="12048" max="12048" width="8.5703125" style="428" customWidth="1"/>
    <col min="12049" max="12049" width="9" style="428" customWidth="1"/>
    <col min="12050" max="12289" width="9.140625" style="428"/>
    <col min="12290" max="12290" width="3.7109375" style="428" customWidth="1"/>
    <col min="12291" max="12291" width="14.42578125" style="428" customWidth="1"/>
    <col min="12292" max="12292" width="3.7109375" style="428" customWidth="1"/>
    <col min="12293" max="12293" width="18.140625" style="428" customWidth="1"/>
    <col min="12294" max="12295" width="9.140625" style="428"/>
    <col min="12296" max="12296" width="8.42578125" style="428" customWidth="1"/>
    <col min="12297" max="12298" width="9.140625" style="428"/>
    <col min="12299" max="12299" width="7.7109375" style="428" customWidth="1"/>
    <col min="12300" max="12301" width="9.140625" style="428"/>
    <col min="12302" max="12302" width="8.7109375" style="428" customWidth="1"/>
    <col min="12303" max="12303" width="7.7109375" style="428" customWidth="1"/>
    <col min="12304" max="12304" width="8.5703125" style="428" customWidth="1"/>
    <col min="12305" max="12305" width="9" style="428" customWidth="1"/>
    <col min="12306" max="12545" width="9.140625" style="428"/>
    <col min="12546" max="12546" width="3.7109375" style="428" customWidth="1"/>
    <col min="12547" max="12547" width="14.42578125" style="428" customWidth="1"/>
    <col min="12548" max="12548" width="3.7109375" style="428" customWidth="1"/>
    <col min="12549" max="12549" width="18.140625" style="428" customWidth="1"/>
    <col min="12550" max="12551" width="9.140625" style="428"/>
    <col min="12552" max="12552" width="8.42578125" style="428" customWidth="1"/>
    <col min="12553" max="12554" width="9.140625" style="428"/>
    <col min="12555" max="12555" width="7.7109375" style="428" customWidth="1"/>
    <col min="12556" max="12557" width="9.140625" style="428"/>
    <col min="12558" max="12558" width="8.7109375" style="428" customWidth="1"/>
    <col min="12559" max="12559" width="7.7109375" style="428" customWidth="1"/>
    <col min="12560" max="12560" width="8.5703125" style="428" customWidth="1"/>
    <col min="12561" max="12561" width="9" style="428" customWidth="1"/>
    <col min="12562" max="12801" width="9.140625" style="428"/>
    <col min="12802" max="12802" width="3.7109375" style="428" customWidth="1"/>
    <col min="12803" max="12803" width="14.42578125" style="428" customWidth="1"/>
    <col min="12804" max="12804" width="3.7109375" style="428" customWidth="1"/>
    <col min="12805" max="12805" width="18.140625" style="428" customWidth="1"/>
    <col min="12806" max="12807" width="9.140625" style="428"/>
    <col min="12808" max="12808" width="8.42578125" style="428" customWidth="1"/>
    <col min="12809" max="12810" width="9.140625" style="428"/>
    <col min="12811" max="12811" width="7.7109375" style="428" customWidth="1"/>
    <col min="12812" max="12813" width="9.140625" style="428"/>
    <col min="12814" max="12814" width="8.7109375" style="428" customWidth="1"/>
    <col min="12815" max="12815" width="7.7109375" style="428" customWidth="1"/>
    <col min="12816" max="12816" width="8.5703125" style="428" customWidth="1"/>
    <col min="12817" max="12817" width="9" style="428" customWidth="1"/>
    <col min="12818" max="13057" width="9.140625" style="428"/>
    <col min="13058" max="13058" width="3.7109375" style="428" customWidth="1"/>
    <col min="13059" max="13059" width="14.42578125" style="428" customWidth="1"/>
    <col min="13060" max="13060" width="3.7109375" style="428" customWidth="1"/>
    <col min="13061" max="13061" width="18.140625" style="428" customWidth="1"/>
    <col min="13062" max="13063" width="9.140625" style="428"/>
    <col min="13064" max="13064" width="8.42578125" style="428" customWidth="1"/>
    <col min="13065" max="13066" width="9.140625" style="428"/>
    <col min="13067" max="13067" width="7.7109375" style="428" customWidth="1"/>
    <col min="13068" max="13069" width="9.140625" style="428"/>
    <col min="13070" max="13070" width="8.7109375" style="428" customWidth="1"/>
    <col min="13071" max="13071" width="7.7109375" style="428" customWidth="1"/>
    <col min="13072" max="13072" width="8.5703125" style="428" customWidth="1"/>
    <col min="13073" max="13073" width="9" style="428" customWidth="1"/>
    <col min="13074" max="13313" width="9.140625" style="428"/>
    <col min="13314" max="13314" width="3.7109375" style="428" customWidth="1"/>
    <col min="13315" max="13315" width="14.42578125" style="428" customWidth="1"/>
    <col min="13316" max="13316" width="3.7109375" style="428" customWidth="1"/>
    <col min="13317" max="13317" width="18.140625" style="428" customWidth="1"/>
    <col min="13318" max="13319" width="9.140625" style="428"/>
    <col min="13320" max="13320" width="8.42578125" style="428" customWidth="1"/>
    <col min="13321" max="13322" width="9.140625" style="428"/>
    <col min="13323" max="13323" width="7.7109375" style="428" customWidth="1"/>
    <col min="13324" max="13325" width="9.140625" style="428"/>
    <col min="13326" max="13326" width="8.7109375" style="428" customWidth="1"/>
    <col min="13327" max="13327" width="7.7109375" style="428" customWidth="1"/>
    <col min="13328" max="13328" width="8.5703125" style="428" customWidth="1"/>
    <col min="13329" max="13329" width="9" style="428" customWidth="1"/>
    <col min="13330" max="13569" width="9.140625" style="428"/>
    <col min="13570" max="13570" width="3.7109375" style="428" customWidth="1"/>
    <col min="13571" max="13571" width="14.42578125" style="428" customWidth="1"/>
    <col min="13572" max="13572" width="3.7109375" style="428" customWidth="1"/>
    <col min="13573" max="13573" width="18.140625" style="428" customWidth="1"/>
    <col min="13574" max="13575" width="9.140625" style="428"/>
    <col min="13576" max="13576" width="8.42578125" style="428" customWidth="1"/>
    <col min="13577" max="13578" width="9.140625" style="428"/>
    <col min="13579" max="13579" width="7.7109375" style="428" customWidth="1"/>
    <col min="13580" max="13581" width="9.140625" style="428"/>
    <col min="13582" max="13582" width="8.7109375" style="428" customWidth="1"/>
    <col min="13583" max="13583" width="7.7109375" style="428" customWidth="1"/>
    <col min="13584" max="13584" width="8.5703125" style="428" customWidth="1"/>
    <col min="13585" max="13585" width="9" style="428" customWidth="1"/>
    <col min="13586" max="13825" width="9.140625" style="428"/>
    <col min="13826" max="13826" width="3.7109375" style="428" customWidth="1"/>
    <col min="13827" max="13827" width="14.42578125" style="428" customWidth="1"/>
    <col min="13828" max="13828" width="3.7109375" style="428" customWidth="1"/>
    <col min="13829" max="13829" width="18.140625" style="428" customWidth="1"/>
    <col min="13830" max="13831" width="9.140625" style="428"/>
    <col min="13832" max="13832" width="8.42578125" style="428" customWidth="1"/>
    <col min="13833" max="13834" width="9.140625" style="428"/>
    <col min="13835" max="13835" width="7.7109375" style="428" customWidth="1"/>
    <col min="13836" max="13837" width="9.140625" style="428"/>
    <col min="13838" max="13838" width="8.7109375" style="428" customWidth="1"/>
    <col min="13839" max="13839" width="7.7109375" style="428" customWidth="1"/>
    <col min="13840" max="13840" width="8.5703125" style="428" customWidth="1"/>
    <col min="13841" max="13841" width="9" style="428" customWidth="1"/>
    <col min="13842" max="14081" width="9.140625" style="428"/>
    <col min="14082" max="14082" width="3.7109375" style="428" customWidth="1"/>
    <col min="14083" max="14083" width="14.42578125" style="428" customWidth="1"/>
    <col min="14084" max="14084" width="3.7109375" style="428" customWidth="1"/>
    <col min="14085" max="14085" width="18.140625" style="428" customWidth="1"/>
    <col min="14086" max="14087" width="9.140625" style="428"/>
    <col min="14088" max="14088" width="8.42578125" style="428" customWidth="1"/>
    <col min="14089" max="14090" width="9.140625" style="428"/>
    <col min="14091" max="14091" width="7.7109375" style="428" customWidth="1"/>
    <col min="14092" max="14093" width="9.140625" style="428"/>
    <col min="14094" max="14094" width="8.7109375" style="428" customWidth="1"/>
    <col min="14095" max="14095" width="7.7109375" style="428" customWidth="1"/>
    <col min="14096" max="14096" width="8.5703125" style="428" customWidth="1"/>
    <col min="14097" max="14097" width="9" style="428" customWidth="1"/>
    <col min="14098" max="14337" width="9.140625" style="428"/>
    <col min="14338" max="14338" width="3.7109375" style="428" customWidth="1"/>
    <col min="14339" max="14339" width="14.42578125" style="428" customWidth="1"/>
    <col min="14340" max="14340" width="3.7109375" style="428" customWidth="1"/>
    <col min="14341" max="14341" width="18.140625" style="428" customWidth="1"/>
    <col min="14342" max="14343" width="9.140625" style="428"/>
    <col min="14344" max="14344" width="8.42578125" style="428" customWidth="1"/>
    <col min="14345" max="14346" width="9.140625" style="428"/>
    <col min="14347" max="14347" width="7.7109375" style="428" customWidth="1"/>
    <col min="14348" max="14349" width="9.140625" style="428"/>
    <col min="14350" max="14350" width="8.7109375" style="428" customWidth="1"/>
    <col min="14351" max="14351" width="7.7109375" style="428" customWidth="1"/>
    <col min="14352" max="14352" width="8.5703125" style="428" customWidth="1"/>
    <col min="14353" max="14353" width="9" style="428" customWidth="1"/>
    <col min="14354" max="14593" width="9.140625" style="428"/>
    <col min="14594" max="14594" width="3.7109375" style="428" customWidth="1"/>
    <col min="14595" max="14595" width="14.42578125" style="428" customWidth="1"/>
    <col min="14596" max="14596" width="3.7109375" style="428" customWidth="1"/>
    <col min="14597" max="14597" width="18.140625" style="428" customWidth="1"/>
    <col min="14598" max="14599" width="9.140625" style="428"/>
    <col min="14600" max="14600" width="8.42578125" style="428" customWidth="1"/>
    <col min="14601" max="14602" width="9.140625" style="428"/>
    <col min="14603" max="14603" width="7.7109375" style="428" customWidth="1"/>
    <col min="14604" max="14605" width="9.140625" style="428"/>
    <col min="14606" max="14606" width="8.7109375" style="428" customWidth="1"/>
    <col min="14607" max="14607" width="7.7109375" style="428" customWidth="1"/>
    <col min="14608" max="14608" width="8.5703125" style="428" customWidth="1"/>
    <col min="14609" max="14609" width="9" style="428" customWidth="1"/>
    <col min="14610" max="14849" width="9.140625" style="428"/>
    <col min="14850" max="14850" width="3.7109375" style="428" customWidth="1"/>
    <col min="14851" max="14851" width="14.42578125" style="428" customWidth="1"/>
    <col min="14852" max="14852" width="3.7109375" style="428" customWidth="1"/>
    <col min="14853" max="14853" width="18.140625" style="428" customWidth="1"/>
    <col min="14854" max="14855" width="9.140625" style="428"/>
    <col min="14856" max="14856" width="8.42578125" style="428" customWidth="1"/>
    <col min="14857" max="14858" width="9.140625" style="428"/>
    <col min="14859" max="14859" width="7.7109375" style="428" customWidth="1"/>
    <col min="14860" max="14861" width="9.140625" style="428"/>
    <col min="14862" max="14862" width="8.7109375" style="428" customWidth="1"/>
    <col min="14863" max="14863" width="7.7109375" style="428" customWidth="1"/>
    <col min="14864" max="14864" width="8.5703125" style="428" customWidth="1"/>
    <col min="14865" max="14865" width="9" style="428" customWidth="1"/>
    <col min="14866" max="15105" width="9.140625" style="428"/>
    <col min="15106" max="15106" width="3.7109375" style="428" customWidth="1"/>
    <col min="15107" max="15107" width="14.42578125" style="428" customWidth="1"/>
    <col min="15108" max="15108" width="3.7109375" style="428" customWidth="1"/>
    <col min="15109" max="15109" width="18.140625" style="428" customWidth="1"/>
    <col min="15110" max="15111" width="9.140625" style="428"/>
    <col min="15112" max="15112" width="8.42578125" style="428" customWidth="1"/>
    <col min="15113" max="15114" width="9.140625" style="428"/>
    <col min="15115" max="15115" width="7.7109375" style="428" customWidth="1"/>
    <col min="15116" max="15117" width="9.140625" style="428"/>
    <col min="15118" max="15118" width="8.7109375" style="428" customWidth="1"/>
    <col min="15119" max="15119" width="7.7109375" style="428" customWidth="1"/>
    <col min="15120" max="15120" width="8.5703125" style="428" customWidth="1"/>
    <col min="15121" max="15121" width="9" style="428" customWidth="1"/>
    <col min="15122" max="15361" width="9.140625" style="428"/>
    <col min="15362" max="15362" width="3.7109375" style="428" customWidth="1"/>
    <col min="15363" max="15363" width="14.42578125" style="428" customWidth="1"/>
    <col min="15364" max="15364" width="3.7109375" style="428" customWidth="1"/>
    <col min="15365" max="15365" width="18.140625" style="428" customWidth="1"/>
    <col min="15366" max="15367" width="9.140625" style="428"/>
    <col min="15368" max="15368" width="8.42578125" style="428" customWidth="1"/>
    <col min="15369" max="15370" width="9.140625" style="428"/>
    <col min="15371" max="15371" width="7.7109375" style="428" customWidth="1"/>
    <col min="15372" max="15373" width="9.140625" style="428"/>
    <col min="15374" max="15374" width="8.7109375" style="428" customWidth="1"/>
    <col min="15375" max="15375" width="7.7109375" style="428" customWidth="1"/>
    <col min="15376" max="15376" width="8.5703125" style="428" customWidth="1"/>
    <col min="15377" max="15377" width="9" style="428" customWidth="1"/>
    <col min="15378" max="15617" width="9.140625" style="428"/>
    <col min="15618" max="15618" width="3.7109375" style="428" customWidth="1"/>
    <col min="15619" max="15619" width="14.42578125" style="428" customWidth="1"/>
    <col min="15620" max="15620" width="3.7109375" style="428" customWidth="1"/>
    <col min="15621" max="15621" width="18.140625" style="428" customWidth="1"/>
    <col min="15622" max="15623" width="9.140625" style="428"/>
    <col min="15624" max="15624" width="8.42578125" style="428" customWidth="1"/>
    <col min="15625" max="15626" width="9.140625" style="428"/>
    <col min="15627" max="15627" width="7.7109375" style="428" customWidth="1"/>
    <col min="15628" max="15629" width="9.140625" style="428"/>
    <col min="15630" max="15630" width="8.7109375" style="428" customWidth="1"/>
    <col min="15631" max="15631" width="7.7109375" style="428" customWidth="1"/>
    <col min="15632" max="15632" width="8.5703125" style="428" customWidth="1"/>
    <col min="15633" max="15633" width="9" style="428" customWidth="1"/>
    <col min="15634" max="15873" width="9.140625" style="428"/>
    <col min="15874" max="15874" width="3.7109375" style="428" customWidth="1"/>
    <col min="15875" max="15875" width="14.42578125" style="428" customWidth="1"/>
    <col min="15876" max="15876" width="3.7109375" style="428" customWidth="1"/>
    <col min="15877" max="15877" width="18.140625" style="428" customWidth="1"/>
    <col min="15878" max="15879" width="9.140625" style="428"/>
    <col min="15880" max="15880" width="8.42578125" style="428" customWidth="1"/>
    <col min="15881" max="15882" width="9.140625" style="428"/>
    <col min="15883" max="15883" width="7.7109375" style="428" customWidth="1"/>
    <col min="15884" max="15885" width="9.140625" style="428"/>
    <col min="15886" max="15886" width="8.7109375" style="428" customWidth="1"/>
    <col min="15887" max="15887" width="7.7109375" style="428" customWidth="1"/>
    <col min="15888" max="15888" width="8.5703125" style="428" customWidth="1"/>
    <col min="15889" max="15889" width="9" style="428" customWidth="1"/>
    <col min="15890" max="16129" width="9.140625" style="428"/>
    <col min="16130" max="16130" width="3.7109375" style="428" customWidth="1"/>
    <col min="16131" max="16131" width="14.42578125" style="428" customWidth="1"/>
    <col min="16132" max="16132" width="3.7109375" style="428" customWidth="1"/>
    <col min="16133" max="16133" width="18.140625" style="428" customWidth="1"/>
    <col min="16134" max="16135" width="9.140625" style="428"/>
    <col min="16136" max="16136" width="8.42578125" style="428" customWidth="1"/>
    <col min="16137" max="16138" width="9.140625" style="428"/>
    <col min="16139" max="16139" width="7.7109375" style="428" customWidth="1"/>
    <col min="16140" max="16141" width="9.140625" style="428"/>
    <col min="16142" max="16142" width="8.7109375" style="428" customWidth="1"/>
    <col min="16143" max="16143" width="7.7109375" style="428" customWidth="1"/>
    <col min="16144" max="16144" width="8.5703125" style="428" customWidth="1"/>
    <col min="16145" max="16145" width="9" style="428" customWidth="1"/>
    <col min="16146" max="16384" width="9.140625" style="428"/>
  </cols>
  <sheetData>
    <row r="1" spans="1:22" s="964" customFormat="1" ht="15" x14ac:dyDescent="0.2">
      <c r="A1" s="965"/>
      <c r="B1" s="1277"/>
      <c r="C1" s="1277"/>
    </row>
    <row r="2" spans="1:22" s="964" customFormat="1" ht="14.25" customHeight="1" x14ac:dyDescent="0.2">
      <c r="A2" s="835">
        <v>1</v>
      </c>
      <c r="B2" s="835" t="s">
        <v>24</v>
      </c>
      <c r="C2" s="835">
        <f>1+'[8]Skills and training'!C2</f>
        <v>53</v>
      </c>
      <c r="D2" s="3881" t="s">
        <v>1082</v>
      </c>
      <c r="E2" s="3882"/>
      <c r="F2" s="3882"/>
      <c r="G2" s="3882"/>
      <c r="H2" s="3882"/>
      <c r="I2" s="3882"/>
      <c r="J2" s="3882"/>
      <c r="K2" s="3882"/>
      <c r="L2" s="3882"/>
      <c r="M2" s="3882"/>
      <c r="N2" s="3882"/>
      <c r="O2" s="3882"/>
      <c r="P2" s="3882"/>
      <c r="Q2" s="3882"/>
      <c r="R2" s="3882"/>
      <c r="S2" s="3882"/>
      <c r="T2" s="3883"/>
      <c r="U2" s="1762"/>
      <c r="V2" s="1762"/>
    </row>
    <row r="3" spans="1:22" s="964" customFormat="1" ht="14.25" customHeight="1" x14ac:dyDescent="0.2">
      <c r="A3" s="835">
        <v>2</v>
      </c>
      <c r="B3" s="835" t="s">
        <v>26</v>
      </c>
      <c r="C3" s="835"/>
      <c r="D3" s="3615" t="s">
        <v>1081</v>
      </c>
      <c r="E3" s="3616"/>
      <c r="F3" s="3616"/>
      <c r="G3" s="3616"/>
      <c r="H3" s="3616"/>
      <c r="I3" s="3616"/>
      <c r="J3" s="3616"/>
      <c r="K3" s="3616"/>
      <c r="L3" s="3616"/>
      <c r="M3" s="3616"/>
      <c r="N3" s="3616"/>
      <c r="O3" s="3616"/>
      <c r="P3" s="3616"/>
      <c r="Q3" s="3616"/>
      <c r="R3" s="3616"/>
      <c r="S3" s="3616"/>
      <c r="T3" s="3617"/>
    </row>
    <row r="4" spans="1:22" s="964" customFormat="1" ht="14.25" customHeight="1" x14ac:dyDescent="0.2">
      <c r="A4" s="835">
        <v>3</v>
      </c>
      <c r="B4" s="835" t="s">
        <v>28</v>
      </c>
      <c r="C4" s="835"/>
      <c r="D4" s="3615" t="s">
        <v>1080</v>
      </c>
      <c r="E4" s="3616"/>
      <c r="F4" s="3616"/>
      <c r="G4" s="3616"/>
      <c r="H4" s="3616"/>
      <c r="I4" s="3616"/>
      <c r="J4" s="3616"/>
      <c r="K4" s="3616"/>
      <c r="L4" s="3616"/>
      <c r="M4" s="3616"/>
      <c r="N4" s="3616"/>
      <c r="O4" s="3616"/>
      <c r="P4" s="3616"/>
      <c r="Q4" s="3616"/>
      <c r="R4" s="3616"/>
      <c r="S4" s="3616"/>
      <c r="T4" s="3617"/>
    </row>
    <row r="5" spans="1:22" s="964" customFormat="1" ht="14.25" customHeight="1" x14ac:dyDescent="0.2">
      <c r="A5" s="835"/>
      <c r="B5" s="835"/>
      <c r="C5" s="835"/>
      <c r="D5" s="1471"/>
      <c r="E5" s="1471"/>
      <c r="F5" s="1471"/>
      <c r="G5" s="1471"/>
      <c r="H5" s="1471"/>
      <c r="I5" s="1471"/>
      <c r="J5" s="1471"/>
      <c r="K5" s="1471"/>
      <c r="L5" s="1471"/>
      <c r="M5" s="1471"/>
      <c r="N5" s="1471"/>
      <c r="O5" s="1471"/>
      <c r="P5" s="1471"/>
      <c r="Q5" s="1471"/>
      <c r="R5" s="1471"/>
      <c r="S5" s="1471"/>
      <c r="T5" s="1471"/>
    </row>
    <row r="6" spans="1:22" ht="12.75" x14ac:dyDescent="0.2">
      <c r="A6" s="835">
        <v>4</v>
      </c>
      <c r="B6" s="418" t="s">
        <v>1</v>
      </c>
      <c r="C6" s="418"/>
    </row>
    <row r="7" spans="1:22" s="401" customFormat="1" ht="12.75" customHeight="1" x14ac:dyDescent="0.2">
      <c r="A7" s="1224"/>
      <c r="B7" s="1222"/>
      <c r="C7" s="1222"/>
      <c r="D7" s="1098" t="s">
        <v>103</v>
      </c>
      <c r="E7" s="1098" t="s">
        <v>1079</v>
      </c>
      <c r="F7" s="1098"/>
      <c r="G7" s="1098"/>
      <c r="H7" s="1098"/>
      <c r="I7" s="1098"/>
      <c r="J7" s="1098"/>
      <c r="K7" s="1098"/>
      <c r="L7" s="1098"/>
      <c r="M7" s="1098"/>
      <c r="N7" s="436"/>
      <c r="O7" s="436"/>
      <c r="P7" s="436"/>
      <c r="Q7" s="436"/>
      <c r="U7" s="432"/>
    </row>
    <row r="8" spans="1:22" s="401" customFormat="1" ht="12.75" customHeight="1" x14ac:dyDescent="0.2">
      <c r="A8" s="1224"/>
      <c r="B8" s="1222"/>
      <c r="C8" s="1222"/>
      <c r="D8" s="424"/>
      <c r="E8" s="3690" t="s">
        <v>0</v>
      </c>
      <c r="F8" s="3690"/>
      <c r="G8" s="3690"/>
      <c r="H8" s="3691"/>
      <c r="I8" s="3884" t="s">
        <v>63</v>
      </c>
      <c r="J8" s="3690"/>
      <c r="K8" s="3690"/>
      <c r="L8" s="3691"/>
      <c r="M8" s="3884" t="s">
        <v>1078</v>
      </c>
      <c r="N8" s="3690"/>
      <c r="O8" s="3690"/>
      <c r="P8" s="3691"/>
      <c r="Q8" s="3884" t="s">
        <v>73</v>
      </c>
      <c r="R8" s="3690"/>
      <c r="S8" s="3690"/>
      <c r="T8" s="3691"/>
      <c r="U8" s="432"/>
    </row>
    <row r="9" spans="1:22" s="401" customFormat="1" ht="12.75" customHeight="1" x14ac:dyDescent="0.2">
      <c r="A9" s="1224"/>
      <c r="B9" s="1222"/>
      <c r="C9" s="1222"/>
      <c r="D9" s="424"/>
      <c r="E9" s="770" t="s">
        <v>1077</v>
      </c>
      <c r="F9" s="770" t="s">
        <v>1076</v>
      </c>
      <c r="G9" s="770" t="s">
        <v>1075</v>
      </c>
      <c r="H9" s="1097" t="s">
        <v>261</v>
      </c>
      <c r="I9" s="770" t="s">
        <v>1077</v>
      </c>
      <c r="J9" s="770" t="s">
        <v>1076</v>
      </c>
      <c r="K9" s="770" t="s">
        <v>1075</v>
      </c>
      <c r="L9" s="1097" t="s">
        <v>261</v>
      </c>
      <c r="M9" s="770" t="s">
        <v>1077</v>
      </c>
      <c r="N9" s="770" t="s">
        <v>1076</v>
      </c>
      <c r="O9" s="770" t="s">
        <v>1075</v>
      </c>
      <c r="P9" s="1097" t="s">
        <v>261</v>
      </c>
      <c r="Q9" s="770" t="s">
        <v>1077</v>
      </c>
      <c r="R9" s="770" t="s">
        <v>1076</v>
      </c>
      <c r="S9" s="770" t="s">
        <v>1075</v>
      </c>
      <c r="T9" s="1097" t="s">
        <v>261</v>
      </c>
      <c r="U9" s="432"/>
    </row>
    <row r="10" spans="1:22" s="401" customFormat="1" ht="12.75" customHeight="1" x14ac:dyDescent="0.2">
      <c r="A10" s="1224"/>
      <c r="B10" s="1222"/>
      <c r="C10" s="1222"/>
      <c r="D10" s="798" t="s">
        <v>1074</v>
      </c>
      <c r="E10" s="1095">
        <v>0.57999999999999996</v>
      </c>
      <c r="F10" s="1095">
        <v>0.51</v>
      </c>
      <c r="G10" s="1095">
        <v>0.56000000000000005</v>
      </c>
      <c r="H10" s="1096">
        <v>0.5</v>
      </c>
      <c r="I10" s="1095">
        <v>0.28000000000000003</v>
      </c>
      <c r="J10" s="2014">
        <v>0.23</v>
      </c>
      <c r="K10" s="1095">
        <v>0.23</v>
      </c>
      <c r="L10" s="2015">
        <v>0.25</v>
      </c>
      <c r="M10" s="1095">
        <v>0.15</v>
      </c>
      <c r="N10" s="1095">
        <v>0.17</v>
      </c>
      <c r="O10" s="1095">
        <v>0.22</v>
      </c>
      <c r="P10" s="2015">
        <v>0.17</v>
      </c>
      <c r="Q10" s="1095" t="s">
        <v>528</v>
      </c>
      <c r="R10" s="1095">
        <v>0.13</v>
      </c>
      <c r="S10" s="1095">
        <v>0.15</v>
      </c>
      <c r="T10" s="2015">
        <v>0.14000000000000001</v>
      </c>
      <c r="U10" s="432"/>
    </row>
    <row r="11" spans="1:22" s="401" customFormat="1" ht="12.75" customHeight="1" x14ac:dyDescent="0.2">
      <c r="A11" s="1224"/>
      <c r="B11" s="1222"/>
      <c r="C11" s="1222"/>
      <c r="D11" s="798" t="s">
        <v>1073</v>
      </c>
      <c r="E11" s="1095">
        <v>0.2</v>
      </c>
      <c r="F11" s="1095">
        <v>0.14000000000000001</v>
      </c>
      <c r="G11" s="1095">
        <v>0.16</v>
      </c>
      <c r="H11" s="1096">
        <v>0.16</v>
      </c>
      <c r="I11" s="1095">
        <v>0.16</v>
      </c>
      <c r="J11" s="1095">
        <v>0.13</v>
      </c>
      <c r="K11" s="1095">
        <v>0.18</v>
      </c>
      <c r="L11" s="2015">
        <v>0.16</v>
      </c>
      <c r="M11" s="1095">
        <v>0.14000000000000001</v>
      </c>
      <c r="N11" s="1095">
        <v>0.14000000000000001</v>
      </c>
      <c r="O11" s="1095">
        <v>0.1</v>
      </c>
      <c r="P11" s="2015">
        <v>0.13</v>
      </c>
      <c r="Q11" s="1095" t="s">
        <v>528</v>
      </c>
      <c r="R11" s="1095">
        <v>0.04</v>
      </c>
      <c r="S11" s="1095">
        <v>0.06</v>
      </c>
      <c r="T11" s="2015">
        <v>0.05</v>
      </c>
      <c r="U11" s="432"/>
    </row>
    <row r="12" spans="1:22" s="401" customFormat="1" ht="12.75" customHeight="1" x14ac:dyDescent="0.2">
      <c r="A12" s="1224"/>
      <c r="B12" s="1222"/>
      <c r="C12" s="1222"/>
      <c r="D12" s="798" t="s">
        <v>1072</v>
      </c>
      <c r="E12" s="1095">
        <v>0.15</v>
      </c>
      <c r="F12" s="1095">
        <v>0.11</v>
      </c>
      <c r="G12" s="1095">
        <v>0.1</v>
      </c>
      <c r="H12" s="1096">
        <v>0.11</v>
      </c>
      <c r="I12" s="1095">
        <v>0.13</v>
      </c>
      <c r="J12" s="1095">
        <v>0.1</v>
      </c>
      <c r="K12" s="1095">
        <v>0.09</v>
      </c>
      <c r="L12" s="2015">
        <v>0.11</v>
      </c>
      <c r="M12" s="1095">
        <v>7.0000000000000007E-2</v>
      </c>
      <c r="N12" s="1095">
        <v>7.0000000000000007E-2</v>
      </c>
      <c r="O12" s="1095">
        <v>0.06</v>
      </c>
      <c r="P12" s="2015">
        <v>0.06</v>
      </c>
      <c r="Q12" s="1095" t="s">
        <v>528</v>
      </c>
      <c r="R12" s="1095">
        <v>0.05</v>
      </c>
      <c r="S12" s="1095">
        <v>0.06</v>
      </c>
      <c r="T12" s="2015">
        <v>0.05</v>
      </c>
      <c r="U12" s="432"/>
    </row>
    <row r="13" spans="1:22" s="401" customFormat="1" ht="12.75" customHeight="1" x14ac:dyDescent="0.2">
      <c r="A13" s="1224"/>
      <c r="B13" s="1222"/>
      <c r="C13" s="1222"/>
      <c r="D13" s="798" t="s">
        <v>1071</v>
      </c>
      <c r="E13" s="1095">
        <v>0.08</v>
      </c>
      <c r="F13" s="1095">
        <v>0.05</v>
      </c>
      <c r="G13" s="1095">
        <v>0.09</v>
      </c>
      <c r="H13" s="1096">
        <v>0.06</v>
      </c>
      <c r="I13" s="1095">
        <v>0.06</v>
      </c>
      <c r="J13" s="1095">
        <v>0.04</v>
      </c>
      <c r="K13" s="1095">
        <v>0.05</v>
      </c>
      <c r="L13" s="2015">
        <v>0.04</v>
      </c>
      <c r="M13" s="1095">
        <v>0.02</v>
      </c>
      <c r="N13" s="1095">
        <v>0.02</v>
      </c>
      <c r="O13" s="1095">
        <v>0.02</v>
      </c>
      <c r="P13" s="2015">
        <v>0.02</v>
      </c>
      <c r="Q13" s="1095">
        <v>0.02</v>
      </c>
      <c r="R13" s="1095">
        <v>0.04</v>
      </c>
      <c r="S13" s="1095">
        <v>0.04</v>
      </c>
      <c r="T13" s="2015">
        <v>0.04</v>
      </c>
      <c r="U13" s="432"/>
    </row>
    <row r="14" spans="1:22" s="401" customFormat="1" ht="12.75" customHeight="1" x14ac:dyDescent="0.2">
      <c r="A14" s="1224"/>
      <c r="B14" s="1222"/>
      <c r="C14" s="1222"/>
      <c r="D14" s="798" t="s">
        <v>1070</v>
      </c>
      <c r="E14" s="1095">
        <v>0.12</v>
      </c>
      <c r="F14" s="1095">
        <v>0.17</v>
      </c>
      <c r="G14" s="1095">
        <v>0.12</v>
      </c>
      <c r="H14" s="1096">
        <v>0.09</v>
      </c>
      <c r="I14" s="1095">
        <v>0.03</v>
      </c>
      <c r="J14" s="1095">
        <v>0.02</v>
      </c>
      <c r="K14" s="1095">
        <v>0.02</v>
      </c>
      <c r="L14" s="2015">
        <v>0.02</v>
      </c>
      <c r="M14" s="1095">
        <v>0.02</v>
      </c>
      <c r="N14" s="1095">
        <v>0.01</v>
      </c>
      <c r="O14" s="1095">
        <v>0.01</v>
      </c>
      <c r="P14" s="2015">
        <v>0.01</v>
      </c>
      <c r="Q14" s="1095">
        <v>0.01</v>
      </c>
      <c r="R14" s="1095">
        <v>0.01</v>
      </c>
      <c r="S14" s="1095">
        <v>0.01</v>
      </c>
      <c r="T14" s="2015">
        <v>0.01</v>
      </c>
      <c r="U14" s="432"/>
    </row>
    <row r="15" spans="1:22" s="401" customFormat="1" ht="12.75" customHeight="1" x14ac:dyDescent="0.2">
      <c r="A15" s="1224"/>
      <c r="B15" s="1222"/>
      <c r="C15" s="1222"/>
      <c r="D15" s="798" t="s">
        <v>1069</v>
      </c>
      <c r="E15" s="1095">
        <v>7.0000000000000007E-2</v>
      </c>
      <c r="F15" s="1095">
        <v>0.04</v>
      </c>
      <c r="G15" s="1095">
        <v>7.0000000000000007E-2</v>
      </c>
      <c r="H15" s="1096">
        <v>0.05</v>
      </c>
      <c r="I15" s="1095">
        <v>0.04</v>
      </c>
      <c r="J15" s="1095">
        <v>0.02</v>
      </c>
      <c r="K15" s="1095">
        <v>0.02</v>
      </c>
      <c r="L15" s="2015">
        <v>0.02</v>
      </c>
      <c r="M15" s="1095">
        <v>0.06</v>
      </c>
      <c r="N15" s="1095">
        <v>0.02</v>
      </c>
      <c r="O15" s="1095">
        <v>0.03</v>
      </c>
      <c r="P15" s="2015">
        <v>0.03</v>
      </c>
      <c r="Q15" s="1095" t="s">
        <v>528</v>
      </c>
      <c r="R15" s="1095">
        <v>0.02</v>
      </c>
      <c r="S15" s="1095">
        <v>0.02</v>
      </c>
      <c r="T15" s="2015">
        <v>0.02</v>
      </c>
      <c r="U15" s="432"/>
    </row>
    <row r="16" spans="1:22" s="401" customFormat="1" ht="12.75" customHeight="1" x14ac:dyDescent="0.2">
      <c r="A16" s="1224"/>
      <c r="B16" s="1222"/>
      <c r="C16" s="1222"/>
      <c r="D16" s="798" t="s">
        <v>1068</v>
      </c>
      <c r="E16" s="1095">
        <v>7.0000000000000007E-2</v>
      </c>
      <c r="F16" s="1095">
        <v>0.04</v>
      </c>
      <c r="G16" s="1095">
        <v>7.0000000000000007E-2</v>
      </c>
      <c r="H16" s="1096">
        <v>0.06</v>
      </c>
      <c r="I16" s="1095">
        <v>7.0000000000000007E-2</v>
      </c>
      <c r="J16" s="1095">
        <v>0.03</v>
      </c>
      <c r="K16" s="1095">
        <v>0.01</v>
      </c>
      <c r="L16" s="2015">
        <v>0.04</v>
      </c>
      <c r="M16" s="1095">
        <v>0.06</v>
      </c>
      <c r="N16" s="1095">
        <v>0.02</v>
      </c>
      <c r="O16" s="1095">
        <v>0.04</v>
      </c>
      <c r="P16" s="2015">
        <v>0.03</v>
      </c>
      <c r="Q16" s="1095" t="s">
        <v>528</v>
      </c>
      <c r="R16" s="1095">
        <v>0.03</v>
      </c>
      <c r="S16" s="1095">
        <v>0.03</v>
      </c>
      <c r="T16" s="2015">
        <v>0.03</v>
      </c>
      <c r="U16" s="432"/>
    </row>
    <row r="17" spans="1:21" s="401" customFormat="1" ht="12.75" customHeight="1" x14ac:dyDescent="0.2">
      <c r="A17" s="1224"/>
      <c r="B17" s="1222"/>
      <c r="C17" s="1222"/>
      <c r="D17" s="798" t="s">
        <v>1067</v>
      </c>
      <c r="E17" s="1095">
        <v>0.08</v>
      </c>
      <c r="F17" s="1095">
        <v>0.05</v>
      </c>
      <c r="G17" s="1095">
        <v>0.06</v>
      </c>
      <c r="H17" s="1096">
        <v>7.0000000000000007E-2</v>
      </c>
      <c r="I17" s="1095">
        <v>0.08</v>
      </c>
      <c r="J17" s="1095">
        <v>0.08</v>
      </c>
      <c r="K17" s="1095">
        <v>0.06</v>
      </c>
      <c r="L17" s="2015">
        <v>7.0000000000000007E-2</v>
      </c>
      <c r="M17" s="1095">
        <v>0.06</v>
      </c>
      <c r="N17" s="1095">
        <v>0.01</v>
      </c>
      <c r="O17" s="1095">
        <v>0.02</v>
      </c>
      <c r="P17" s="2015">
        <v>0.03</v>
      </c>
      <c r="Q17" s="1095" t="s">
        <v>528</v>
      </c>
      <c r="R17" s="1095">
        <v>0.03</v>
      </c>
      <c r="S17" s="1095">
        <v>0.04</v>
      </c>
      <c r="T17" s="2015">
        <v>0.03</v>
      </c>
      <c r="U17" s="432"/>
    </row>
    <row r="18" spans="1:21" x14ac:dyDescent="0.2">
      <c r="B18" s="1258"/>
      <c r="C18" s="1258"/>
      <c r="D18" s="796" t="s">
        <v>1066</v>
      </c>
      <c r="E18" s="1113">
        <v>0.06</v>
      </c>
      <c r="F18" s="1113">
        <v>0</v>
      </c>
      <c r="G18" s="1113">
        <v>7.0000000000000007E-2</v>
      </c>
      <c r="H18" s="2016">
        <v>0.05</v>
      </c>
      <c r="I18" s="1113">
        <v>0.05</v>
      </c>
      <c r="J18" s="1113">
        <v>0.02</v>
      </c>
      <c r="K18" s="1113">
        <v>0.05</v>
      </c>
      <c r="L18" s="2017">
        <v>0.04</v>
      </c>
      <c r="M18" s="1113">
        <v>0.05</v>
      </c>
      <c r="N18" s="1113">
        <v>0.01</v>
      </c>
      <c r="O18" s="1113">
        <v>0.06</v>
      </c>
      <c r="P18" s="2017">
        <v>0.04</v>
      </c>
      <c r="Q18" s="1113" t="s">
        <v>528</v>
      </c>
      <c r="R18" s="1113">
        <v>0.03</v>
      </c>
      <c r="S18" s="1113">
        <v>0.04</v>
      </c>
      <c r="T18" s="2017">
        <v>0.04</v>
      </c>
    </row>
    <row r="19" spans="1:21" x14ac:dyDescent="0.2">
      <c r="B19" s="1258"/>
      <c r="C19" s="1258"/>
      <c r="D19" s="798"/>
      <c r="E19" s="432"/>
      <c r="F19" s="432"/>
      <c r="G19" s="432"/>
      <c r="H19" s="432"/>
      <c r="I19" s="432"/>
      <c r="J19" s="432"/>
      <c r="K19" s="432"/>
      <c r="L19" s="432"/>
      <c r="M19" s="432"/>
      <c r="N19" s="432"/>
      <c r="O19" s="432"/>
      <c r="P19" s="432"/>
      <c r="Q19" s="432"/>
    </row>
    <row r="20" spans="1:21" x14ac:dyDescent="0.2">
      <c r="B20" s="1258"/>
      <c r="C20" s="1258"/>
      <c r="D20" s="2018"/>
      <c r="E20" s="2018"/>
      <c r="F20" s="2018"/>
      <c r="G20" s="2018"/>
      <c r="H20" s="2018"/>
      <c r="I20" s="2018"/>
      <c r="J20" s="2018"/>
      <c r="K20" s="2018"/>
      <c r="L20" s="2018"/>
      <c r="M20" s="2018"/>
      <c r="N20" s="2018"/>
      <c r="O20" s="2018"/>
      <c r="P20" s="2018"/>
      <c r="Q20" s="2018"/>
    </row>
    <row r="21" spans="1:21" x14ac:dyDescent="0.2">
      <c r="B21" s="1254"/>
      <c r="C21" s="1254"/>
      <c r="D21" s="1094"/>
      <c r="E21" s="1094"/>
      <c r="F21" s="1094"/>
      <c r="G21" s="1094"/>
      <c r="H21" s="1094"/>
      <c r="I21" s="1094"/>
      <c r="J21" s="1094"/>
      <c r="K21" s="1094"/>
      <c r="L21" s="1094"/>
      <c r="M21" s="1094"/>
      <c r="N21" s="1094"/>
      <c r="O21" s="1094"/>
      <c r="P21" s="1094"/>
      <c r="Q21" s="1094"/>
    </row>
    <row r="22" spans="1:21" x14ac:dyDescent="0.2">
      <c r="B22" s="1258"/>
      <c r="C22" s="1258"/>
      <c r="D22" s="1094"/>
      <c r="E22" s="1094"/>
      <c r="F22" s="1094"/>
      <c r="G22" s="1094"/>
      <c r="H22" s="1094"/>
      <c r="I22" s="1094"/>
      <c r="J22" s="1094"/>
      <c r="K22" s="1094"/>
      <c r="L22" s="1094"/>
      <c r="M22" s="1094"/>
      <c r="N22" s="1094"/>
      <c r="O22" s="1094"/>
      <c r="P22" s="1094"/>
      <c r="Q22" s="1094"/>
    </row>
    <row r="23" spans="1:21" ht="16.5" customHeight="1" x14ac:dyDescent="0.2">
      <c r="B23" s="1254"/>
      <c r="C23" s="1254"/>
      <c r="D23" s="1094"/>
      <c r="E23" s="1094"/>
      <c r="F23" s="1094"/>
      <c r="G23" s="1094"/>
      <c r="H23" s="1094"/>
      <c r="I23" s="1094"/>
      <c r="J23" s="1094"/>
      <c r="K23" s="1094"/>
      <c r="L23" s="1094"/>
      <c r="M23" s="1094"/>
      <c r="N23" s="1094"/>
      <c r="O23" s="1094"/>
      <c r="P23" s="1094"/>
      <c r="Q23" s="1094"/>
    </row>
    <row r="24" spans="1:21" x14ac:dyDescent="0.2">
      <c r="B24" s="1258"/>
      <c r="C24" s="1258"/>
      <c r="D24" s="1094"/>
      <c r="E24" s="1094"/>
      <c r="F24" s="1094"/>
      <c r="G24" s="1094"/>
      <c r="H24" s="1094"/>
      <c r="I24" s="1094"/>
      <c r="J24" s="1094"/>
      <c r="K24" s="1094"/>
      <c r="L24" s="1094"/>
      <c r="M24" s="1094"/>
      <c r="N24" s="1094"/>
      <c r="O24" s="1094"/>
      <c r="P24" s="1094"/>
      <c r="Q24" s="1094"/>
    </row>
    <row r="40" spans="1:20" s="964" customFormat="1" ht="15" customHeight="1" x14ac:dyDescent="0.2">
      <c r="A40" s="835">
        <v>5</v>
      </c>
      <c r="B40" s="835" t="s">
        <v>78</v>
      </c>
      <c r="C40" s="835"/>
      <c r="D40" s="3615" t="s">
        <v>398</v>
      </c>
      <c r="E40" s="3616"/>
      <c r="F40" s="3616"/>
      <c r="G40" s="3616"/>
      <c r="H40" s="3616"/>
      <c r="I40" s="3616"/>
      <c r="J40" s="3616"/>
      <c r="K40" s="3616"/>
      <c r="L40" s="3616"/>
      <c r="M40" s="3616"/>
      <c r="N40" s="3616"/>
      <c r="O40" s="3616"/>
      <c r="P40" s="3616"/>
      <c r="Q40" s="3616"/>
      <c r="R40" s="3616"/>
      <c r="S40" s="3616"/>
      <c r="T40" s="3617"/>
    </row>
    <row r="41" spans="1:20" s="964" customFormat="1" ht="29.25" customHeight="1" x14ac:dyDescent="0.2">
      <c r="A41" s="963">
        <v>6</v>
      </c>
      <c r="B41" s="963" t="s">
        <v>22</v>
      </c>
      <c r="C41" s="963"/>
      <c r="D41" s="3793" t="s">
        <v>1065</v>
      </c>
      <c r="E41" s="3794"/>
      <c r="F41" s="3794"/>
      <c r="G41" s="3794"/>
      <c r="H41" s="3794"/>
      <c r="I41" s="3794"/>
      <c r="J41" s="3794"/>
      <c r="K41" s="3794"/>
      <c r="L41" s="3794"/>
      <c r="M41" s="3794"/>
      <c r="N41" s="3794"/>
      <c r="O41" s="3794"/>
      <c r="P41" s="3794"/>
      <c r="Q41" s="3794"/>
      <c r="R41" s="3794"/>
      <c r="S41" s="3794"/>
      <c r="T41" s="3795"/>
    </row>
    <row r="42" spans="1:20" s="964" customFormat="1" ht="14.25" customHeight="1" x14ac:dyDescent="0.2">
      <c r="A42" s="835">
        <v>7</v>
      </c>
      <c r="B42" s="835" t="s">
        <v>20</v>
      </c>
      <c r="C42" s="835"/>
      <c r="D42" s="3793" t="s">
        <v>1064</v>
      </c>
      <c r="E42" s="3794"/>
      <c r="F42" s="3794"/>
      <c r="G42" s="3794"/>
      <c r="H42" s="3794"/>
      <c r="I42" s="3794"/>
      <c r="J42" s="3794"/>
      <c r="K42" s="3794"/>
      <c r="L42" s="3794"/>
      <c r="M42" s="3794"/>
      <c r="N42" s="3794"/>
      <c r="O42" s="3794"/>
      <c r="P42" s="3794"/>
      <c r="Q42" s="3794"/>
      <c r="R42" s="3794"/>
      <c r="S42" s="3794"/>
      <c r="T42" s="3795"/>
    </row>
  </sheetData>
  <mergeCells count="10">
    <mergeCell ref="D42:T42"/>
    <mergeCell ref="E8:H8"/>
    <mergeCell ref="I8:L8"/>
    <mergeCell ref="M8:P8"/>
    <mergeCell ref="Q8:T8"/>
    <mergeCell ref="D2:T2"/>
    <mergeCell ref="D3:T3"/>
    <mergeCell ref="D4:T4"/>
    <mergeCell ref="D40:T40"/>
    <mergeCell ref="D41:T41"/>
  </mergeCells>
  <pageMargins left="0.74803149606299213" right="0.74803149606299213" top="0.98425196850393704" bottom="0.98425196850393704" header="0.51181102362204722" footer="0.51181102362204722"/>
  <pageSetup paperSize="9" scale="6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A32"/>
  <sheetViews>
    <sheetView showGridLines="0" view="pageBreakPreview" topLeftCell="N1" zoomScaleNormal="100" zoomScaleSheetLayoutView="100" workbookViewId="0">
      <selection activeCell="D24" sqref="D24:AA24"/>
    </sheetView>
  </sheetViews>
  <sheetFormatPr defaultColWidth="9.140625" defaultRowHeight="12" x14ac:dyDescent="0.2"/>
  <cols>
    <col min="1" max="1" width="3.7109375" style="1687" customWidth="1"/>
    <col min="2" max="2" width="14.42578125" style="1688" customWidth="1"/>
    <col min="3" max="3" width="3.7109375" style="1688" customWidth="1"/>
    <col min="4" max="4" width="22.7109375" style="2010" customWidth="1"/>
    <col min="5" max="5" width="11.42578125" style="428" customWidth="1"/>
    <col min="6" max="6" width="5.42578125" style="1977" customWidth="1"/>
    <col min="7" max="7" width="11.42578125" style="428" customWidth="1"/>
    <col min="8" max="8" width="5.42578125" style="1977" customWidth="1"/>
    <col min="9" max="9" width="11.42578125" style="428" customWidth="1"/>
    <col min="10" max="10" width="5.42578125" style="1977" customWidth="1"/>
    <col min="11" max="11" width="11.42578125" style="1977" customWidth="1"/>
    <col min="12" max="12" width="5.42578125" style="1977" customWidth="1"/>
    <col min="13" max="13" width="11.42578125" style="1977" customWidth="1"/>
    <col min="14" max="15" width="5.42578125" style="1977" customWidth="1"/>
    <col min="16" max="16" width="5.42578125" style="1099" customWidth="1"/>
    <col min="17" max="17" width="22.7109375" style="2010" customWidth="1"/>
    <col min="18" max="18" width="5.85546875" style="428" customWidth="1"/>
    <col min="19" max="19" width="3.42578125" style="428" customWidth="1"/>
    <col min="20" max="20" width="11.5703125" style="428" bestFit="1" customWidth="1"/>
    <col min="21" max="21" width="5.5703125" style="428" customWidth="1"/>
    <col min="22" max="22" width="11" style="428" bestFit="1" customWidth="1"/>
    <col min="23" max="23" width="6.140625" style="428" customWidth="1"/>
    <col min="24" max="258" width="9.140625" style="428"/>
    <col min="259" max="259" width="3.7109375" style="428" customWidth="1"/>
    <col min="260" max="260" width="14.42578125" style="428" customWidth="1"/>
    <col min="261" max="261" width="3.7109375" style="428" customWidth="1"/>
    <col min="262" max="262" width="22.7109375" style="428" customWidth="1"/>
    <col min="263" max="263" width="11.42578125" style="428" customWidth="1"/>
    <col min="264" max="264" width="5.42578125" style="428" customWidth="1"/>
    <col min="265" max="265" width="11.42578125" style="428" customWidth="1"/>
    <col min="266" max="266" width="5.42578125" style="428" customWidth="1"/>
    <col min="267" max="267" width="11.42578125" style="428" customWidth="1"/>
    <col min="268" max="268" width="5.42578125" style="428" customWidth="1"/>
    <col min="269" max="269" width="11.42578125" style="428" customWidth="1"/>
    <col min="270" max="272" width="5.42578125" style="428" customWidth="1"/>
    <col min="273" max="273" width="22.7109375" style="428" customWidth="1"/>
    <col min="274" max="274" width="5.85546875" style="428" customWidth="1"/>
    <col min="275" max="275" width="3.42578125" style="428" customWidth="1"/>
    <col min="276" max="276" width="11.5703125" style="428" bestFit="1" customWidth="1"/>
    <col min="277" max="277" width="5.5703125" style="428" customWidth="1"/>
    <col min="278" max="278" width="11" style="428" bestFit="1" customWidth="1"/>
    <col min="279" max="279" width="6.140625" style="428" customWidth="1"/>
    <col min="280" max="514" width="9.140625" style="428"/>
    <col min="515" max="515" width="3.7109375" style="428" customWidth="1"/>
    <col min="516" max="516" width="14.42578125" style="428" customWidth="1"/>
    <col min="517" max="517" width="3.7109375" style="428" customWidth="1"/>
    <col min="518" max="518" width="22.7109375" style="428" customWidth="1"/>
    <col min="519" max="519" width="11.42578125" style="428" customWidth="1"/>
    <col min="520" max="520" width="5.42578125" style="428" customWidth="1"/>
    <col min="521" max="521" width="11.42578125" style="428" customWidth="1"/>
    <col min="522" max="522" width="5.42578125" style="428" customWidth="1"/>
    <col min="523" max="523" width="11.42578125" style="428" customWidth="1"/>
    <col min="524" max="524" width="5.42578125" style="428" customWidth="1"/>
    <col min="525" max="525" width="11.42578125" style="428" customWidth="1"/>
    <col min="526" max="528" width="5.42578125" style="428" customWidth="1"/>
    <col min="529" max="529" width="22.7109375" style="428" customWidth="1"/>
    <col min="530" max="530" width="5.85546875" style="428" customWidth="1"/>
    <col min="531" max="531" width="3.42578125" style="428" customWidth="1"/>
    <col min="532" max="532" width="11.5703125" style="428" bestFit="1" customWidth="1"/>
    <col min="533" max="533" width="5.5703125" style="428" customWidth="1"/>
    <col min="534" max="534" width="11" style="428" bestFit="1" customWidth="1"/>
    <col min="535" max="535" width="6.140625" style="428" customWidth="1"/>
    <col min="536" max="770" width="9.140625" style="428"/>
    <col min="771" max="771" width="3.7109375" style="428" customWidth="1"/>
    <col min="772" max="772" width="14.42578125" style="428" customWidth="1"/>
    <col min="773" max="773" width="3.7109375" style="428" customWidth="1"/>
    <col min="774" max="774" width="22.7109375" style="428" customWidth="1"/>
    <col min="775" max="775" width="11.42578125" style="428" customWidth="1"/>
    <col min="776" max="776" width="5.42578125" style="428" customWidth="1"/>
    <col min="777" max="777" width="11.42578125" style="428" customWidth="1"/>
    <col min="778" max="778" width="5.42578125" style="428" customWidth="1"/>
    <col min="779" max="779" width="11.42578125" style="428" customWidth="1"/>
    <col min="780" max="780" width="5.42578125" style="428" customWidth="1"/>
    <col min="781" max="781" width="11.42578125" style="428" customWidth="1"/>
    <col min="782" max="784" width="5.42578125" style="428" customWidth="1"/>
    <col min="785" max="785" width="22.7109375" style="428" customWidth="1"/>
    <col min="786" max="786" width="5.85546875" style="428" customWidth="1"/>
    <col min="787" max="787" width="3.42578125" style="428" customWidth="1"/>
    <col min="788" max="788" width="11.5703125" style="428" bestFit="1" customWidth="1"/>
    <col min="789" max="789" width="5.5703125" style="428" customWidth="1"/>
    <col min="790" max="790" width="11" style="428" bestFit="1" customWidth="1"/>
    <col min="791" max="791" width="6.140625" style="428" customWidth="1"/>
    <col min="792" max="1026" width="9.140625" style="428"/>
    <col min="1027" max="1027" width="3.7109375" style="428" customWidth="1"/>
    <col min="1028" max="1028" width="14.42578125" style="428" customWidth="1"/>
    <col min="1029" max="1029" width="3.7109375" style="428" customWidth="1"/>
    <col min="1030" max="1030" width="22.7109375" style="428" customWidth="1"/>
    <col min="1031" max="1031" width="11.42578125" style="428" customWidth="1"/>
    <col min="1032" max="1032" width="5.42578125" style="428" customWidth="1"/>
    <col min="1033" max="1033" width="11.42578125" style="428" customWidth="1"/>
    <col min="1034" max="1034" width="5.42578125" style="428" customWidth="1"/>
    <col min="1035" max="1035" width="11.42578125" style="428" customWidth="1"/>
    <col min="1036" max="1036" width="5.42578125" style="428" customWidth="1"/>
    <col min="1037" max="1037" width="11.42578125" style="428" customWidth="1"/>
    <col min="1038" max="1040" width="5.42578125" style="428" customWidth="1"/>
    <col min="1041" max="1041" width="22.7109375" style="428" customWidth="1"/>
    <col min="1042" max="1042" width="5.85546875" style="428" customWidth="1"/>
    <col min="1043" max="1043" width="3.42578125" style="428" customWidth="1"/>
    <col min="1044" max="1044" width="11.5703125" style="428" bestFit="1" customWidth="1"/>
    <col min="1045" max="1045" width="5.5703125" style="428" customWidth="1"/>
    <col min="1046" max="1046" width="11" style="428" bestFit="1" customWidth="1"/>
    <col min="1047" max="1047" width="6.140625" style="428" customWidth="1"/>
    <col min="1048" max="1282" width="9.140625" style="428"/>
    <col min="1283" max="1283" width="3.7109375" style="428" customWidth="1"/>
    <col min="1284" max="1284" width="14.42578125" style="428" customWidth="1"/>
    <col min="1285" max="1285" width="3.7109375" style="428" customWidth="1"/>
    <col min="1286" max="1286" width="22.7109375" style="428" customWidth="1"/>
    <col min="1287" max="1287" width="11.42578125" style="428" customWidth="1"/>
    <col min="1288" max="1288" width="5.42578125" style="428" customWidth="1"/>
    <col min="1289" max="1289" width="11.42578125" style="428" customWidth="1"/>
    <col min="1290" max="1290" width="5.42578125" style="428" customWidth="1"/>
    <col min="1291" max="1291" width="11.42578125" style="428" customWidth="1"/>
    <col min="1292" max="1292" width="5.42578125" style="428" customWidth="1"/>
    <col min="1293" max="1293" width="11.42578125" style="428" customWidth="1"/>
    <col min="1294" max="1296" width="5.42578125" style="428" customWidth="1"/>
    <col min="1297" max="1297" width="22.7109375" style="428" customWidth="1"/>
    <col min="1298" max="1298" width="5.85546875" style="428" customWidth="1"/>
    <col min="1299" max="1299" width="3.42578125" style="428" customWidth="1"/>
    <col min="1300" max="1300" width="11.5703125" style="428" bestFit="1" customWidth="1"/>
    <col min="1301" max="1301" width="5.5703125" style="428" customWidth="1"/>
    <col min="1302" max="1302" width="11" style="428" bestFit="1" customWidth="1"/>
    <col min="1303" max="1303" width="6.140625" style="428" customWidth="1"/>
    <col min="1304" max="1538" width="9.140625" style="428"/>
    <col min="1539" max="1539" width="3.7109375" style="428" customWidth="1"/>
    <col min="1540" max="1540" width="14.42578125" style="428" customWidth="1"/>
    <col min="1541" max="1541" width="3.7109375" style="428" customWidth="1"/>
    <col min="1542" max="1542" width="22.7109375" style="428" customWidth="1"/>
    <col min="1543" max="1543" width="11.42578125" style="428" customWidth="1"/>
    <col min="1544" max="1544" width="5.42578125" style="428" customWidth="1"/>
    <col min="1545" max="1545" width="11.42578125" style="428" customWidth="1"/>
    <col min="1546" max="1546" width="5.42578125" style="428" customWidth="1"/>
    <col min="1547" max="1547" width="11.42578125" style="428" customWidth="1"/>
    <col min="1548" max="1548" width="5.42578125" style="428" customWidth="1"/>
    <col min="1549" max="1549" width="11.42578125" style="428" customWidth="1"/>
    <col min="1550" max="1552" width="5.42578125" style="428" customWidth="1"/>
    <col min="1553" max="1553" width="22.7109375" style="428" customWidth="1"/>
    <col min="1554" max="1554" width="5.85546875" style="428" customWidth="1"/>
    <col min="1555" max="1555" width="3.42578125" style="428" customWidth="1"/>
    <col min="1556" max="1556" width="11.5703125" style="428" bestFit="1" customWidth="1"/>
    <col min="1557" max="1557" width="5.5703125" style="428" customWidth="1"/>
    <col min="1558" max="1558" width="11" style="428" bestFit="1" customWidth="1"/>
    <col min="1559" max="1559" width="6.140625" style="428" customWidth="1"/>
    <col min="1560" max="1794" width="9.140625" style="428"/>
    <col min="1795" max="1795" width="3.7109375" style="428" customWidth="1"/>
    <col min="1796" max="1796" width="14.42578125" style="428" customWidth="1"/>
    <col min="1797" max="1797" width="3.7109375" style="428" customWidth="1"/>
    <col min="1798" max="1798" width="22.7109375" style="428" customWidth="1"/>
    <col min="1799" max="1799" width="11.42578125" style="428" customWidth="1"/>
    <col min="1800" max="1800" width="5.42578125" style="428" customWidth="1"/>
    <col min="1801" max="1801" width="11.42578125" style="428" customWidth="1"/>
    <col min="1802" max="1802" width="5.42578125" style="428" customWidth="1"/>
    <col min="1803" max="1803" width="11.42578125" style="428" customWidth="1"/>
    <col min="1804" max="1804" width="5.42578125" style="428" customWidth="1"/>
    <col min="1805" max="1805" width="11.42578125" style="428" customWidth="1"/>
    <col min="1806" max="1808" width="5.42578125" style="428" customWidth="1"/>
    <col min="1809" max="1809" width="22.7109375" style="428" customWidth="1"/>
    <col min="1810" max="1810" width="5.85546875" style="428" customWidth="1"/>
    <col min="1811" max="1811" width="3.42578125" style="428" customWidth="1"/>
    <col min="1812" max="1812" width="11.5703125" style="428" bestFit="1" customWidth="1"/>
    <col min="1813" max="1813" width="5.5703125" style="428" customWidth="1"/>
    <col min="1814" max="1814" width="11" style="428" bestFit="1" customWidth="1"/>
    <col min="1815" max="1815" width="6.140625" style="428" customWidth="1"/>
    <col min="1816" max="2050" width="9.140625" style="428"/>
    <col min="2051" max="2051" width="3.7109375" style="428" customWidth="1"/>
    <col min="2052" max="2052" width="14.42578125" style="428" customWidth="1"/>
    <col min="2053" max="2053" width="3.7109375" style="428" customWidth="1"/>
    <col min="2054" max="2054" width="22.7109375" style="428" customWidth="1"/>
    <col min="2055" max="2055" width="11.42578125" style="428" customWidth="1"/>
    <col min="2056" max="2056" width="5.42578125" style="428" customWidth="1"/>
    <col min="2057" max="2057" width="11.42578125" style="428" customWidth="1"/>
    <col min="2058" max="2058" width="5.42578125" style="428" customWidth="1"/>
    <col min="2059" max="2059" width="11.42578125" style="428" customWidth="1"/>
    <col min="2060" max="2060" width="5.42578125" style="428" customWidth="1"/>
    <col min="2061" max="2061" width="11.42578125" style="428" customWidth="1"/>
    <col min="2062" max="2064" width="5.42578125" style="428" customWidth="1"/>
    <col min="2065" max="2065" width="22.7109375" style="428" customWidth="1"/>
    <col min="2066" max="2066" width="5.85546875" style="428" customWidth="1"/>
    <col min="2067" max="2067" width="3.42578125" style="428" customWidth="1"/>
    <col min="2068" max="2068" width="11.5703125" style="428" bestFit="1" customWidth="1"/>
    <col min="2069" max="2069" width="5.5703125" style="428" customWidth="1"/>
    <col min="2070" max="2070" width="11" style="428" bestFit="1" customWidth="1"/>
    <col min="2071" max="2071" width="6.140625" style="428" customWidth="1"/>
    <col min="2072" max="2306" width="9.140625" style="428"/>
    <col min="2307" max="2307" width="3.7109375" style="428" customWidth="1"/>
    <col min="2308" max="2308" width="14.42578125" style="428" customWidth="1"/>
    <col min="2309" max="2309" width="3.7109375" style="428" customWidth="1"/>
    <col min="2310" max="2310" width="22.7109375" style="428" customWidth="1"/>
    <col min="2311" max="2311" width="11.42578125" style="428" customWidth="1"/>
    <col min="2312" max="2312" width="5.42578125" style="428" customWidth="1"/>
    <col min="2313" max="2313" width="11.42578125" style="428" customWidth="1"/>
    <col min="2314" max="2314" width="5.42578125" style="428" customWidth="1"/>
    <col min="2315" max="2315" width="11.42578125" style="428" customWidth="1"/>
    <col min="2316" max="2316" width="5.42578125" style="428" customWidth="1"/>
    <col min="2317" max="2317" width="11.42578125" style="428" customWidth="1"/>
    <col min="2318" max="2320" width="5.42578125" style="428" customWidth="1"/>
    <col min="2321" max="2321" width="22.7109375" style="428" customWidth="1"/>
    <col min="2322" max="2322" width="5.85546875" style="428" customWidth="1"/>
    <col min="2323" max="2323" width="3.42578125" style="428" customWidth="1"/>
    <col min="2324" max="2324" width="11.5703125" style="428" bestFit="1" customWidth="1"/>
    <col min="2325" max="2325" width="5.5703125" style="428" customWidth="1"/>
    <col min="2326" max="2326" width="11" style="428" bestFit="1" customWidth="1"/>
    <col min="2327" max="2327" width="6.140625" style="428" customWidth="1"/>
    <col min="2328" max="2562" width="9.140625" style="428"/>
    <col min="2563" max="2563" width="3.7109375" style="428" customWidth="1"/>
    <col min="2564" max="2564" width="14.42578125" style="428" customWidth="1"/>
    <col min="2565" max="2565" width="3.7109375" style="428" customWidth="1"/>
    <col min="2566" max="2566" width="22.7109375" style="428" customWidth="1"/>
    <col min="2567" max="2567" width="11.42578125" style="428" customWidth="1"/>
    <col min="2568" max="2568" width="5.42578125" style="428" customWidth="1"/>
    <col min="2569" max="2569" width="11.42578125" style="428" customWidth="1"/>
    <col min="2570" max="2570" width="5.42578125" style="428" customWidth="1"/>
    <col min="2571" max="2571" width="11.42578125" style="428" customWidth="1"/>
    <col min="2572" max="2572" width="5.42578125" style="428" customWidth="1"/>
    <col min="2573" max="2573" width="11.42578125" style="428" customWidth="1"/>
    <col min="2574" max="2576" width="5.42578125" style="428" customWidth="1"/>
    <col min="2577" max="2577" width="22.7109375" style="428" customWidth="1"/>
    <col min="2578" max="2578" width="5.85546875" style="428" customWidth="1"/>
    <col min="2579" max="2579" width="3.42578125" style="428" customWidth="1"/>
    <col min="2580" max="2580" width="11.5703125" style="428" bestFit="1" customWidth="1"/>
    <col min="2581" max="2581" width="5.5703125" style="428" customWidth="1"/>
    <col min="2582" max="2582" width="11" style="428" bestFit="1" customWidth="1"/>
    <col min="2583" max="2583" width="6.140625" style="428" customWidth="1"/>
    <col min="2584" max="2818" width="9.140625" style="428"/>
    <col min="2819" max="2819" width="3.7109375" style="428" customWidth="1"/>
    <col min="2820" max="2820" width="14.42578125" style="428" customWidth="1"/>
    <col min="2821" max="2821" width="3.7109375" style="428" customWidth="1"/>
    <col min="2822" max="2822" width="22.7109375" style="428" customWidth="1"/>
    <col min="2823" max="2823" width="11.42578125" style="428" customWidth="1"/>
    <col min="2824" max="2824" width="5.42578125" style="428" customWidth="1"/>
    <col min="2825" max="2825" width="11.42578125" style="428" customWidth="1"/>
    <col min="2826" max="2826" width="5.42578125" style="428" customWidth="1"/>
    <col min="2827" max="2827" width="11.42578125" style="428" customWidth="1"/>
    <col min="2828" max="2828" width="5.42578125" style="428" customWidth="1"/>
    <col min="2829" max="2829" width="11.42578125" style="428" customWidth="1"/>
    <col min="2830" max="2832" width="5.42578125" style="428" customWidth="1"/>
    <col min="2833" max="2833" width="22.7109375" style="428" customWidth="1"/>
    <col min="2834" max="2834" width="5.85546875" style="428" customWidth="1"/>
    <col min="2835" max="2835" width="3.42578125" style="428" customWidth="1"/>
    <col min="2836" max="2836" width="11.5703125" style="428" bestFit="1" customWidth="1"/>
    <col min="2837" max="2837" width="5.5703125" style="428" customWidth="1"/>
    <col min="2838" max="2838" width="11" style="428" bestFit="1" customWidth="1"/>
    <col min="2839" max="2839" width="6.140625" style="428" customWidth="1"/>
    <col min="2840" max="3074" width="9.140625" style="428"/>
    <col min="3075" max="3075" width="3.7109375" style="428" customWidth="1"/>
    <col min="3076" max="3076" width="14.42578125" style="428" customWidth="1"/>
    <col min="3077" max="3077" width="3.7109375" style="428" customWidth="1"/>
    <col min="3078" max="3078" width="22.7109375" style="428" customWidth="1"/>
    <col min="3079" max="3079" width="11.42578125" style="428" customWidth="1"/>
    <col min="3080" max="3080" width="5.42578125" style="428" customWidth="1"/>
    <col min="3081" max="3081" width="11.42578125" style="428" customWidth="1"/>
    <col min="3082" max="3082" width="5.42578125" style="428" customWidth="1"/>
    <col min="3083" max="3083" width="11.42578125" style="428" customWidth="1"/>
    <col min="3084" max="3084" width="5.42578125" style="428" customWidth="1"/>
    <col min="3085" max="3085" width="11.42578125" style="428" customWidth="1"/>
    <col min="3086" max="3088" width="5.42578125" style="428" customWidth="1"/>
    <col min="3089" max="3089" width="22.7109375" style="428" customWidth="1"/>
    <col min="3090" max="3090" width="5.85546875" style="428" customWidth="1"/>
    <col min="3091" max="3091" width="3.42578125" style="428" customWidth="1"/>
    <col min="3092" max="3092" width="11.5703125" style="428" bestFit="1" customWidth="1"/>
    <col min="3093" max="3093" width="5.5703125" style="428" customWidth="1"/>
    <col min="3094" max="3094" width="11" style="428" bestFit="1" customWidth="1"/>
    <col min="3095" max="3095" width="6.140625" style="428" customWidth="1"/>
    <col min="3096" max="3330" width="9.140625" style="428"/>
    <col min="3331" max="3331" width="3.7109375" style="428" customWidth="1"/>
    <col min="3332" max="3332" width="14.42578125" style="428" customWidth="1"/>
    <col min="3333" max="3333" width="3.7109375" style="428" customWidth="1"/>
    <col min="3334" max="3334" width="22.7109375" style="428" customWidth="1"/>
    <col min="3335" max="3335" width="11.42578125" style="428" customWidth="1"/>
    <col min="3336" max="3336" width="5.42578125" style="428" customWidth="1"/>
    <col min="3337" max="3337" width="11.42578125" style="428" customWidth="1"/>
    <col min="3338" max="3338" width="5.42578125" style="428" customWidth="1"/>
    <col min="3339" max="3339" width="11.42578125" style="428" customWidth="1"/>
    <col min="3340" max="3340" width="5.42578125" style="428" customWidth="1"/>
    <col min="3341" max="3341" width="11.42578125" style="428" customWidth="1"/>
    <col min="3342" max="3344" width="5.42578125" style="428" customWidth="1"/>
    <col min="3345" max="3345" width="22.7109375" style="428" customWidth="1"/>
    <col min="3346" max="3346" width="5.85546875" style="428" customWidth="1"/>
    <col min="3347" max="3347" width="3.42578125" style="428" customWidth="1"/>
    <col min="3348" max="3348" width="11.5703125" style="428" bestFit="1" customWidth="1"/>
    <col min="3349" max="3349" width="5.5703125" style="428" customWidth="1"/>
    <col min="3350" max="3350" width="11" style="428" bestFit="1" customWidth="1"/>
    <col min="3351" max="3351" width="6.140625" style="428" customWidth="1"/>
    <col min="3352" max="3586" width="9.140625" style="428"/>
    <col min="3587" max="3587" width="3.7109375" style="428" customWidth="1"/>
    <col min="3588" max="3588" width="14.42578125" style="428" customWidth="1"/>
    <col min="3589" max="3589" width="3.7109375" style="428" customWidth="1"/>
    <col min="3590" max="3590" width="22.7109375" style="428" customWidth="1"/>
    <col min="3591" max="3591" width="11.42578125" style="428" customWidth="1"/>
    <col min="3592" max="3592" width="5.42578125" style="428" customWidth="1"/>
    <col min="3593" max="3593" width="11.42578125" style="428" customWidth="1"/>
    <col min="3594" max="3594" width="5.42578125" style="428" customWidth="1"/>
    <col min="3595" max="3595" width="11.42578125" style="428" customWidth="1"/>
    <col min="3596" max="3596" width="5.42578125" style="428" customWidth="1"/>
    <col min="3597" max="3597" width="11.42578125" style="428" customWidth="1"/>
    <col min="3598" max="3600" width="5.42578125" style="428" customWidth="1"/>
    <col min="3601" max="3601" width="22.7109375" style="428" customWidth="1"/>
    <col min="3602" max="3602" width="5.85546875" style="428" customWidth="1"/>
    <col min="3603" max="3603" width="3.42578125" style="428" customWidth="1"/>
    <col min="3604" max="3604" width="11.5703125" style="428" bestFit="1" customWidth="1"/>
    <col min="3605" max="3605" width="5.5703125" style="428" customWidth="1"/>
    <col min="3606" max="3606" width="11" style="428" bestFit="1" customWidth="1"/>
    <col min="3607" max="3607" width="6.140625" style="428" customWidth="1"/>
    <col min="3608" max="3842" width="9.140625" style="428"/>
    <col min="3843" max="3843" width="3.7109375" style="428" customWidth="1"/>
    <col min="3844" max="3844" width="14.42578125" style="428" customWidth="1"/>
    <col min="3845" max="3845" width="3.7109375" style="428" customWidth="1"/>
    <col min="3846" max="3846" width="22.7109375" style="428" customWidth="1"/>
    <col min="3847" max="3847" width="11.42578125" style="428" customWidth="1"/>
    <col min="3848" max="3848" width="5.42578125" style="428" customWidth="1"/>
    <col min="3849" max="3849" width="11.42578125" style="428" customWidth="1"/>
    <col min="3850" max="3850" width="5.42578125" style="428" customWidth="1"/>
    <col min="3851" max="3851" width="11.42578125" style="428" customWidth="1"/>
    <col min="3852" max="3852" width="5.42578125" style="428" customWidth="1"/>
    <col min="3853" max="3853" width="11.42578125" style="428" customWidth="1"/>
    <col min="3854" max="3856" width="5.42578125" style="428" customWidth="1"/>
    <col min="3857" max="3857" width="22.7109375" style="428" customWidth="1"/>
    <col min="3858" max="3858" width="5.85546875" style="428" customWidth="1"/>
    <col min="3859" max="3859" width="3.42578125" style="428" customWidth="1"/>
    <col min="3860" max="3860" width="11.5703125" style="428" bestFit="1" customWidth="1"/>
    <col min="3861" max="3861" width="5.5703125" style="428" customWidth="1"/>
    <col min="3862" max="3862" width="11" style="428" bestFit="1" customWidth="1"/>
    <col min="3863" max="3863" width="6.140625" style="428" customWidth="1"/>
    <col min="3864" max="4098" width="9.140625" style="428"/>
    <col min="4099" max="4099" width="3.7109375" style="428" customWidth="1"/>
    <col min="4100" max="4100" width="14.42578125" style="428" customWidth="1"/>
    <col min="4101" max="4101" width="3.7109375" style="428" customWidth="1"/>
    <col min="4102" max="4102" width="22.7109375" style="428" customWidth="1"/>
    <col min="4103" max="4103" width="11.42578125" style="428" customWidth="1"/>
    <col min="4104" max="4104" width="5.42578125" style="428" customWidth="1"/>
    <col min="4105" max="4105" width="11.42578125" style="428" customWidth="1"/>
    <col min="4106" max="4106" width="5.42578125" style="428" customWidth="1"/>
    <col min="4107" max="4107" width="11.42578125" style="428" customWidth="1"/>
    <col min="4108" max="4108" width="5.42578125" style="428" customWidth="1"/>
    <col min="4109" max="4109" width="11.42578125" style="428" customWidth="1"/>
    <col min="4110" max="4112" width="5.42578125" style="428" customWidth="1"/>
    <col min="4113" max="4113" width="22.7109375" style="428" customWidth="1"/>
    <col min="4114" max="4114" width="5.85546875" style="428" customWidth="1"/>
    <col min="4115" max="4115" width="3.42578125" style="428" customWidth="1"/>
    <col min="4116" max="4116" width="11.5703125" style="428" bestFit="1" customWidth="1"/>
    <col min="4117" max="4117" width="5.5703125" style="428" customWidth="1"/>
    <col min="4118" max="4118" width="11" style="428" bestFit="1" customWidth="1"/>
    <col min="4119" max="4119" width="6.140625" style="428" customWidth="1"/>
    <col min="4120" max="4354" width="9.140625" style="428"/>
    <col min="4355" max="4355" width="3.7109375" style="428" customWidth="1"/>
    <col min="4356" max="4356" width="14.42578125" style="428" customWidth="1"/>
    <col min="4357" max="4357" width="3.7109375" style="428" customWidth="1"/>
    <col min="4358" max="4358" width="22.7109375" style="428" customWidth="1"/>
    <col min="4359" max="4359" width="11.42578125" style="428" customWidth="1"/>
    <col min="4360" max="4360" width="5.42578125" style="428" customWidth="1"/>
    <col min="4361" max="4361" width="11.42578125" style="428" customWidth="1"/>
    <col min="4362" max="4362" width="5.42578125" style="428" customWidth="1"/>
    <col min="4363" max="4363" width="11.42578125" style="428" customWidth="1"/>
    <col min="4364" max="4364" width="5.42578125" style="428" customWidth="1"/>
    <col min="4365" max="4365" width="11.42578125" style="428" customWidth="1"/>
    <col min="4366" max="4368" width="5.42578125" style="428" customWidth="1"/>
    <col min="4369" max="4369" width="22.7109375" style="428" customWidth="1"/>
    <col min="4370" max="4370" width="5.85546875" style="428" customWidth="1"/>
    <col min="4371" max="4371" width="3.42578125" style="428" customWidth="1"/>
    <col min="4372" max="4372" width="11.5703125" style="428" bestFit="1" customWidth="1"/>
    <col min="4373" max="4373" width="5.5703125" style="428" customWidth="1"/>
    <col min="4374" max="4374" width="11" style="428" bestFit="1" customWidth="1"/>
    <col min="4375" max="4375" width="6.140625" style="428" customWidth="1"/>
    <col min="4376" max="4610" width="9.140625" style="428"/>
    <col min="4611" max="4611" width="3.7109375" style="428" customWidth="1"/>
    <col min="4612" max="4612" width="14.42578125" style="428" customWidth="1"/>
    <col min="4613" max="4613" width="3.7109375" style="428" customWidth="1"/>
    <col min="4614" max="4614" width="22.7109375" style="428" customWidth="1"/>
    <col min="4615" max="4615" width="11.42578125" style="428" customWidth="1"/>
    <col min="4616" max="4616" width="5.42578125" style="428" customWidth="1"/>
    <col min="4617" max="4617" width="11.42578125" style="428" customWidth="1"/>
    <col min="4618" max="4618" width="5.42578125" style="428" customWidth="1"/>
    <col min="4619" max="4619" width="11.42578125" style="428" customWidth="1"/>
    <col min="4620" max="4620" width="5.42578125" style="428" customWidth="1"/>
    <col min="4621" max="4621" width="11.42578125" style="428" customWidth="1"/>
    <col min="4622" max="4624" width="5.42578125" style="428" customWidth="1"/>
    <col min="4625" max="4625" width="22.7109375" style="428" customWidth="1"/>
    <col min="4626" max="4626" width="5.85546875" style="428" customWidth="1"/>
    <col min="4627" max="4627" width="3.42578125" style="428" customWidth="1"/>
    <col min="4628" max="4628" width="11.5703125" style="428" bestFit="1" customWidth="1"/>
    <col min="4629" max="4629" width="5.5703125" style="428" customWidth="1"/>
    <col min="4630" max="4630" width="11" style="428" bestFit="1" customWidth="1"/>
    <col min="4631" max="4631" width="6.140625" style="428" customWidth="1"/>
    <col min="4632" max="4866" width="9.140625" style="428"/>
    <col min="4867" max="4867" width="3.7109375" style="428" customWidth="1"/>
    <col min="4868" max="4868" width="14.42578125" style="428" customWidth="1"/>
    <col min="4869" max="4869" width="3.7109375" style="428" customWidth="1"/>
    <col min="4870" max="4870" width="22.7109375" style="428" customWidth="1"/>
    <col min="4871" max="4871" width="11.42578125" style="428" customWidth="1"/>
    <col min="4872" max="4872" width="5.42578125" style="428" customWidth="1"/>
    <col min="4873" max="4873" width="11.42578125" style="428" customWidth="1"/>
    <col min="4874" max="4874" width="5.42578125" style="428" customWidth="1"/>
    <col min="4875" max="4875" width="11.42578125" style="428" customWidth="1"/>
    <col min="4876" max="4876" width="5.42578125" style="428" customWidth="1"/>
    <col min="4877" max="4877" width="11.42578125" style="428" customWidth="1"/>
    <col min="4878" max="4880" width="5.42578125" style="428" customWidth="1"/>
    <col min="4881" max="4881" width="22.7109375" style="428" customWidth="1"/>
    <col min="4882" max="4882" width="5.85546875" style="428" customWidth="1"/>
    <col min="4883" max="4883" width="3.42578125" style="428" customWidth="1"/>
    <col min="4884" max="4884" width="11.5703125" style="428" bestFit="1" customWidth="1"/>
    <col min="4885" max="4885" width="5.5703125" style="428" customWidth="1"/>
    <col min="4886" max="4886" width="11" style="428" bestFit="1" customWidth="1"/>
    <col min="4887" max="4887" width="6.140625" style="428" customWidth="1"/>
    <col min="4888" max="5122" width="9.140625" style="428"/>
    <col min="5123" max="5123" width="3.7109375" style="428" customWidth="1"/>
    <col min="5124" max="5124" width="14.42578125" style="428" customWidth="1"/>
    <col min="5125" max="5125" width="3.7109375" style="428" customWidth="1"/>
    <col min="5126" max="5126" width="22.7109375" style="428" customWidth="1"/>
    <col min="5127" max="5127" width="11.42578125" style="428" customWidth="1"/>
    <col min="5128" max="5128" width="5.42578125" style="428" customWidth="1"/>
    <col min="5129" max="5129" width="11.42578125" style="428" customWidth="1"/>
    <col min="5130" max="5130" width="5.42578125" style="428" customWidth="1"/>
    <col min="5131" max="5131" width="11.42578125" style="428" customWidth="1"/>
    <col min="5132" max="5132" width="5.42578125" style="428" customWidth="1"/>
    <col min="5133" max="5133" width="11.42578125" style="428" customWidth="1"/>
    <col min="5134" max="5136" width="5.42578125" style="428" customWidth="1"/>
    <col min="5137" max="5137" width="22.7109375" style="428" customWidth="1"/>
    <col min="5138" max="5138" width="5.85546875" style="428" customWidth="1"/>
    <col min="5139" max="5139" width="3.42578125" style="428" customWidth="1"/>
    <col min="5140" max="5140" width="11.5703125" style="428" bestFit="1" customWidth="1"/>
    <col min="5141" max="5141" width="5.5703125" style="428" customWidth="1"/>
    <col min="5142" max="5142" width="11" style="428" bestFit="1" customWidth="1"/>
    <col min="5143" max="5143" width="6.140625" style="428" customWidth="1"/>
    <col min="5144" max="5378" width="9.140625" style="428"/>
    <col min="5379" max="5379" width="3.7109375" style="428" customWidth="1"/>
    <col min="5380" max="5380" width="14.42578125" style="428" customWidth="1"/>
    <col min="5381" max="5381" width="3.7109375" style="428" customWidth="1"/>
    <col min="5382" max="5382" width="22.7109375" style="428" customWidth="1"/>
    <col min="5383" max="5383" width="11.42578125" style="428" customWidth="1"/>
    <col min="5384" max="5384" width="5.42578125" style="428" customWidth="1"/>
    <col min="5385" max="5385" width="11.42578125" style="428" customWidth="1"/>
    <col min="5386" max="5386" width="5.42578125" style="428" customWidth="1"/>
    <col min="5387" max="5387" width="11.42578125" style="428" customWidth="1"/>
    <col min="5388" max="5388" width="5.42578125" style="428" customWidth="1"/>
    <col min="5389" max="5389" width="11.42578125" style="428" customWidth="1"/>
    <col min="5390" max="5392" width="5.42578125" style="428" customWidth="1"/>
    <col min="5393" max="5393" width="22.7109375" style="428" customWidth="1"/>
    <col min="5394" max="5394" width="5.85546875" style="428" customWidth="1"/>
    <col min="5395" max="5395" width="3.42578125" style="428" customWidth="1"/>
    <col min="5396" max="5396" width="11.5703125" style="428" bestFit="1" customWidth="1"/>
    <col min="5397" max="5397" width="5.5703125" style="428" customWidth="1"/>
    <col min="5398" max="5398" width="11" style="428" bestFit="1" customWidth="1"/>
    <col min="5399" max="5399" width="6.140625" style="428" customWidth="1"/>
    <col min="5400" max="5634" width="9.140625" style="428"/>
    <col min="5635" max="5635" width="3.7109375" style="428" customWidth="1"/>
    <col min="5636" max="5636" width="14.42578125" style="428" customWidth="1"/>
    <col min="5637" max="5637" width="3.7109375" style="428" customWidth="1"/>
    <col min="5638" max="5638" width="22.7109375" style="428" customWidth="1"/>
    <col min="5639" max="5639" width="11.42578125" style="428" customWidth="1"/>
    <col min="5640" max="5640" width="5.42578125" style="428" customWidth="1"/>
    <col min="5641" max="5641" width="11.42578125" style="428" customWidth="1"/>
    <col min="5642" max="5642" width="5.42578125" style="428" customWidth="1"/>
    <col min="5643" max="5643" width="11.42578125" style="428" customWidth="1"/>
    <col min="5644" max="5644" width="5.42578125" style="428" customWidth="1"/>
    <col min="5645" max="5645" width="11.42578125" style="428" customWidth="1"/>
    <col min="5646" max="5648" width="5.42578125" style="428" customWidth="1"/>
    <col min="5649" max="5649" width="22.7109375" style="428" customWidth="1"/>
    <col min="5650" max="5650" width="5.85546875" style="428" customWidth="1"/>
    <col min="5651" max="5651" width="3.42578125" style="428" customWidth="1"/>
    <col min="5652" max="5652" width="11.5703125" style="428" bestFit="1" customWidth="1"/>
    <col min="5653" max="5653" width="5.5703125" style="428" customWidth="1"/>
    <col min="5654" max="5654" width="11" style="428" bestFit="1" customWidth="1"/>
    <col min="5655" max="5655" width="6.140625" style="428" customWidth="1"/>
    <col min="5656" max="5890" width="9.140625" style="428"/>
    <col min="5891" max="5891" width="3.7109375" style="428" customWidth="1"/>
    <col min="5892" max="5892" width="14.42578125" style="428" customWidth="1"/>
    <col min="5893" max="5893" width="3.7109375" style="428" customWidth="1"/>
    <col min="5894" max="5894" width="22.7109375" style="428" customWidth="1"/>
    <col min="5895" max="5895" width="11.42578125" style="428" customWidth="1"/>
    <col min="5896" max="5896" width="5.42578125" style="428" customWidth="1"/>
    <col min="5897" max="5897" width="11.42578125" style="428" customWidth="1"/>
    <col min="5898" max="5898" width="5.42578125" style="428" customWidth="1"/>
    <col min="5899" max="5899" width="11.42578125" style="428" customWidth="1"/>
    <col min="5900" max="5900" width="5.42578125" style="428" customWidth="1"/>
    <col min="5901" max="5901" width="11.42578125" style="428" customWidth="1"/>
    <col min="5902" max="5904" width="5.42578125" style="428" customWidth="1"/>
    <col min="5905" max="5905" width="22.7109375" style="428" customWidth="1"/>
    <col min="5906" max="5906" width="5.85546875" style="428" customWidth="1"/>
    <col min="5907" max="5907" width="3.42578125" style="428" customWidth="1"/>
    <col min="5908" max="5908" width="11.5703125" style="428" bestFit="1" customWidth="1"/>
    <col min="5909" max="5909" width="5.5703125" style="428" customWidth="1"/>
    <col min="5910" max="5910" width="11" style="428" bestFit="1" customWidth="1"/>
    <col min="5911" max="5911" width="6.140625" style="428" customWidth="1"/>
    <col min="5912" max="6146" width="9.140625" style="428"/>
    <col min="6147" max="6147" width="3.7109375" style="428" customWidth="1"/>
    <col min="6148" max="6148" width="14.42578125" style="428" customWidth="1"/>
    <col min="6149" max="6149" width="3.7109375" style="428" customWidth="1"/>
    <col min="6150" max="6150" width="22.7109375" style="428" customWidth="1"/>
    <col min="6151" max="6151" width="11.42578125" style="428" customWidth="1"/>
    <col min="6152" max="6152" width="5.42578125" style="428" customWidth="1"/>
    <col min="6153" max="6153" width="11.42578125" style="428" customWidth="1"/>
    <col min="6154" max="6154" width="5.42578125" style="428" customWidth="1"/>
    <col min="6155" max="6155" width="11.42578125" style="428" customWidth="1"/>
    <col min="6156" max="6156" width="5.42578125" style="428" customWidth="1"/>
    <col min="6157" max="6157" width="11.42578125" style="428" customWidth="1"/>
    <col min="6158" max="6160" width="5.42578125" style="428" customWidth="1"/>
    <col min="6161" max="6161" width="22.7109375" style="428" customWidth="1"/>
    <col min="6162" max="6162" width="5.85546875" style="428" customWidth="1"/>
    <col min="6163" max="6163" width="3.42578125" style="428" customWidth="1"/>
    <col min="6164" max="6164" width="11.5703125" style="428" bestFit="1" customWidth="1"/>
    <col min="6165" max="6165" width="5.5703125" style="428" customWidth="1"/>
    <col min="6166" max="6166" width="11" style="428" bestFit="1" customWidth="1"/>
    <col min="6167" max="6167" width="6.140625" style="428" customWidth="1"/>
    <col min="6168" max="6402" width="9.140625" style="428"/>
    <col min="6403" max="6403" width="3.7109375" style="428" customWidth="1"/>
    <col min="6404" max="6404" width="14.42578125" style="428" customWidth="1"/>
    <col min="6405" max="6405" width="3.7109375" style="428" customWidth="1"/>
    <col min="6406" max="6406" width="22.7109375" style="428" customWidth="1"/>
    <col min="6407" max="6407" width="11.42578125" style="428" customWidth="1"/>
    <col min="6408" max="6408" width="5.42578125" style="428" customWidth="1"/>
    <col min="6409" max="6409" width="11.42578125" style="428" customWidth="1"/>
    <col min="6410" max="6410" width="5.42578125" style="428" customWidth="1"/>
    <col min="6411" max="6411" width="11.42578125" style="428" customWidth="1"/>
    <col min="6412" max="6412" width="5.42578125" style="428" customWidth="1"/>
    <col min="6413" max="6413" width="11.42578125" style="428" customWidth="1"/>
    <col min="6414" max="6416" width="5.42578125" style="428" customWidth="1"/>
    <col min="6417" max="6417" width="22.7109375" style="428" customWidth="1"/>
    <col min="6418" max="6418" width="5.85546875" style="428" customWidth="1"/>
    <col min="6419" max="6419" width="3.42578125" style="428" customWidth="1"/>
    <col min="6420" max="6420" width="11.5703125" style="428" bestFit="1" customWidth="1"/>
    <col min="6421" max="6421" width="5.5703125" style="428" customWidth="1"/>
    <col min="6422" max="6422" width="11" style="428" bestFit="1" customWidth="1"/>
    <col min="6423" max="6423" width="6.140625" style="428" customWidth="1"/>
    <col min="6424" max="6658" width="9.140625" style="428"/>
    <col min="6659" max="6659" width="3.7109375" style="428" customWidth="1"/>
    <col min="6660" max="6660" width="14.42578125" style="428" customWidth="1"/>
    <col min="6661" max="6661" width="3.7109375" style="428" customWidth="1"/>
    <col min="6662" max="6662" width="22.7109375" style="428" customWidth="1"/>
    <col min="6663" max="6663" width="11.42578125" style="428" customWidth="1"/>
    <col min="6664" max="6664" width="5.42578125" style="428" customWidth="1"/>
    <col min="6665" max="6665" width="11.42578125" style="428" customWidth="1"/>
    <col min="6666" max="6666" width="5.42578125" style="428" customWidth="1"/>
    <col min="6667" max="6667" width="11.42578125" style="428" customWidth="1"/>
    <col min="6668" max="6668" width="5.42578125" style="428" customWidth="1"/>
    <col min="6669" max="6669" width="11.42578125" style="428" customWidth="1"/>
    <col min="6670" max="6672" width="5.42578125" style="428" customWidth="1"/>
    <col min="6673" max="6673" width="22.7109375" style="428" customWidth="1"/>
    <col min="6674" max="6674" width="5.85546875" style="428" customWidth="1"/>
    <col min="6675" max="6675" width="3.42578125" style="428" customWidth="1"/>
    <col min="6676" max="6676" width="11.5703125" style="428" bestFit="1" customWidth="1"/>
    <col min="6677" max="6677" width="5.5703125" style="428" customWidth="1"/>
    <col min="6678" max="6678" width="11" style="428" bestFit="1" customWidth="1"/>
    <col min="6679" max="6679" width="6.140625" style="428" customWidth="1"/>
    <col min="6680" max="6914" width="9.140625" style="428"/>
    <col min="6915" max="6915" width="3.7109375" style="428" customWidth="1"/>
    <col min="6916" max="6916" width="14.42578125" style="428" customWidth="1"/>
    <col min="6917" max="6917" width="3.7109375" style="428" customWidth="1"/>
    <col min="6918" max="6918" width="22.7109375" style="428" customWidth="1"/>
    <col min="6919" max="6919" width="11.42578125" style="428" customWidth="1"/>
    <col min="6920" max="6920" width="5.42578125" style="428" customWidth="1"/>
    <col min="6921" max="6921" width="11.42578125" style="428" customWidth="1"/>
    <col min="6922" max="6922" width="5.42578125" style="428" customWidth="1"/>
    <col min="6923" max="6923" width="11.42578125" style="428" customWidth="1"/>
    <col min="6924" max="6924" width="5.42578125" style="428" customWidth="1"/>
    <col min="6925" max="6925" width="11.42578125" style="428" customWidth="1"/>
    <col min="6926" max="6928" width="5.42578125" style="428" customWidth="1"/>
    <col min="6929" max="6929" width="22.7109375" style="428" customWidth="1"/>
    <col min="6930" max="6930" width="5.85546875" style="428" customWidth="1"/>
    <col min="6931" max="6931" width="3.42578125" style="428" customWidth="1"/>
    <col min="6932" max="6932" width="11.5703125" style="428" bestFit="1" customWidth="1"/>
    <col min="6933" max="6933" width="5.5703125" style="428" customWidth="1"/>
    <col min="6934" max="6934" width="11" style="428" bestFit="1" customWidth="1"/>
    <col min="6935" max="6935" width="6.140625" style="428" customWidth="1"/>
    <col min="6936" max="7170" width="9.140625" style="428"/>
    <col min="7171" max="7171" width="3.7109375" style="428" customWidth="1"/>
    <col min="7172" max="7172" width="14.42578125" style="428" customWidth="1"/>
    <col min="7173" max="7173" width="3.7109375" style="428" customWidth="1"/>
    <col min="7174" max="7174" width="22.7109375" style="428" customWidth="1"/>
    <col min="7175" max="7175" width="11.42578125" style="428" customWidth="1"/>
    <col min="7176" max="7176" width="5.42578125" style="428" customWidth="1"/>
    <col min="7177" max="7177" width="11.42578125" style="428" customWidth="1"/>
    <col min="7178" max="7178" width="5.42578125" style="428" customWidth="1"/>
    <col min="7179" max="7179" width="11.42578125" style="428" customWidth="1"/>
    <col min="7180" max="7180" width="5.42578125" style="428" customWidth="1"/>
    <col min="7181" max="7181" width="11.42578125" style="428" customWidth="1"/>
    <col min="7182" max="7184" width="5.42578125" style="428" customWidth="1"/>
    <col min="7185" max="7185" width="22.7109375" style="428" customWidth="1"/>
    <col min="7186" max="7186" width="5.85546875" style="428" customWidth="1"/>
    <col min="7187" max="7187" width="3.42578125" style="428" customWidth="1"/>
    <col min="7188" max="7188" width="11.5703125" style="428" bestFit="1" customWidth="1"/>
    <col min="7189" max="7189" width="5.5703125" style="428" customWidth="1"/>
    <col min="7190" max="7190" width="11" style="428" bestFit="1" customWidth="1"/>
    <col min="7191" max="7191" width="6.140625" style="428" customWidth="1"/>
    <col min="7192" max="7426" width="9.140625" style="428"/>
    <col min="7427" max="7427" width="3.7109375" style="428" customWidth="1"/>
    <col min="7428" max="7428" width="14.42578125" style="428" customWidth="1"/>
    <col min="7429" max="7429" width="3.7109375" style="428" customWidth="1"/>
    <col min="7430" max="7430" width="22.7109375" style="428" customWidth="1"/>
    <col min="7431" max="7431" width="11.42578125" style="428" customWidth="1"/>
    <col min="7432" max="7432" width="5.42578125" style="428" customWidth="1"/>
    <col min="7433" max="7433" width="11.42578125" style="428" customWidth="1"/>
    <col min="7434" max="7434" width="5.42578125" style="428" customWidth="1"/>
    <col min="7435" max="7435" width="11.42578125" style="428" customWidth="1"/>
    <col min="7436" max="7436" width="5.42578125" style="428" customWidth="1"/>
    <col min="7437" max="7437" width="11.42578125" style="428" customWidth="1"/>
    <col min="7438" max="7440" width="5.42578125" style="428" customWidth="1"/>
    <col min="7441" max="7441" width="22.7109375" style="428" customWidth="1"/>
    <col min="7442" max="7442" width="5.85546875" style="428" customWidth="1"/>
    <col min="7443" max="7443" width="3.42578125" style="428" customWidth="1"/>
    <col min="7444" max="7444" width="11.5703125" style="428" bestFit="1" customWidth="1"/>
    <col min="7445" max="7445" width="5.5703125" style="428" customWidth="1"/>
    <col min="7446" max="7446" width="11" style="428" bestFit="1" customWidth="1"/>
    <col min="7447" max="7447" width="6.140625" style="428" customWidth="1"/>
    <col min="7448" max="7682" width="9.140625" style="428"/>
    <col min="7683" max="7683" width="3.7109375" style="428" customWidth="1"/>
    <col min="7684" max="7684" width="14.42578125" style="428" customWidth="1"/>
    <col min="7685" max="7685" width="3.7109375" style="428" customWidth="1"/>
    <col min="7686" max="7686" width="22.7109375" style="428" customWidth="1"/>
    <col min="7687" max="7687" width="11.42578125" style="428" customWidth="1"/>
    <col min="7688" max="7688" width="5.42578125" style="428" customWidth="1"/>
    <col min="7689" max="7689" width="11.42578125" style="428" customWidth="1"/>
    <col min="7690" max="7690" width="5.42578125" style="428" customWidth="1"/>
    <col min="7691" max="7691" width="11.42578125" style="428" customWidth="1"/>
    <col min="7692" max="7692" width="5.42578125" style="428" customWidth="1"/>
    <col min="7693" max="7693" width="11.42578125" style="428" customWidth="1"/>
    <col min="7694" max="7696" width="5.42578125" style="428" customWidth="1"/>
    <col min="7697" max="7697" width="22.7109375" style="428" customWidth="1"/>
    <col min="7698" max="7698" width="5.85546875" style="428" customWidth="1"/>
    <col min="7699" max="7699" width="3.42578125" style="428" customWidth="1"/>
    <col min="7700" max="7700" width="11.5703125" style="428" bestFit="1" customWidth="1"/>
    <col min="7701" max="7701" width="5.5703125" style="428" customWidth="1"/>
    <col min="7702" max="7702" width="11" style="428" bestFit="1" customWidth="1"/>
    <col min="7703" max="7703" width="6.140625" style="428" customWidth="1"/>
    <col min="7704" max="7938" width="9.140625" style="428"/>
    <col min="7939" max="7939" width="3.7109375" style="428" customWidth="1"/>
    <col min="7940" max="7940" width="14.42578125" style="428" customWidth="1"/>
    <col min="7941" max="7941" width="3.7109375" style="428" customWidth="1"/>
    <col min="7942" max="7942" width="22.7109375" style="428" customWidth="1"/>
    <col min="7943" max="7943" width="11.42578125" style="428" customWidth="1"/>
    <col min="7944" max="7944" width="5.42578125" style="428" customWidth="1"/>
    <col min="7945" max="7945" width="11.42578125" style="428" customWidth="1"/>
    <col min="7946" max="7946" width="5.42578125" style="428" customWidth="1"/>
    <col min="7947" max="7947" width="11.42578125" style="428" customWidth="1"/>
    <col min="7948" max="7948" width="5.42578125" style="428" customWidth="1"/>
    <col min="7949" max="7949" width="11.42578125" style="428" customWidth="1"/>
    <col min="7950" max="7952" width="5.42578125" style="428" customWidth="1"/>
    <col min="7953" max="7953" width="22.7109375" style="428" customWidth="1"/>
    <col min="7954" max="7954" width="5.85546875" style="428" customWidth="1"/>
    <col min="7955" max="7955" width="3.42578125" style="428" customWidth="1"/>
    <col min="7956" max="7956" width="11.5703125" style="428" bestFit="1" customWidth="1"/>
    <col min="7957" max="7957" width="5.5703125" style="428" customWidth="1"/>
    <col min="7958" max="7958" width="11" style="428" bestFit="1" customWidth="1"/>
    <col min="7959" max="7959" width="6.140625" style="428" customWidth="1"/>
    <col min="7960" max="8194" width="9.140625" style="428"/>
    <col min="8195" max="8195" width="3.7109375" style="428" customWidth="1"/>
    <col min="8196" max="8196" width="14.42578125" style="428" customWidth="1"/>
    <col min="8197" max="8197" width="3.7109375" style="428" customWidth="1"/>
    <col min="8198" max="8198" width="22.7109375" style="428" customWidth="1"/>
    <col min="8199" max="8199" width="11.42578125" style="428" customWidth="1"/>
    <col min="8200" max="8200" width="5.42578125" style="428" customWidth="1"/>
    <col min="8201" max="8201" width="11.42578125" style="428" customWidth="1"/>
    <col min="8202" max="8202" width="5.42578125" style="428" customWidth="1"/>
    <col min="8203" max="8203" width="11.42578125" style="428" customWidth="1"/>
    <col min="8204" max="8204" width="5.42578125" style="428" customWidth="1"/>
    <col min="8205" max="8205" width="11.42578125" style="428" customWidth="1"/>
    <col min="8206" max="8208" width="5.42578125" style="428" customWidth="1"/>
    <col min="8209" max="8209" width="22.7109375" style="428" customWidth="1"/>
    <col min="8210" max="8210" width="5.85546875" style="428" customWidth="1"/>
    <col min="8211" max="8211" width="3.42578125" style="428" customWidth="1"/>
    <col min="8212" max="8212" width="11.5703125" style="428" bestFit="1" customWidth="1"/>
    <col min="8213" max="8213" width="5.5703125" style="428" customWidth="1"/>
    <col min="8214" max="8214" width="11" style="428" bestFit="1" customWidth="1"/>
    <col min="8215" max="8215" width="6.140625" style="428" customWidth="1"/>
    <col min="8216" max="8450" width="9.140625" style="428"/>
    <col min="8451" max="8451" width="3.7109375" style="428" customWidth="1"/>
    <col min="8452" max="8452" width="14.42578125" style="428" customWidth="1"/>
    <col min="8453" max="8453" width="3.7109375" style="428" customWidth="1"/>
    <col min="8454" max="8454" width="22.7109375" style="428" customWidth="1"/>
    <col min="8455" max="8455" width="11.42578125" style="428" customWidth="1"/>
    <col min="8456" max="8456" width="5.42578125" style="428" customWidth="1"/>
    <col min="8457" max="8457" width="11.42578125" style="428" customWidth="1"/>
    <col min="8458" max="8458" width="5.42578125" style="428" customWidth="1"/>
    <col min="8459" max="8459" width="11.42578125" style="428" customWidth="1"/>
    <col min="8460" max="8460" width="5.42578125" style="428" customWidth="1"/>
    <col min="8461" max="8461" width="11.42578125" style="428" customWidth="1"/>
    <col min="8462" max="8464" width="5.42578125" style="428" customWidth="1"/>
    <col min="8465" max="8465" width="22.7109375" style="428" customWidth="1"/>
    <col min="8466" max="8466" width="5.85546875" style="428" customWidth="1"/>
    <col min="8467" max="8467" width="3.42578125" style="428" customWidth="1"/>
    <col min="8468" max="8468" width="11.5703125" style="428" bestFit="1" customWidth="1"/>
    <col min="8469" max="8469" width="5.5703125" style="428" customWidth="1"/>
    <col min="8470" max="8470" width="11" style="428" bestFit="1" customWidth="1"/>
    <col min="8471" max="8471" width="6.140625" style="428" customWidth="1"/>
    <col min="8472" max="8706" width="9.140625" style="428"/>
    <col min="8707" max="8707" width="3.7109375" style="428" customWidth="1"/>
    <col min="8708" max="8708" width="14.42578125" style="428" customWidth="1"/>
    <col min="8709" max="8709" width="3.7109375" style="428" customWidth="1"/>
    <col min="8710" max="8710" width="22.7109375" style="428" customWidth="1"/>
    <col min="8711" max="8711" width="11.42578125" style="428" customWidth="1"/>
    <col min="8712" max="8712" width="5.42578125" style="428" customWidth="1"/>
    <col min="8713" max="8713" width="11.42578125" style="428" customWidth="1"/>
    <col min="8714" max="8714" width="5.42578125" style="428" customWidth="1"/>
    <col min="8715" max="8715" width="11.42578125" style="428" customWidth="1"/>
    <col min="8716" max="8716" width="5.42578125" style="428" customWidth="1"/>
    <col min="8717" max="8717" width="11.42578125" style="428" customWidth="1"/>
    <col min="8718" max="8720" width="5.42578125" style="428" customWidth="1"/>
    <col min="8721" max="8721" width="22.7109375" style="428" customWidth="1"/>
    <col min="8722" max="8722" width="5.85546875" style="428" customWidth="1"/>
    <col min="8723" max="8723" width="3.42578125" style="428" customWidth="1"/>
    <col min="8724" max="8724" width="11.5703125" style="428" bestFit="1" customWidth="1"/>
    <col min="8725" max="8725" width="5.5703125" style="428" customWidth="1"/>
    <col min="8726" max="8726" width="11" style="428" bestFit="1" customWidth="1"/>
    <col min="8727" max="8727" width="6.140625" style="428" customWidth="1"/>
    <col min="8728" max="8962" width="9.140625" style="428"/>
    <col min="8963" max="8963" width="3.7109375" style="428" customWidth="1"/>
    <col min="8964" max="8964" width="14.42578125" style="428" customWidth="1"/>
    <col min="8965" max="8965" width="3.7109375" style="428" customWidth="1"/>
    <col min="8966" max="8966" width="22.7109375" style="428" customWidth="1"/>
    <col min="8967" max="8967" width="11.42578125" style="428" customWidth="1"/>
    <col min="8968" max="8968" width="5.42578125" style="428" customWidth="1"/>
    <col min="8969" max="8969" width="11.42578125" style="428" customWidth="1"/>
    <col min="8970" max="8970" width="5.42578125" style="428" customWidth="1"/>
    <col min="8971" max="8971" width="11.42578125" style="428" customWidth="1"/>
    <col min="8972" max="8972" width="5.42578125" style="428" customWidth="1"/>
    <col min="8973" max="8973" width="11.42578125" style="428" customWidth="1"/>
    <col min="8974" max="8976" width="5.42578125" style="428" customWidth="1"/>
    <col min="8977" max="8977" width="22.7109375" style="428" customWidth="1"/>
    <col min="8978" max="8978" width="5.85546875" style="428" customWidth="1"/>
    <col min="8979" max="8979" width="3.42578125" style="428" customWidth="1"/>
    <col min="8980" max="8980" width="11.5703125" style="428" bestFit="1" customWidth="1"/>
    <col min="8981" max="8981" width="5.5703125" style="428" customWidth="1"/>
    <col min="8982" max="8982" width="11" style="428" bestFit="1" customWidth="1"/>
    <col min="8983" max="8983" width="6.140625" style="428" customWidth="1"/>
    <col min="8984" max="9218" width="9.140625" style="428"/>
    <col min="9219" max="9219" width="3.7109375" style="428" customWidth="1"/>
    <col min="9220" max="9220" width="14.42578125" style="428" customWidth="1"/>
    <col min="9221" max="9221" width="3.7109375" style="428" customWidth="1"/>
    <col min="9222" max="9222" width="22.7109375" style="428" customWidth="1"/>
    <col min="9223" max="9223" width="11.42578125" style="428" customWidth="1"/>
    <col min="9224" max="9224" width="5.42578125" style="428" customWidth="1"/>
    <col min="9225" max="9225" width="11.42578125" style="428" customWidth="1"/>
    <col min="9226" max="9226" width="5.42578125" style="428" customWidth="1"/>
    <col min="9227" max="9227" width="11.42578125" style="428" customWidth="1"/>
    <col min="9228" max="9228" width="5.42578125" style="428" customWidth="1"/>
    <col min="9229" max="9229" width="11.42578125" style="428" customWidth="1"/>
    <col min="9230" max="9232" width="5.42578125" style="428" customWidth="1"/>
    <col min="9233" max="9233" width="22.7109375" style="428" customWidth="1"/>
    <col min="9234" max="9234" width="5.85546875" style="428" customWidth="1"/>
    <col min="9235" max="9235" width="3.42578125" style="428" customWidth="1"/>
    <col min="9236" max="9236" width="11.5703125" style="428" bestFit="1" customWidth="1"/>
    <col min="9237" max="9237" width="5.5703125" style="428" customWidth="1"/>
    <col min="9238" max="9238" width="11" style="428" bestFit="1" customWidth="1"/>
    <col min="9239" max="9239" width="6.140625" style="428" customWidth="1"/>
    <col min="9240" max="9474" width="9.140625" style="428"/>
    <col min="9475" max="9475" width="3.7109375" style="428" customWidth="1"/>
    <col min="9476" max="9476" width="14.42578125" style="428" customWidth="1"/>
    <col min="9477" max="9477" width="3.7109375" style="428" customWidth="1"/>
    <col min="9478" max="9478" width="22.7109375" style="428" customWidth="1"/>
    <col min="9479" max="9479" width="11.42578125" style="428" customWidth="1"/>
    <col min="9480" max="9480" width="5.42578125" style="428" customWidth="1"/>
    <col min="9481" max="9481" width="11.42578125" style="428" customWidth="1"/>
    <col min="9482" max="9482" width="5.42578125" style="428" customWidth="1"/>
    <col min="9483" max="9483" width="11.42578125" style="428" customWidth="1"/>
    <col min="9484" max="9484" width="5.42578125" style="428" customWidth="1"/>
    <col min="9485" max="9485" width="11.42578125" style="428" customWidth="1"/>
    <col min="9486" max="9488" width="5.42578125" style="428" customWidth="1"/>
    <col min="9489" max="9489" width="22.7109375" style="428" customWidth="1"/>
    <col min="9490" max="9490" width="5.85546875" style="428" customWidth="1"/>
    <col min="9491" max="9491" width="3.42578125" style="428" customWidth="1"/>
    <col min="9492" max="9492" width="11.5703125" style="428" bestFit="1" customWidth="1"/>
    <col min="9493" max="9493" width="5.5703125" style="428" customWidth="1"/>
    <col min="9494" max="9494" width="11" style="428" bestFit="1" customWidth="1"/>
    <col min="9495" max="9495" width="6.140625" style="428" customWidth="1"/>
    <col min="9496" max="9730" width="9.140625" style="428"/>
    <col min="9731" max="9731" width="3.7109375" style="428" customWidth="1"/>
    <col min="9732" max="9732" width="14.42578125" style="428" customWidth="1"/>
    <col min="9733" max="9733" width="3.7109375" style="428" customWidth="1"/>
    <col min="9734" max="9734" width="22.7109375" style="428" customWidth="1"/>
    <col min="9735" max="9735" width="11.42578125" style="428" customWidth="1"/>
    <col min="9736" max="9736" width="5.42578125" style="428" customWidth="1"/>
    <col min="9737" max="9737" width="11.42578125" style="428" customWidth="1"/>
    <col min="9738" max="9738" width="5.42578125" style="428" customWidth="1"/>
    <col min="9739" max="9739" width="11.42578125" style="428" customWidth="1"/>
    <col min="9740" max="9740" width="5.42578125" style="428" customWidth="1"/>
    <col min="9741" max="9741" width="11.42578125" style="428" customWidth="1"/>
    <col min="9742" max="9744" width="5.42578125" style="428" customWidth="1"/>
    <col min="9745" max="9745" width="22.7109375" style="428" customWidth="1"/>
    <col min="9746" max="9746" width="5.85546875" style="428" customWidth="1"/>
    <col min="9747" max="9747" width="3.42578125" style="428" customWidth="1"/>
    <col min="9748" max="9748" width="11.5703125" style="428" bestFit="1" customWidth="1"/>
    <col min="9749" max="9749" width="5.5703125" style="428" customWidth="1"/>
    <col min="9750" max="9750" width="11" style="428" bestFit="1" customWidth="1"/>
    <col min="9751" max="9751" width="6.140625" style="428" customWidth="1"/>
    <col min="9752" max="9986" width="9.140625" style="428"/>
    <col min="9987" max="9987" width="3.7109375" style="428" customWidth="1"/>
    <col min="9988" max="9988" width="14.42578125" style="428" customWidth="1"/>
    <col min="9989" max="9989" width="3.7109375" style="428" customWidth="1"/>
    <col min="9990" max="9990" width="22.7109375" style="428" customWidth="1"/>
    <col min="9991" max="9991" width="11.42578125" style="428" customWidth="1"/>
    <col min="9992" max="9992" width="5.42578125" style="428" customWidth="1"/>
    <col min="9993" max="9993" width="11.42578125" style="428" customWidth="1"/>
    <col min="9994" max="9994" width="5.42578125" style="428" customWidth="1"/>
    <col min="9995" max="9995" width="11.42578125" style="428" customWidth="1"/>
    <col min="9996" max="9996" width="5.42578125" style="428" customWidth="1"/>
    <col min="9997" max="9997" width="11.42578125" style="428" customWidth="1"/>
    <col min="9998" max="10000" width="5.42578125" style="428" customWidth="1"/>
    <col min="10001" max="10001" width="22.7109375" style="428" customWidth="1"/>
    <col min="10002" max="10002" width="5.85546875" style="428" customWidth="1"/>
    <col min="10003" max="10003" width="3.42578125" style="428" customWidth="1"/>
    <col min="10004" max="10004" width="11.5703125" style="428" bestFit="1" customWidth="1"/>
    <col min="10005" max="10005" width="5.5703125" style="428" customWidth="1"/>
    <col min="10006" max="10006" width="11" style="428" bestFit="1" customWidth="1"/>
    <col min="10007" max="10007" width="6.140625" style="428" customWidth="1"/>
    <col min="10008" max="10242" width="9.140625" style="428"/>
    <col min="10243" max="10243" width="3.7109375" style="428" customWidth="1"/>
    <col min="10244" max="10244" width="14.42578125" style="428" customWidth="1"/>
    <col min="10245" max="10245" width="3.7109375" style="428" customWidth="1"/>
    <col min="10246" max="10246" width="22.7109375" style="428" customWidth="1"/>
    <col min="10247" max="10247" width="11.42578125" style="428" customWidth="1"/>
    <col min="10248" max="10248" width="5.42578125" style="428" customWidth="1"/>
    <col min="10249" max="10249" width="11.42578125" style="428" customWidth="1"/>
    <col min="10250" max="10250" width="5.42578125" style="428" customWidth="1"/>
    <col min="10251" max="10251" width="11.42578125" style="428" customWidth="1"/>
    <col min="10252" max="10252" width="5.42578125" style="428" customWidth="1"/>
    <col min="10253" max="10253" width="11.42578125" style="428" customWidth="1"/>
    <col min="10254" max="10256" width="5.42578125" style="428" customWidth="1"/>
    <col min="10257" max="10257" width="22.7109375" style="428" customWidth="1"/>
    <col min="10258" max="10258" width="5.85546875" style="428" customWidth="1"/>
    <col min="10259" max="10259" width="3.42578125" style="428" customWidth="1"/>
    <col min="10260" max="10260" width="11.5703125" style="428" bestFit="1" customWidth="1"/>
    <col min="10261" max="10261" width="5.5703125" style="428" customWidth="1"/>
    <col min="10262" max="10262" width="11" style="428" bestFit="1" customWidth="1"/>
    <col min="10263" max="10263" width="6.140625" style="428" customWidth="1"/>
    <col min="10264" max="10498" width="9.140625" style="428"/>
    <col min="10499" max="10499" width="3.7109375" style="428" customWidth="1"/>
    <col min="10500" max="10500" width="14.42578125" style="428" customWidth="1"/>
    <col min="10501" max="10501" width="3.7109375" style="428" customWidth="1"/>
    <col min="10502" max="10502" width="22.7109375" style="428" customWidth="1"/>
    <col min="10503" max="10503" width="11.42578125" style="428" customWidth="1"/>
    <col min="10504" max="10504" width="5.42578125" style="428" customWidth="1"/>
    <col min="10505" max="10505" width="11.42578125" style="428" customWidth="1"/>
    <col min="10506" max="10506" width="5.42578125" style="428" customWidth="1"/>
    <col min="10507" max="10507" width="11.42578125" style="428" customWidth="1"/>
    <col min="10508" max="10508" width="5.42578125" style="428" customWidth="1"/>
    <col min="10509" max="10509" width="11.42578125" style="428" customWidth="1"/>
    <col min="10510" max="10512" width="5.42578125" style="428" customWidth="1"/>
    <col min="10513" max="10513" width="22.7109375" style="428" customWidth="1"/>
    <col min="10514" max="10514" width="5.85546875" style="428" customWidth="1"/>
    <col min="10515" max="10515" width="3.42578125" style="428" customWidth="1"/>
    <col min="10516" max="10516" width="11.5703125" style="428" bestFit="1" customWidth="1"/>
    <col min="10517" max="10517" width="5.5703125" style="428" customWidth="1"/>
    <col min="10518" max="10518" width="11" style="428" bestFit="1" customWidth="1"/>
    <col min="10519" max="10519" width="6.140625" style="428" customWidth="1"/>
    <col min="10520" max="10754" width="9.140625" style="428"/>
    <col min="10755" max="10755" width="3.7109375" style="428" customWidth="1"/>
    <col min="10756" max="10756" width="14.42578125" style="428" customWidth="1"/>
    <col min="10757" max="10757" width="3.7109375" style="428" customWidth="1"/>
    <col min="10758" max="10758" width="22.7109375" style="428" customWidth="1"/>
    <col min="10759" max="10759" width="11.42578125" style="428" customWidth="1"/>
    <col min="10760" max="10760" width="5.42578125" style="428" customWidth="1"/>
    <col min="10761" max="10761" width="11.42578125" style="428" customWidth="1"/>
    <col min="10762" max="10762" width="5.42578125" style="428" customWidth="1"/>
    <col min="10763" max="10763" width="11.42578125" style="428" customWidth="1"/>
    <col min="10764" max="10764" width="5.42578125" style="428" customWidth="1"/>
    <col min="10765" max="10765" width="11.42578125" style="428" customWidth="1"/>
    <col min="10766" max="10768" width="5.42578125" style="428" customWidth="1"/>
    <col min="10769" max="10769" width="22.7109375" style="428" customWidth="1"/>
    <col min="10770" max="10770" width="5.85546875" style="428" customWidth="1"/>
    <col min="10771" max="10771" width="3.42578125" style="428" customWidth="1"/>
    <col min="10772" max="10772" width="11.5703125" style="428" bestFit="1" customWidth="1"/>
    <col min="10773" max="10773" width="5.5703125" style="428" customWidth="1"/>
    <col min="10774" max="10774" width="11" style="428" bestFit="1" customWidth="1"/>
    <col min="10775" max="10775" width="6.140625" style="428" customWidth="1"/>
    <col min="10776" max="11010" width="9.140625" style="428"/>
    <col min="11011" max="11011" width="3.7109375" style="428" customWidth="1"/>
    <col min="11012" max="11012" width="14.42578125" style="428" customWidth="1"/>
    <col min="11013" max="11013" width="3.7109375" style="428" customWidth="1"/>
    <col min="11014" max="11014" width="22.7109375" style="428" customWidth="1"/>
    <col min="11015" max="11015" width="11.42578125" style="428" customWidth="1"/>
    <col min="11016" max="11016" width="5.42578125" style="428" customWidth="1"/>
    <col min="11017" max="11017" width="11.42578125" style="428" customWidth="1"/>
    <col min="11018" max="11018" width="5.42578125" style="428" customWidth="1"/>
    <col min="11019" max="11019" width="11.42578125" style="428" customWidth="1"/>
    <col min="11020" max="11020" width="5.42578125" style="428" customWidth="1"/>
    <col min="11021" max="11021" width="11.42578125" style="428" customWidth="1"/>
    <col min="11022" max="11024" width="5.42578125" style="428" customWidth="1"/>
    <col min="11025" max="11025" width="22.7109375" style="428" customWidth="1"/>
    <col min="11026" max="11026" width="5.85546875" style="428" customWidth="1"/>
    <col min="11027" max="11027" width="3.42578125" style="428" customWidth="1"/>
    <col min="11028" max="11028" width="11.5703125" style="428" bestFit="1" customWidth="1"/>
    <col min="11029" max="11029" width="5.5703125" style="428" customWidth="1"/>
    <col min="11030" max="11030" width="11" style="428" bestFit="1" customWidth="1"/>
    <col min="11031" max="11031" width="6.140625" style="428" customWidth="1"/>
    <col min="11032" max="11266" width="9.140625" style="428"/>
    <col min="11267" max="11267" width="3.7109375" style="428" customWidth="1"/>
    <col min="11268" max="11268" width="14.42578125" style="428" customWidth="1"/>
    <col min="11269" max="11269" width="3.7109375" style="428" customWidth="1"/>
    <col min="11270" max="11270" width="22.7109375" style="428" customWidth="1"/>
    <col min="11271" max="11271" width="11.42578125" style="428" customWidth="1"/>
    <col min="11272" max="11272" width="5.42578125" style="428" customWidth="1"/>
    <col min="11273" max="11273" width="11.42578125" style="428" customWidth="1"/>
    <col min="11274" max="11274" width="5.42578125" style="428" customWidth="1"/>
    <col min="11275" max="11275" width="11.42578125" style="428" customWidth="1"/>
    <col min="11276" max="11276" width="5.42578125" style="428" customWidth="1"/>
    <col min="11277" max="11277" width="11.42578125" style="428" customWidth="1"/>
    <col min="11278" max="11280" width="5.42578125" style="428" customWidth="1"/>
    <col min="11281" max="11281" width="22.7109375" style="428" customWidth="1"/>
    <col min="11282" max="11282" width="5.85546875" style="428" customWidth="1"/>
    <col min="11283" max="11283" width="3.42578125" style="428" customWidth="1"/>
    <col min="11284" max="11284" width="11.5703125" style="428" bestFit="1" customWidth="1"/>
    <col min="11285" max="11285" width="5.5703125" style="428" customWidth="1"/>
    <col min="11286" max="11286" width="11" style="428" bestFit="1" customWidth="1"/>
    <col min="11287" max="11287" width="6.140625" style="428" customWidth="1"/>
    <col min="11288" max="11522" width="9.140625" style="428"/>
    <col min="11523" max="11523" width="3.7109375" style="428" customWidth="1"/>
    <col min="11524" max="11524" width="14.42578125" style="428" customWidth="1"/>
    <col min="11525" max="11525" width="3.7109375" style="428" customWidth="1"/>
    <col min="11526" max="11526" width="22.7109375" style="428" customWidth="1"/>
    <col min="11527" max="11527" width="11.42578125" style="428" customWidth="1"/>
    <col min="11528" max="11528" width="5.42578125" style="428" customWidth="1"/>
    <col min="11529" max="11529" width="11.42578125" style="428" customWidth="1"/>
    <col min="11530" max="11530" width="5.42578125" style="428" customWidth="1"/>
    <col min="11531" max="11531" width="11.42578125" style="428" customWidth="1"/>
    <col min="11532" max="11532" width="5.42578125" style="428" customWidth="1"/>
    <col min="11533" max="11533" width="11.42578125" style="428" customWidth="1"/>
    <col min="11534" max="11536" width="5.42578125" style="428" customWidth="1"/>
    <col min="11537" max="11537" width="22.7109375" style="428" customWidth="1"/>
    <col min="11538" max="11538" width="5.85546875" style="428" customWidth="1"/>
    <col min="11539" max="11539" width="3.42578125" style="428" customWidth="1"/>
    <col min="11540" max="11540" width="11.5703125" style="428" bestFit="1" customWidth="1"/>
    <col min="11541" max="11541" width="5.5703125" style="428" customWidth="1"/>
    <col min="11542" max="11542" width="11" style="428" bestFit="1" customWidth="1"/>
    <col min="11543" max="11543" width="6.140625" style="428" customWidth="1"/>
    <col min="11544" max="11778" width="9.140625" style="428"/>
    <col min="11779" max="11779" width="3.7109375" style="428" customWidth="1"/>
    <col min="11780" max="11780" width="14.42578125" style="428" customWidth="1"/>
    <col min="11781" max="11781" width="3.7109375" style="428" customWidth="1"/>
    <col min="11782" max="11782" width="22.7109375" style="428" customWidth="1"/>
    <col min="11783" max="11783" width="11.42578125" style="428" customWidth="1"/>
    <col min="11784" max="11784" width="5.42578125" style="428" customWidth="1"/>
    <col min="11785" max="11785" width="11.42578125" style="428" customWidth="1"/>
    <col min="11786" max="11786" width="5.42578125" style="428" customWidth="1"/>
    <col min="11787" max="11787" width="11.42578125" style="428" customWidth="1"/>
    <col min="11788" max="11788" width="5.42578125" style="428" customWidth="1"/>
    <col min="11789" max="11789" width="11.42578125" style="428" customWidth="1"/>
    <col min="11790" max="11792" width="5.42578125" style="428" customWidth="1"/>
    <col min="11793" max="11793" width="22.7109375" style="428" customWidth="1"/>
    <col min="11794" max="11794" width="5.85546875" style="428" customWidth="1"/>
    <col min="11795" max="11795" width="3.42578125" style="428" customWidth="1"/>
    <col min="11796" max="11796" width="11.5703125" style="428" bestFit="1" customWidth="1"/>
    <col min="11797" max="11797" width="5.5703125" style="428" customWidth="1"/>
    <col min="11798" max="11798" width="11" style="428" bestFit="1" customWidth="1"/>
    <col min="11799" max="11799" width="6.140625" style="428" customWidth="1"/>
    <col min="11800" max="12034" width="9.140625" style="428"/>
    <col min="12035" max="12035" width="3.7109375" style="428" customWidth="1"/>
    <col min="12036" max="12036" width="14.42578125" style="428" customWidth="1"/>
    <col min="12037" max="12037" width="3.7109375" style="428" customWidth="1"/>
    <col min="12038" max="12038" width="22.7109375" style="428" customWidth="1"/>
    <col min="12039" max="12039" width="11.42578125" style="428" customWidth="1"/>
    <col min="12040" max="12040" width="5.42578125" style="428" customWidth="1"/>
    <col min="12041" max="12041" width="11.42578125" style="428" customWidth="1"/>
    <col min="12042" max="12042" width="5.42578125" style="428" customWidth="1"/>
    <col min="12043" max="12043" width="11.42578125" style="428" customWidth="1"/>
    <col min="12044" max="12044" width="5.42578125" style="428" customWidth="1"/>
    <col min="12045" max="12045" width="11.42578125" style="428" customWidth="1"/>
    <col min="12046" max="12048" width="5.42578125" style="428" customWidth="1"/>
    <col min="12049" max="12049" width="22.7109375" style="428" customWidth="1"/>
    <col min="12050" max="12050" width="5.85546875" style="428" customWidth="1"/>
    <col min="12051" max="12051" width="3.42578125" style="428" customWidth="1"/>
    <col min="12052" max="12052" width="11.5703125" style="428" bestFit="1" customWidth="1"/>
    <col min="12053" max="12053" width="5.5703125" style="428" customWidth="1"/>
    <col min="12054" max="12054" width="11" style="428" bestFit="1" customWidth="1"/>
    <col min="12055" max="12055" width="6.140625" style="428" customWidth="1"/>
    <col min="12056" max="12290" width="9.140625" style="428"/>
    <col min="12291" max="12291" width="3.7109375" style="428" customWidth="1"/>
    <col min="12292" max="12292" width="14.42578125" style="428" customWidth="1"/>
    <col min="12293" max="12293" width="3.7109375" style="428" customWidth="1"/>
    <col min="12294" max="12294" width="22.7109375" style="428" customWidth="1"/>
    <col min="12295" max="12295" width="11.42578125" style="428" customWidth="1"/>
    <col min="12296" max="12296" width="5.42578125" style="428" customWidth="1"/>
    <col min="12297" max="12297" width="11.42578125" style="428" customWidth="1"/>
    <col min="12298" max="12298" width="5.42578125" style="428" customWidth="1"/>
    <col min="12299" max="12299" width="11.42578125" style="428" customWidth="1"/>
    <col min="12300" max="12300" width="5.42578125" style="428" customWidth="1"/>
    <col min="12301" max="12301" width="11.42578125" style="428" customWidth="1"/>
    <col min="12302" max="12304" width="5.42578125" style="428" customWidth="1"/>
    <col min="12305" max="12305" width="22.7109375" style="428" customWidth="1"/>
    <col min="12306" max="12306" width="5.85546875" style="428" customWidth="1"/>
    <col min="12307" max="12307" width="3.42578125" style="428" customWidth="1"/>
    <col min="12308" max="12308" width="11.5703125" style="428" bestFit="1" customWidth="1"/>
    <col min="12309" max="12309" width="5.5703125" style="428" customWidth="1"/>
    <col min="12310" max="12310" width="11" style="428" bestFit="1" customWidth="1"/>
    <col min="12311" max="12311" width="6.140625" style="428" customWidth="1"/>
    <col min="12312" max="12546" width="9.140625" style="428"/>
    <col min="12547" max="12547" width="3.7109375" style="428" customWidth="1"/>
    <col min="12548" max="12548" width="14.42578125" style="428" customWidth="1"/>
    <col min="12549" max="12549" width="3.7109375" style="428" customWidth="1"/>
    <col min="12550" max="12550" width="22.7109375" style="428" customWidth="1"/>
    <col min="12551" max="12551" width="11.42578125" style="428" customWidth="1"/>
    <col min="12552" max="12552" width="5.42578125" style="428" customWidth="1"/>
    <col min="12553" max="12553" width="11.42578125" style="428" customWidth="1"/>
    <col min="12554" max="12554" width="5.42578125" style="428" customWidth="1"/>
    <col min="12555" max="12555" width="11.42578125" style="428" customWidth="1"/>
    <col min="12556" max="12556" width="5.42578125" style="428" customWidth="1"/>
    <col min="12557" max="12557" width="11.42578125" style="428" customWidth="1"/>
    <col min="12558" max="12560" width="5.42578125" style="428" customWidth="1"/>
    <col min="12561" max="12561" width="22.7109375" style="428" customWidth="1"/>
    <col min="12562" max="12562" width="5.85546875" style="428" customWidth="1"/>
    <col min="12563" max="12563" width="3.42578125" style="428" customWidth="1"/>
    <col min="12564" max="12564" width="11.5703125" style="428" bestFit="1" customWidth="1"/>
    <col min="12565" max="12565" width="5.5703125" style="428" customWidth="1"/>
    <col min="12566" max="12566" width="11" style="428" bestFit="1" customWidth="1"/>
    <col min="12567" max="12567" width="6.140625" style="428" customWidth="1"/>
    <col min="12568" max="12802" width="9.140625" style="428"/>
    <col min="12803" max="12803" width="3.7109375" style="428" customWidth="1"/>
    <col min="12804" max="12804" width="14.42578125" style="428" customWidth="1"/>
    <col min="12805" max="12805" width="3.7109375" style="428" customWidth="1"/>
    <col min="12806" max="12806" width="22.7109375" style="428" customWidth="1"/>
    <col min="12807" max="12807" width="11.42578125" style="428" customWidth="1"/>
    <col min="12808" max="12808" width="5.42578125" style="428" customWidth="1"/>
    <col min="12809" max="12809" width="11.42578125" style="428" customWidth="1"/>
    <col min="12810" max="12810" width="5.42578125" style="428" customWidth="1"/>
    <col min="12811" max="12811" width="11.42578125" style="428" customWidth="1"/>
    <col min="12812" max="12812" width="5.42578125" style="428" customWidth="1"/>
    <col min="12813" max="12813" width="11.42578125" style="428" customWidth="1"/>
    <col min="12814" max="12816" width="5.42578125" style="428" customWidth="1"/>
    <col min="12817" max="12817" width="22.7109375" style="428" customWidth="1"/>
    <col min="12818" max="12818" width="5.85546875" style="428" customWidth="1"/>
    <col min="12819" max="12819" width="3.42578125" style="428" customWidth="1"/>
    <col min="12820" max="12820" width="11.5703125" style="428" bestFit="1" customWidth="1"/>
    <col min="12821" max="12821" width="5.5703125" style="428" customWidth="1"/>
    <col min="12822" max="12822" width="11" style="428" bestFit="1" customWidth="1"/>
    <col min="12823" max="12823" width="6.140625" style="428" customWidth="1"/>
    <col min="12824" max="13058" width="9.140625" style="428"/>
    <col min="13059" max="13059" width="3.7109375" style="428" customWidth="1"/>
    <col min="13060" max="13060" width="14.42578125" style="428" customWidth="1"/>
    <col min="13061" max="13061" width="3.7109375" style="428" customWidth="1"/>
    <col min="13062" max="13062" width="22.7109375" style="428" customWidth="1"/>
    <col min="13063" max="13063" width="11.42578125" style="428" customWidth="1"/>
    <col min="13064" max="13064" width="5.42578125" style="428" customWidth="1"/>
    <col min="13065" max="13065" width="11.42578125" style="428" customWidth="1"/>
    <col min="13066" max="13066" width="5.42578125" style="428" customWidth="1"/>
    <col min="13067" max="13067" width="11.42578125" style="428" customWidth="1"/>
    <col min="13068" max="13068" width="5.42578125" style="428" customWidth="1"/>
    <col min="13069" max="13069" width="11.42578125" style="428" customWidth="1"/>
    <col min="13070" max="13072" width="5.42578125" style="428" customWidth="1"/>
    <col min="13073" max="13073" width="22.7109375" style="428" customWidth="1"/>
    <col min="13074" max="13074" width="5.85546875" style="428" customWidth="1"/>
    <col min="13075" max="13075" width="3.42578125" style="428" customWidth="1"/>
    <col min="13076" max="13076" width="11.5703125" style="428" bestFit="1" customWidth="1"/>
    <col min="13077" max="13077" width="5.5703125" style="428" customWidth="1"/>
    <col min="13078" max="13078" width="11" style="428" bestFit="1" customWidth="1"/>
    <col min="13079" max="13079" width="6.140625" style="428" customWidth="1"/>
    <col min="13080" max="13314" width="9.140625" style="428"/>
    <col min="13315" max="13315" width="3.7109375" style="428" customWidth="1"/>
    <col min="13316" max="13316" width="14.42578125" style="428" customWidth="1"/>
    <col min="13317" max="13317" width="3.7109375" style="428" customWidth="1"/>
    <col min="13318" max="13318" width="22.7109375" style="428" customWidth="1"/>
    <col min="13319" max="13319" width="11.42578125" style="428" customWidth="1"/>
    <col min="13320" max="13320" width="5.42578125" style="428" customWidth="1"/>
    <col min="13321" max="13321" width="11.42578125" style="428" customWidth="1"/>
    <col min="13322" max="13322" width="5.42578125" style="428" customWidth="1"/>
    <col min="13323" max="13323" width="11.42578125" style="428" customWidth="1"/>
    <col min="13324" max="13324" width="5.42578125" style="428" customWidth="1"/>
    <col min="13325" max="13325" width="11.42578125" style="428" customWidth="1"/>
    <col min="13326" max="13328" width="5.42578125" style="428" customWidth="1"/>
    <col min="13329" max="13329" width="22.7109375" style="428" customWidth="1"/>
    <col min="13330" max="13330" width="5.85546875" style="428" customWidth="1"/>
    <col min="13331" max="13331" width="3.42578125" style="428" customWidth="1"/>
    <col min="13332" max="13332" width="11.5703125" style="428" bestFit="1" customWidth="1"/>
    <col min="13333" max="13333" width="5.5703125" style="428" customWidth="1"/>
    <col min="13334" max="13334" width="11" style="428" bestFit="1" customWidth="1"/>
    <col min="13335" max="13335" width="6.140625" style="428" customWidth="1"/>
    <col min="13336" max="13570" width="9.140625" style="428"/>
    <col min="13571" max="13571" width="3.7109375" style="428" customWidth="1"/>
    <col min="13572" max="13572" width="14.42578125" style="428" customWidth="1"/>
    <col min="13573" max="13573" width="3.7109375" style="428" customWidth="1"/>
    <col min="13574" max="13574" width="22.7109375" style="428" customWidth="1"/>
    <col min="13575" max="13575" width="11.42578125" style="428" customWidth="1"/>
    <col min="13576" max="13576" width="5.42578125" style="428" customWidth="1"/>
    <col min="13577" max="13577" width="11.42578125" style="428" customWidth="1"/>
    <col min="13578" max="13578" width="5.42578125" style="428" customWidth="1"/>
    <col min="13579" max="13579" width="11.42578125" style="428" customWidth="1"/>
    <col min="13580" max="13580" width="5.42578125" style="428" customWidth="1"/>
    <col min="13581" max="13581" width="11.42578125" style="428" customWidth="1"/>
    <col min="13582" max="13584" width="5.42578125" style="428" customWidth="1"/>
    <col min="13585" max="13585" width="22.7109375" style="428" customWidth="1"/>
    <col min="13586" max="13586" width="5.85546875" style="428" customWidth="1"/>
    <col min="13587" max="13587" width="3.42578125" style="428" customWidth="1"/>
    <col min="13588" max="13588" width="11.5703125" style="428" bestFit="1" customWidth="1"/>
    <col min="13589" max="13589" width="5.5703125" style="428" customWidth="1"/>
    <col min="13590" max="13590" width="11" style="428" bestFit="1" customWidth="1"/>
    <col min="13591" max="13591" width="6.140625" style="428" customWidth="1"/>
    <col min="13592" max="13826" width="9.140625" style="428"/>
    <col min="13827" max="13827" width="3.7109375" style="428" customWidth="1"/>
    <col min="13828" max="13828" width="14.42578125" style="428" customWidth="1"/>
    <col min="13829" max="13829" width="3.7109375" style="428" customWidth="1"/>
    <col min="13830" max="13830" width="22.7109375" style="428" customWidth="1"/>
    <col min="13831" max="13831" width="11.42578125" style="428" customWidth="1"/>
    <col min="13832" max="13832" width="5.42578125" style="428" customWidth="1"/>
    <col min="13833" max="13833" width="11.42578125" style="428" customWidth="1"/>
    <col min="13834" max="13834" width="5.42578125" style="428" customWidth="1"/>
    <col min="13835" max="13835" width="11.42578125" style="428" customWidth="1"/>
    <col min="13836" max="13836" width="5.42578125" style="428" customWidth="1"/>
    <col min="13837" max="13837" width="11.42578125" style="428" customWidth="1"/>
    <col min="13838" max="13840" width="5.42578125" style="428" customWidth="1"/>
    <col min="13841" max="13841" width="22.7109375" style="428" customWidth="1"/>
    <col min="13842" max="13842" width="5.85546875" style="428" customWidth="1"/>
    <col min="13843" max="13843" width="3.42578125" style="428" customWidth="1"/>
    <col min="13844" max="13844" width="11.5703125" style="428" bestFit="1" customWidth="1"/>
    <col min="13845" max="13845" width="5.5703125" style="428" customWidth="1"/>
    <col min="13846" max="13846" width="11" style="428" bestFit="1" customWidth="1"/>
    <col min="13847" max="13847" width="6.140625" style="428" customWidth="1"/>
    <col min="13848" max="14082" width="9.140625" style="428"/>
    <col min="14083" max="14083" width="3.7109375" style="428" customWidth="1"/>
    <col min="14084" max="14084" width="14.42578125" style="428" customWidth="1"/>
    <col min="14085" max="14085" width="3.7109375" style="428" customWidth="1"/>
    <col min="14086" max="14086" width="22.7109375" style="428" customWidth="1"/>
    <col min="14087" max="14087" width="11.42578125" style="428" customWidth="1"/>
    <col min="14088" max="14088" width="5.42578125" style="428" customWidth="1"/>
    <col min="14089" max="14089" width="11.42578125" style="428" customWidth="1"/>
    <col min="14090" max="14090" width="5.42578125" style="428" customWidth="1"/>
    <col min="14091" max="14091" width="11.42578125" style="428" customWidth="1"/>
    <col min="14092" max="14092" width="5.42578125" style="428" customWidth="1"/>
    <col min="14093" max="14093" width="11.42578125" style="428" customWidth="1"/>
    <col min="14094" max="14096" width="5.42578125" style="428" customWidth="1"/>
    <col min="14097" max="14097" width="22.7109375" style="428" customWidth="1"/>
    <col min="14098" max="14098" width="5.85546875" style="428" customWidth="1"/>
    <col min="14099" max="14099" width="3.42578125" style="428" customWidth="1"/>
    <col min="14100" max="14100" width="11.5703125" style="428" bestFit="1" customWidth="1"/>
    <col min="14101" max="14101" width="5.5703125" style="428" customWidth="1"/>
    <col min="14102" max="14102" width="11" style="428" bestFit="1" customWidth="1"/>
    <col min="14103" max="14103" width="6.140625" style="428" customWidth="1"/>
    <col min="14104" max="14338" width="9.140625" style="428"/>
    <col min="14339" max="14339" width="3.7109375" style="428" customWidth="1"/>
    <col min="14340" max="14340" width="14.42578125" style="428" customWidth="1"/>
    <col min="14341" max="14341" width="3.7109375" style="428" customWidth="1"/>
    <col min="14342" max="14342" width="22.7109375" style="428" customWidth="1"/>
    <col min="14343" max="14343" width="11.42578125" style="428" customWidth="1"/>
    <col min="14344" max="14344" width="5.42578125" style="428" customWidth="1"/>
    <col min="14345" max="14345" width="11.42578125" style="428" customWidth="1"/>
    <col min="14346" max="14346" width="5.42578125" style="428" customWidth="1"/>
    <col min="14347" max="14347" width="11.42578125" style="428" customWidth="1"/>
    <col min="14348" max="14348" width="5.42578125" style="428" customWidth="1"/>
    <col min="14349" max="14349" width="11.42578125" style="428" customWidth="1"/>
    <col min="14350" max="14352" width="5.42578125" style="428" customWidth="1"/>
    <col min="14353" max="14353" width="22.7109375" style="428" customWidth="1"/>
    <col min="14354" max="14354" width="5.85546875" style="428" customWidth="1"/>
    <col min="14355" max="14355" width="3.42578125" style="428" customWidth="1"/>
    <col min="14356" max="14356" width="11.5703125" style="428" bestFit="1" customWidth="1"/>
    <col min="14357" max="14357" width="5.5703125" style="428" customWidth="1"/>
    <col min="14358" max="14358" width="11" style="428" bestFit="1" customWidth="1"/>
    <col min="14359" max="14359" width="6.140625" style="428" customWidth="1"/>
    <col min="14360" max="14594" width="9.140625" style="428"/>
    <col min="14595" max="14595" width="3.7109375" style="428" customWidth="1"/>
    <col min="14596" max="14596" width="14.42578125" style="428" customWidth="1"/>
    <col min="14597" max="14597" width="3.7109375" style="428" customWidth="1"/>
    <col min="14598" max="14598" width="22.7109375" style="428" customWidth="1"/>
    <col min="14599" max="14599" width="11.42578125" style="428" customWidth="1"/>
    <col min="14600" max="14600" width="5.42578125" style="428" customWidth="1"/>
    <col min="14601" max="14601" width="11.42578125" style="428" customWidth="1"/>
    <col min="14602" max="14602" width="5.42578125" style="428" customWidth="1"/>
    <col min="14603" max="14603" width="11.42578125" style="428" customWidth="1"/>
    <col min="14604" max="14604" width="5.42578125" style="428" customWidth="1"/>
    <col min="14605" max="14605" width="11.42578125" style="428" customWidth="1"/>
    <col min="14606" max="14608" width="5.42578125" style="428" customWidth="1"/>
    <col min="14609" max="14609" width="22.7109375" style="428" customWidth="1"/>
    <col min="14610" max="14610" width="5.85546875" style="428" customWidth="1"/>
    <col min="14611" max="14611" width="3.42578125" style="428" customWidth="1"/>
    <col min="14612" max="14612" width="11.5703125" style="428" bestFit="1" customWidth="1"/>
    <col min="14613" max="14613" width="5.5703125" style="428" customWidth="1"/>
    <col min="14614" max="14614" width="11" style="428" bestFit="1" customWidth="1"/>
    <col min="14615" max="14615" width="6.140625" style="428" customWidth="1"/>
    <col min="14616" max="14850" width="9.140625" style="428"/>
    <col min="14851" max="14851" width="3.7109375" style="428" customWidth="1"/>
    <col min="14852" max="14852" width="14.42578125" style="428" customWidth="1"/>
    <col min="14853" max="14853" width="3.7109375" style="428" customWidth="1"/>
    <col min="14854" max="14854" width="22.7109375" style="428" customWidth="1"/>
    <col min="14855" max="14855" width="11.42578125" style="428" customWidth="1"/>
    <col min="14856" max="14856" width="5.42578125" style="428" customWidth="1"/>
    <col min="14857" max="14857" width="11.42578125" style="428" customWidth="1"/>
    <col min="14858" max="14858" width="5.42578125" style="428" customWidth="1"/>
    <col min="14859" max="14859" width="11.42578125" style="428" customWidth="1"/>
    <col min="14860" max="14860" width="5.42578125" style="428" customWidth="1"/>
    <col min="14861" max="14861" width="11.42578125" style="428" customWidth="1"/>
    <col min="14862" max="14864" width="5.42578125" style="428" customWidth="1"/>
    <col min="14865" max="14865" width="22.7109375" style="428" customWidth="1"/>
    <col min="14866" max="14866" width="5.85546875" style="428" customWidth="1"/>
    <col min="14867" max="14867" width="3.42578125" style="428" customWidth="1"/>
    <col min="14868" max="14868" width="11.5703125" style="428" bestFit="1" customWidth="1"/>
    <col min="14869" max="14869" width="5.5703125" style="428" customWidth="1"/>
    <col min="14870" max="14870" width="11" style="428" bestFit="1" customWidth="1"/>
    <col min="14871" max="14871" width="6.140625" style="428" customWidth="1"/>
    <col min="14872" max="15106" width="9.140625" style="428"/>
    <col min="15107" max="15107" width="3.7109375" style="428" customWidth="1"/>
    <col min="15108" max="15108" width="14.42578125" style="428" customWidth="1"/>
    <col min="15109" max="15109" width="3.7109375" style="428" customWidth="1"/>
    <col min="15110" max="15110" width="22.7109375" style="428" customWidth="1"/>
    <col min="15111" max="15111" width="11.42578125" style="428" customWidth="1"/>
    <col min="15112" max="15112" width="5.42578125" style="428" customWidth="1"/>
    <col min="15113" max="15113" width="11.42578125" style="428" customWidth="1"/>
    <col min="15114" max="15114" width="5.42578125" style="428" customWidth="1"/>
    <col min="15115" max="15115" width="11.42578125" style="428" customWidth="1"/>
    <col min="15116" max="15116" width="5.42578125" style="428" customWidth="1"/>
    <col min="15117" max="15117" width="11.42578125" style="428" customWidth="1"/>
    <col min="15118" max="15120" width="5.42578125" style="428" customWidth="1"/>
    <col min="15121" max="15121" width="22.7109375" style="428" customWidth="1"/>
    <col min="15122" max="15122" width="5.85546875" style="428" customWidth="1"/>
    <col min="15123" max="15123" width="3.42578125" style="428" customWidth="1"/>
    <col min="15124" max="15124" width="11.5703125" style="428" bestFit="1" customWidth="1"/>
    <col min="15125" max="15125" width="5.5703125" style="428" customWidth="1"/>
    <col min="15126" max="15126" width="11" style="428" bestFit="1" customWidth="1"/>
    <col min="15127" max="15127" width="6.140625" style="428" customWidth="1"/>
    <col min="15128" max="15362" width="9.140625" style="428"/>
    <col min="15363" max="15363" width="3.7109375" style="428" customWidth="1"/>
    <col min="15364" max="15364" width="14.42578125" style="428" customWidth="1"/>
    <col min="15365" max="15365" width="3.7109375" style="428" customWidth="1"/>
    <col min="15366" max="15366" width="22.7109375" style="428" customWidth="1"/>
    <col min="15367" max="15367" width="11.42578125" style="428" customWidth="1"/>
    <col min="15368" max="15368" width="5.42578125" style="428" customWidth="1"/>
    <col min="15369" max="15369" width="11.42578125" style="428" customWidth="1"/>
    <col min="15370" max="15370" width="5.42578125" style="428" customWidth="1"/>
    <col min="15371" max="15371" width="11.42578125" style="428" customWidth="1"/>
    <col min="15372" max="15372" width="5.42578125" style="428" customWidth="1"/>
    <col min="15373" max="15373" width="11.42578125" style="428" customWidth="1"/>
    <col min="15374" max="15376" width="5.42578125" style="428" customWidth="1"/>
    <col min="15377" max="15377" width="22.7109375" style="428" customWidth="1"/>
    <col min="15378" max="15378" width="5.85546875" style="428" customWidth="1"/>
    <col min="15379" max="15379" width="3.42578125" style="428" customWidth="1"/>
    <col min="15380" max="15380" width="11.5703125" style="428" bestFit="1" customWidth="1"/>
    <col min="15381" max="15381" width="5.5703125" style="428" customWidth="1"/>
    <col min="15382" max="15382" width="11" style="428" bestFit="1" customWidth="1"/>
    <col min="15383" max="15383" width="6.140625" style="428" customWidth="1"/>
    <col min="15384" max="15618" width="9.140625" style="428"/>
    <col min="15619" max="15619" width="3.7109375" style="428" customWidth="1"/>
    <col min="15620" max="15620" width="14.42578125" style="428" customWidth="1"/>
    <col min="15621" max="15621" width="3.7109375" style="428" customWidth="1"/>
    <col min="15622" max="15622" width="22.7109375" style="428" customWidth="1"/>
    <col min="15623" max="15623" width="11.42578125" style="428" customWidth="1"/>
    <col min="15624" max="15624" width="5.42578125" style="428" customWidth="1"/>
    <col min="15625" max="15625" width="11.42578125" style="428" customWidth="1"/>
    <col min="15626" max="15626" width="5.42578125" style="428" customWidth="1"/>
    <col min="15627" max="15627" width="11.42578125" style="428" customWidth="1"/>
    <col min="15628" max="15628" width="5.42578125" style="428" customWidth="1"/>
    <col min="15629" max="15629" width="11.42578125" style="428" customWidth="1"/>
    <col min="15630" max="15632" width="5.42578125" style="428" customWidth="1"/>
    <col min="15633" max="15633" width="22.7109375" style="428" customWidth="1"/>
    <col min="15634" max="15634" width="5.85546875" style="428" customWidth="1"/>
    <col min="15635" max="15635" width="3.42578125" style="428" customWidth="1"/>
    <col min="15636" max="15636" width="11.5703125" style="428" bestFit="1" customWidth="1"/>
    <col min="15637" max="15637" width="5.5703125" style="428" customWidth="1"/>
    <col min="15638" max="15638" width="11" style="428" bestFit="1" customWidth="1"/>
    <col min="15639" max="15639" width="6.140625" style="428" customWidth="1"/>
    <col min="15640" max="15874" width="9.140625" style="428"/>
    <col min="15875" max="15875" width="3.7109375" style="428" customWidth="1"/>
    <col min="15876" max="15876" width="14.42578125" style="428" customWidth="1"/>
    <col min="15877" max="15877" width="3.7109375" style="428" customWidth="1"/>
    <col min="15878" max="15878" width="22.7109375" style="428" customWidth="1"/>
    <col min="15879" max="15879" width="11.42578125" style="428" customWidth="1"/>
    <col min="15880" max="15880" width="5.42578125" style="428" customWidth="1"/>
    <col min="15881" max="15881" width="11.42578125" style="428" customWidth="1"/>
    <col min="15882" max="15882" width="5.42578125" style="428" customWidth="1"/>
    <col min="15883" max="15883" width="11.42578125" style="428" customWidth="1"/>
    <col min="15884" max="15884" width="5.42578125" style="428" customWidth="1"/>
    <col min="15885" max="15885" width="11.42578125" style="428" customWidth="1"/>
    <col min="15886" max="15888" width="5.42578125" style="428" customWidth="1"/>
    <col min="15889" max="15889" width="22.7109375" style="428" customWidth="1"/>
    <col min="15890" max="15890" width="5.85546875" style="428" customWidth="1"/>
    <col min="15891" max="15891" width="3.42578125" style="428" customWidth="1"/>
    <col min="15892" max="15892" width="11.5703125" style="428" bestFit="1" customWidth="1"/>
    <col min="15893" max="15893" width="5.5703125" style="428" customWidth="1"/>
    <col min="15894" max="15894" width="11" style="428" bestFit="1" customWidth="1"/>
    <col min="15895" max="15895" width="6.140625" style="428" customWidth="1"/>
    <col min="15896" max="16130" width="9.140625" style="428"/>
    <col min="16131" max="16131" width="3.7109375" style="428" customWidth="1"/>
    <col min="16132" max="16132" width="14.42578125" style="428" customWidth="1"/>
    <col min="16133" max="16133" width="3.7109375" style="428" customWidth="1"/>
    <col min="16134" max="16134" width="22.7109375" style="428" customWidth="1"/>
    <col min="16135" max="16135" width="11.42578125" style="428" customWidth="1"/>
    <col min="16136" max="16136" width="5.42578125" style="428" customWidth="1"/>
    <col min="16137" max="16137" width="11.42578125" style="428" customWidth="1"/>
    <col min="16138" max="16138" width="5.42578125" style="428" customWidth="1"/>
    <col min="16139" max="16139" width="11.42578125" style="428" customWidth="1"/>
    <col min="16140" max="16140" width="5.42578125" style="428" customWidth="1"/>
    <col min="16141" max="16141" width="11.42578125" style="428" customWidth="1"/>
    <col min="16142" max="16144" width="5.42578125" style="428" customWidth="1"/>
    <col min="16145" max="16145" width="22.7109375" style="428" customWidth="1"/>
    <col min="16146" max="16146" width="5.85546875" style="428" customWidth="1"/>
    <col min="16147" max="16147" width="3.42578125" style="428" customWidth="1"/>
    <col min="16148" max="16148" width="11.5703125" style="428" bestFit="1" customWidth="1"/>
    <col min="16149" max="16149" width="5.5703125" style="428" customWidth="1"/>
    <col min="16150" max="16150" width="11" style="428" bestFit="1" customWidth="1"/>
    <col min="16151" max="16151" width="6.140625" style="428" customWidth="1"/>
    <col min="16152" max="16384" width="9.140625" style="428"/>
  </cols>
  <sheetData>
    <row r="2" spans="1:27" s="964" customFormat="1" ht="15" customHeight="1" x14ac:dyDescent="0.2">
      <c r="A2" s="835">
        <v>1</v>
      </c>
      <c r="B2" s="835" t="s">
        <v>24</v>
      </c>
      <c r="C2" s="835">
        <f>1+'Civil Society'!C2</f>
        <v>54</v>
      </c>
      <c r="D2" s="3629" t="s">
        <v>1106</v>
      </c>
      <c r="E2" s="3630"/>
      <c r="F2" s="3630"/>
      <c r="G2" s="3630"/>
      <c r="H2" s="3630"/>
      <c r="I2" s="3630"/>
      <c r="J2" s="3630"/>
      <c r="K2" s="3630"/>
      <c r="L2" s="3630"/>
      <c r="M2" s="3630"/>
      <c r="N2" s="3630"/>
      <c r="O2" s="3630"/>
      <c r="P2" s="3630"/>
      <c r="Q2" s="3630"/>
      <c r="R2" s="3630"/>
      <c r="S2" s="3630"/>
      <c r="T2" s="3630"/>
      <c r="U2" s="3630"/>
      <c r="V2" s="3630"/>
      <c r="W2" s="3630"/>
      <c r="X2" s="3630"/>
      <c r="Y2" s="3630"/>
      <c r="Z2" s="3630"/>
      <c r="AA2" s="3631"/>
    </row>
    <row r="3" spans="1:27" s="964" customFormat="1" ht="15" customHeight="1" x14ac:dyDescent="0.2">
      <c r="A3" s="835">
        <v>2</v>
      </c>
      <c r="B3" s="835" t="s">
        <v>26</v>
      </c>
      <c r="C3" s="835"/>
      <c r="D3" s="3615" t="s">
        <v>1081</v>
      </c>
      <c r="E3" s="3616"/>
      <c r="F3" s="3616"/>
      <c r="G3" s="3616"/>
      <c r="H3" s="3616"/>
      <c r="I3" s="3616"/>
      <c r="J3" s="3616"/>
      <c r="K3" s="3616"/>
      <c r="L3" s="3616"/>
      <c r="M3" s="3616"/>
      <c r="N3" s="3616"/>
      <c r="O3" s="3616"/>
      <c r="P3" s="3616"/>
      <c r="Q3" s="3616"/>
      <c r="R3" s="3616"/>
      <c r="S3" s="3616"/>
      <c r="T3" s="3616"/>
      <c r="U3" s="3616"/>
      <c r="V3" s="3616"/>
      <c r="W3" s="3616"/>
      <c r="X3" s="3616"/>
      <c r="Y3" s="3616"/>
      <c r="Z3" s="3616"/>
      <c r="AA3" s="3617"/>
    </row>
    <row r="4" spans="1:27" s="964" customFormat="1" ht="15" customHeight="1" x14ac:dyDescent="0.2">
      <c r="A4" s="835">
        <v>3</v>
      </c>
      <c r="B4" s="835" t="s">
        <v>28</v>
      </c>
      <c r="C4" s="835"/>
      <c r="D4" s="3615" t="s">
        <v>1105</v>
      </c>
      <c r="E4" s="3616"/>
      <c r="F4" s="3616"/>
      <c r="G4" s="3616"/>
      <c r="H4" s="3616"/>
      <c r="I4" s="3616"/>
      <c r="J4" s="3616"/>
      <c r="K4" s="3616"/>
      <c r="L4" s="3616"/>
      <c r="M4" s="3616"/>
      <c r="N4" s="3616"/>
      <c r="O4" s="3616"/>
      <c r="P4" s="3616"/>
      <c r="Q4" s="3616"/>
      <c r="R4" s="3616"/>
      <c r="S4" s="3616"/>
      <c r="T4" s="3616"/>
      <c r="U4" s="3616"/>
      <c r="V4" s="3616"/>
      <c r="W4" s="3616"/>
      <c r="X4" s="3616"/>
      <c r="Y4" s="3616"/>
      <c r="Z4" s="3616"/>
      <c r="AA4" s="3617"/>
    </row>
    <row r="5" spans="1:27" ht="15" customHeight="1" x14ac:dyDescent="0.2">
      <c r="B5" s="1687"/>
      <c r="C5" s="1687"/>
      <c r="D5" s="1133"/>
      <c r="E5" s="2009"/>
      <c r="F5" s="1132"/>
      <c r="G5" s="2009"/>
      <c r="H5" s="1132"/>
      <c r="I5" s="2009"/>
      <c r="J5" s="1132"/>
      <c r="K5" s="1132"/>
      <c r="L5" s="1132"/>
      <c r="M5" s="1132"/>
      <c r="N5" s="1132"/>
      <c r="O5" s="1132"/>
      <c r="P5" s="1132"/>
      <c r="Q5" s="2009"/>
      <c r="R5" s="2009"/>
      <c r="S5" s="2009"/>
      <c r="T5" s="2009"/>
      <c r="U5" s="2009"/>
      <c r="V5" s="2009"/>
      <c r="W5" s="2009"/>
    </row>
    <row r="6" spans="1:27" ht="12.75" x14ac:dyDescent="0.2">
      <c r="A6" s="835">
        <v>4</v>
      </c>
      <c r="B6" s="835" t="s">
        <v>1</v>
      </c>
      <c r="C6" s="835"/>
      <c r="H6" s="893"/>
      <c r="I6" s="628"/>
    </row>
    <row r="7" spans="1:27" s="401" customFormat="1" ht="11.25" x14ac:dyDescent="0.2">
      <c r="A7" s="1224"/>
      <c r="B7" s="1222"/>
      <c r="C7" s="1222"/>
      <c r="D7" s="629" t="s">
        <v>103</v>
      </c>
      <c r="E7" s="655" t="s">
        <v>1104</v>
      </c>
      <c r="F7" s="1766"/>
      <c r="G7" s="655"/>
      <c r="H7" s="1766"/>
      <c r="I7" s="426"/>
      <c r="J7" s="2011"/>
      <c r="K7" s="426"/>
      <c r="L7" s="2011"/>
      <c r="M7" s="2011"/>
      <c r="N7" s="2011"/>
      <c r="O7" s="2011"/>
      <c r="P7" s="1111"/>
      <c r="Q7" s="629" t="s">
        <v>103</v>
      </c>
      <c r="R7" s="655" t="s">
        <v>1103</v>
      </c>
      <c r="S7" s="1766"/>
      <c r="T7" s="655"/>
      <c r="U7" s="1766"/>
      <c r="V7" s="426"/>
      <c r="W7" s="2011"/>
    </row>
    <row r="8" spans="1:27" s="633" customFormat="1" ht="14.25" customHeight="1" x14ac:dyDescent="0.2">
      <c r="A8" s="1708"/>
      <c r="B8" s="1709"/>
      <c r="C8" s="1709"/>
      <c r="D8" s="2938"/>
      <c r="E8" s="800">
        <v>1994</v>
      </c>
      <c r="F8" s="800" t="s">
        <v>54</v>
      </c>
      <c r="G8" s="800">
        <v>1999</v>
      </c>
      <c r="H8" s="800" t="s">
        <v>54</v>
      </c>
      <c r="I8" s="800">
        <v>2004</v>
      </c>
      <c r="J8" s="800" t="s">
        <v>54</v>
      </c>
      <c r="K8" s="800">
        <v>2009</v>
      </c>
      <c r="L8" s="800" t="s">
        <v>54</v>
      </c>
      <c r="M8" s="800">
        <v>2014</v>
      </c>
      <c r="N8" s="1097" t="s">
        <v>54</v>
      </c>
      <c r="O8" s="770"/>
      <c r="P8" s="1119"/>
      <c r="Q8" s="2938"/>
      <c r="R8" s="800">
        <v>1995</v>
      </c>
      <c r="S8" s="1504" t="s">
        <v>54</v>
      </c>
      <c r="T8" s="800">
        <v>2000</v>
      </c>
      <c r="U8" s="800" t="s">
        <v>54</v>
      </c>
      <c r="V8" s="800">
        <v>2006</v>
      </c>
      <c r="W8" s="800" t="s">
        <v>54</v>
      </c>
      <c r="X8" s="800">
        <v>2011</v>
      </c>
      <c r="Y8" s="800" t="s">
        <v>54</v>
      </c>
      <c r="Z8" s="800">
        <v>2016</v>
      </c>
      <c r="AA8" s="1097" t="s">
        <v>54</v>
      </c>
    </row>
    <row r="9" spans="1:27" s="401" customFormat="1" ht="22.5" customHeight="1" x14ac:dyDescent="0.2">
      <c r="A9" s="1224"/>
      <c r="B9" s="1292"/>
      <c r="C9" s="1222"/>
      <c r="D9" s="2940" t="s">
        <v>1102</v>
      </c>
      <c r="E9" s="895">
        <v>22709152</v>
      </c>
      <c r="F9" s="420"/>
      <c r="G9" s="895">
        <v>22798845</v>
      </c>
      <c r="H9" s="420"/>
      <c r="I9" s="895">
        <v>27436898</v>
      </c>
      <c r="J9" s="895"/>
      <c r="K9" s="895">
        <v>27574414</v>
      </c>
      <c r="L9" s="895"/>
      <c r="M9" s="895">
        <v>31434035</v>
      </c>
      <c r="N9" s="2793"/>
      <c r="O9" s="895"/>
      <c r="P9" s="1118"/>
      <c r="Q9" s="2939" t="s">
        <v>1102</v>
      </c>
      <c r="R9" s="1131"/>
      <c r="S9" s="1092"/>
      <c r="T9" s="1130">
        <v>23532308</v>
      </c>
      <c r="U9" s="1092"/>
      <c r="V9" s="1130">
        <v>25364801</v>
      </c>
      <c r="W9" s="1092"/>
      <c r="X9" s="1130">
        <v>33702588.646421582</v>
      </c>
      <c r="Y9" s="1092"/>
      <c r="Z9" s="1130">
        <v>36198770.139200002</v>
      </c>
      <c r="AA9" s="2926"/>
    </row>
    <row r="10" spans="1:27" s="401" customFormat="1" ht="15.75" customHeight="1" x14ac:dyDescent="0.2">
      <c r="A10" s="1224"/>
      <c r="B10" s="1222"/>
      <c r="C10" s="1222"/>
      <c r="D10" s="2940" t="s">
        <v>1101</v>
      </c>
      <c r="E10" s="895" t="s">
        <v>1096</v>
      </c>
      <c r="F10" s="420"/>
      <c r="G10" s="1129">
        <v>18177751</v>
      </c>
      <c r="H10" s="1095">
        <f>G10/G9</f>
        <v>0.79731017075645716</v>
      </c>
      <c r="I10" s="895">
        <v>20674926</v>
      </c>
      <c r="J10" s="1095">
        <f>I10/I9</f>
        <v>0.75354458802157587</v>
      </c>
      <c r="K10" s="895">
        <v>23181997</v>
      </c>
      <c r="L10" s="1095">
        <f>K10/K9</f>
        <v>0.84070678709618274</v>
      </c>
      <c r="M10" s="895">
        <v>25390150</v>
      </c>
      <c r="N10" s="1096">
        <f>M10/M9</f>
        <v>0.80772799292232134</v>
      </c>
      <c r="O10" s="1095"/>
      <c r="P10" s="1114"/>
      <c r="Q10" s="2940" t="s">
        <v>1101</v>
      </c>
      <c r="R10" s="784"/>
      <c r="S10" s="784"/>
      <c r="T10" s="782">
        <v>18476516</v>
      </c>
      <c r="U10" s="1107">
        <f>T10/T9</f>
        <v>0.78515528523594036</v>
      </c>
      <c r="V10" s="782">
        <v>21054957</v>
      </c>
      <c r="W10" s="1107">
        <f>V10/V9</f>
        <v>0.83008563717886052</v>
      </c>
      <c r="X10" s="782">
        <v>23655046</v>
      </c>
      <c r="Y10" s="1107">
        <f>X10/X9</f>
        <v>0.70187623414237665</v>
      </c>
      <c r="Z10" s="782">
        <v>26333353</v>
      </c>
      <c r="AA10" s="2927">
        <f>Z10/Z9</f>
        <v>0.72746540555761463</v>
      </c>
    </row>
    <row r="11" spans="1:27" s="401" customFormat="1" ht="15.75" customHeight="1" x14ac:dyDescent="0.2">
      <c r="A11" s="1224"/>
      <c r="B11" s="1222"/>
      <c r="C11" s="1222"/>
      <c r="D11" s="2940" t="s">
        <v>1100</v>
      </c>
      <c r="E11" s="1129">
        <v>19533498</v>
      </c>
      <c r="F11" s="420"/>
      <c r="G11" s="1129">
        <v>16228462</v>
      </c>
      <c r="H11" s="1129"/>
      <c r="I11" s="1129">
        <v>15863558</v>
      </c>
      <c r="J11" s="1129"/>
      <c r="K11" s="1129">
        <v>17919966</v>
      </c>
      <c r="L11" s="1129"/>
      <c r="M11" s="1129">
        <v>18654771</v>
      </c>
      <c r="N11" s="2933"/>
      <c r="O11" s="1129"/>
      <c r="P11" s="1128"/>
      <c r="Q11" s="2941" t="s">
        <v>1099</v>
      </c>
      <c r="R11" s="1127"/>
      <c r="S11" s="1127"/>
      <c r="T11" s="1127">
        <v>8882734</v>
      </c>
      <c r="U11" s="1127"/>
      <c r="V11" s="1127">
        <v>10186795</v>
      </c>
      <c r="W11" s="1127"/>
      <c r="X11" s="1127">
        <v>13664914</v>
      </c>
      <c r="Y11" s="1127"/>
      <c r="Z11" s="1127">
        <v>15296759</v>
      </c>
      <c r="AA11" s="2928"/>
    </row>
    <row r="12" spans="1:27" s="1766" customFormat="1" ht="15.75" customHeight="1" x14ac:dyDescent="0.2">
      <c r="A12" s="1764"/>
      <c r="B12" s="1765"/>
      <c r="C12" s="1765"/>
      <c r="D12" s="2940" t="s">
        <v>1098</v>
      </c>
      <c r="E12" s="1115"/>
      <c r="F12" s="1095">
        <f>E11/E9</f>
        <v>0.86015972767279025</v>
      </c>
      <c r="G12" s="1115"/>
      <c r="H12" s="1095">
        <f>G11/G9</f>
        <v>0.71181070795472312</v>
      </c>
      <c r="I12" s="1115"/>
      <c r="J12" s="1095">
        <f>I11/I9</f>
        <v>0.57818336460630504</v>
      </c>
      <c r="K12" s="1115"/>
      <c r="L12" s="1095">
        <f>K11/K9</f>
        <v>0.64987658486595579</v>
      </c>
      <c r="M12" s="1115"/>
      <c r="N12" s="1096">
        <f>M11/M9</f>
        <v>0.59345772822356402</v>
      </c>
      <c r="O12" s="1095"/>
      <c r="P12" s="1114"/>
      <c r="Q12" s="2940" t="s">
        <v>1097</v>
      </c>
      <c r="R12" s="1108"/>
      <c r="S12" s="784"/>
      <c r="T12" s="1106"/>
      <c r="U12" s="1107">
        <f>T11/T9</f>
        <v>0.37746973225065727</v>
      </c>
      <c r="V12" s="1106"/>
      <c r="W12" s="1107">
        <f>V11/V9</f>
        <v>0.40161146937442954</v>
      </c>
      <c r="X12" s="1106"/>
      <c r="Y12" s="1107">
        <f>X11/X9</f>
        <v>0.40545591744778009</v>
      </c>
      <c r="Z12" s="1106"/>
      <c r="AA12" s="2927">
        <f>Z11/Z9</f>
        <v>0.42257675996110683</v>
      </c>
    </row>
    <row r="13" spans="1:27" s="1766" customFormat="1" ht="15.75" customHeight="1" x14ac:dyDescent="0.2">
      <c r="A13" s="1764"/>
      <c r="B13" s="2012"/>
      <c r="C13" s="2012"/>
      <c r="D13" s="2942" t="s">
        <v>1095</v>
      </c>
      <c r="E13" s="1126"/>
      <c r="F13" s="1124" t="s">
        <v>1096</v>
      </c>
      <c r="G13" s="1125"/>
      <c r="H13" s="1124">
        <f>G11/G10</f>
        <v>0.8927651170928681</v>
      </c>
      <c r="I13" s="1125"/>
      <c r="J13" s="1124">
        <f>I11/I10</f>
        <v>0.7672848744416304</v>
      </c>
      <c r="K13" s="1125"/>
      <c r="L13" s="1124">
        <f>K11/K10</f>
        <v>0.77301217837272607</v>
      </c>
      <c r="M13" s="1125"/>
      <c r="N13" s="2934">
        <f>M11/M10</f>
        <v>0.73472472592718041</v>
      </c>
      <c r="O13" s="1095"/>
      <c r="P13" s="1114"/>
      <c r="Q13" s="2942" t="s">
        <v>1095</v>
      </c>
      <c r="R13" s="1123"/>
      <c r="S13" s="1122"/>
      <c r="T13" s="1121"/>
      <c r="U13" s="1120">
        <f>T11/T10</f>
        <v>0.48075806066468374</v>
      </c>
      <c r="V13" s="1121"/>
      <c r="W13" s="1120">
        <f>V11/V10</f>
        <v>0.48381932102734765</v>
      </c>
      <c r="X13" s="1121"/>
      <c r="Y13" s="1120">
        <f>X11/X10</f>
        <v>0.5776743786505425</v>
      </c>
      <c r="Z13" s="1121"/>
      <c r="AA13" s="2929">
        <v>0.57969999999999999</v>
      </c>
    </row>
    <row r="14" spans="1:27" s="401" customFormat="1" ht="15.75" customHeight="1" x14ac:dyDescent="0.2">
      <c r="A14" s="1224"/>
      <c r="B14" s="1804"/>
      <c r="C14" s="1804"/>
      <c r="D14" s="2943" t="s">
        <v>1094</v>
      </c>
      <c r="E14" s="770"/>
      <c r="F14" s="1119"/>
      <c r="G14" s="770"/>
      <c r="H14" s="1119"/>
      <c r="I14" s="770"/>
      <c r="J14" s="1119"/>
      <c r="K14" s="770"/>
      <c r="L14" s="1119"/>
      <c r="M14" s="770"/>
      <c r="N14" s="2935"/>
      <c r="O14" s="1119"/>
      <c r="P14" s="1119"/>
      <c r="Q14" s="2943" t="s">
        <v>1093</v>
      </c>
      <c r="R14" s="424"/>
      <c r="S14" s="1106"/>
      <c r="T14" s="770">
        <v>2000</v>
      </c>
      <c r="U14" s="752" t="s">
        <v>54</v>
      </c>
      <c r="V14" s="770">
        <v>2006</v>
      </c>
      <c r="W14" s="752" t="s">
        <v>54</v>
      </c>
      <c r="X14" s="752">
        <v>2011</v>
      </c>
      <c r="Y14" s="752" t="s">
        <v>54</v>
      </c>
      <c r="Z14" s="752">
        <v>2016</v>
      </c>
      <c r="AA14" s="2930" t="s">
        <v>54</v>
      </c>
    </row>
    <row r="15" spans="1:27" s="401" customFormat="1" ht="15.75" customHeight="1" x14ac:dyDescent="0.2">
      <c r="A15" s="1224"/>
      <c r="B15" s="1804"/>
      <c r="C15" s="1804"/>
      <c r="D15" s="2940" t="s">
        <v>1092</v>
      </c>
      <c r="E15" s="895"/>
      <c r="F15" s="1115"/>
      <c r="G15" s="895">
        <v>11768544</v>
      </c>
      <c r="H15" s="1115"/>
      <c r="I15" s="895">
        <v>14162663</v>
      </c>
      <c r="J15" s="1118"/>
      <c r="K15" s="895">
        <v>13923366.001898218</v>
      </c>
      <c r="L15" s="1118"/>
      <c r="M15" s="895">
        <v>15749520</v>
      </c>
      <c r="N15" s="2936"/>
      <c r="O15" s="1118"/>
      <c r="P15" s="1118"/>
      <c r="Q15" s="2940" t="s">
        <v>1092</v>
      </c>
      <c r="R15" s="1107"/>
      <c r="S15" s="1106"/>
      <c r="T15" s="1117">
        <v>12147151</v>
      </c>
      <c r="U15" s="784"/>
      <c r="V15" s="1117">
        <v>13093066</v>
      </c>
      <c r="W15" s="784"/>
      <c r="X15" s="1117">
        <v>16498464.006729301</v>
      </c>
      <c r="Y15" s="784"/>
      <c r="Z15" s="1117">
        <v>17372684.139200009</v>
      </c>
      <c r="AA15" s="2931"/>
    </row>
    <row r="16" spans="1:27" s="401" customFormat="1" ht="15.75" customHeight="1" x14ac:dyDescent="0.2">
      <c r="A16" s="1224"/>
      <c r="B16" s="1804"/>
      <c r="C16" s="1804"/>
      <c r="D16" s="2940" t="s">
        <v>1091</v>
      </c>
      <c r="E16" s="1116"/>
      <c r="F16" s="1115"/>
      <c r="G16" s="895">
        <v>8667832</v>
      </c>
      <c r="H16" s="1095">
        <f>G16/G15</f>
        <v>0.73652543594177833</v>
      </c>
      <c r="I16" s="895">
        <v>9193845</v>
      </c>
      <c r="J16" s="1095">
        <f>I16/I15</f>
        <v>0.64916075458407785</v>
      </c>
      <c r="K16" s="895">
        <v>9253537</v>
      </c>
      <c r="L16" s="1095">
        <f>K16/K15</f>
        <v>0.66460488065446499</v>
      </c>
      <c r="M16" s="895">
        <v>10236061</v>
      </c>
      <c r="N16" s="1096">
        <f>M16/M15</f>
        <v>0.64992844226363722</v>
      </c>
      <c r="O16" s="1095"/>
      <c r="P16" s="1114"/>
      <c r="Q16" s="2940" t="s">
        <v>1091</v>
      </c>
      <c r="R16" s="1107"/>
      <c r="S16" s="1106"/>
      <c r="T16" s="782">
        <v>8327816</v>
      </c>
      <c r="U16" s="1107">
        <f>T16/T15</f>
        <v>0.68557771283159319</v>
      </c>
      <c r="V16" s="782">
        <v>8899915</v>
      </c>
      <c r="W16" s="1107">
        <f>V16/V15</f>
        <v>0.67974262101787308</v>
      </c>
      <c r="X16" s="782">
        <v>9820251</v>
      </c>
      <c r="Y16" s="1107">
        <f>X16/X15</f>
        <v>0.59522213679979974</v>
      </c>
      <c r="Z16" s="782">
        <v>10321966</v>
      </c>
      <c r="AA16" s="2927">
        <f>Z16/Z15</f>
        <v>0.59414917794477984</v>
      </c>
    </row>
    <row r="17" spans="1:27" s="401" customFormat="1" ht="15.75" customHeight="1" x14ac:dyDescent="0.2">
      <c r="A17" s="1224"/>
      <c r="B17" s="1804"/>
      <c r="C17" s="1804"/>
      <c r="D17" s="2944" t="s">
        <v>1090</v>
      </c>
      <c r="E17" s="1113"/>
      <c r="F17" s="811"/>
      <c r="G17" s="1102"/>
      <c r="H17" s="811"/>
      <c r="I17" s="1102"/>
      <c r="J17" s="1112"/>
      <c r="K17" s="1102"/>
      <c r="L17" s="1112"/>
      <c r="M17" s="1102"/>
      <c r="N17" s="2937"/>
      <c r="O17" s="1111"/>
      <c r="P17" s="1111"/>
      <c r="Q17" s="2940" t="s">
        <v>1089</v>
      </c>
      <c r="R17" s="784"/>
      <c r="S17" s="1106"/>
      <c r="T17" s="784"/>
      <c r="U17" s="1106"/>
      <c r="V17" s="782">
        <v>3169752</v>
      </c>
      <c r="W17" s="1107"/>
      <c r="X17" s="782">
        <v>4681600</v>
      </c>
      <c r="Y17" s="1107"/>
      <c r="Z17" s="782">
        <v>5682922.2146270555</v>
      </c>
      <c r="AA17" s="2927"/>
    </row>
    <row r="18" spans="1:27" s="1766" customFormat="1" ht="15.75" customHeight="1" x14ac:dyDescent="0.2">
      <c r="A18" s="1764"/>
      <c r="B18" s="1765"/>
      <c r="C18" s="1765"/>
      <c r="D18" s="2013"/>
      <c r="F18" s="1110"/>
      <c r="G18" s="1110"/>
      <c r="H18" s="1110"/>
      <c r="I18" s="1110"/>
      <c r="J18" s="1110"/>
      <c r="K18" s="1110"/>
      <c r="L18" s="1110"/>
      <c r="M18" s="1110"/>
      <c r="N18" s="1110"/>
      <c r="O18" s="1110"/>
      <c r="P18" s="1110"/>
      <c r="Q18" s="2940" t="s">
        <v>1088</v>
      </c>
      <c r="R18" s="1108"/>
      <c r="S18" s="1106"/>
      <c r="T18" s="1106"/>
      <c r="U18" s="1108"/>
      <c r="V18" s="1106"/>
      <c r="W18" s="1107">
        <f>V17/V15</f>
        <v>0.24209394499347975</v>
      </c>
      <c r="X18" s="1106"/>
      <c r="Y18" s="1107">
        <f>X17/X15</f>
        <v>0.28375974867057291</v>
      </c>
      <c r="Z18" s="1106"/>
      <c r="AA18" s="2927">
        <f>Z17/Z15</f>
        <v>0.32711826043069631</v>
      </c>
    </row>
    <row r="19" spans="1:27" ht="22.5" x14ac:dyDescent="0.2">
      <c r="E19" s="1094"/>
      <c r="F19" s="1099"/>
      <c r="G19" s="1094"/>
      <c r="H19" s="1099"/>
      <c r="I19" s="1094"/>
      <c r="J19" s="1099"/>
      <c r="K19" s="1099"/>
      <c r="L19" s="1099"/>
      <c r="M19" s="1099"/>
      <c r="N19" s="1099"/>
      <c r="O19" s="1099"/>
      <c r="Q19" s="2944" t="s">
        <v>1087</v>
      </c>
      <c r="R19" s="1105"/>
      <c r="S19" s="1103"/>
      <c r="T19" s="1103"/>
      <c r="U19" s="1104"/>
      <c r="V19" s="1103"/>
      <c r="W19" s="1102">
        <f>V17/V16</f>
        <v>0.35615531159567254</v>
      </c>
      <c r="X19" s="1103"/>
      <c r="Y19" s="1102">
        <f>X17/X16</f>
        <v>0.47672915895937895</v>
      </c>
      <c r="Z19" s="1103"/>
      <c r="AA19" s="2932">
        <f>Z17/Z16</f>
        <v>0.55056587229865472</v>
      </c>
    </row>
    <row r="20" spans="1:27" x14ac:dyDescent="0.2">
      <c r="E20" s="1094"/>
      <c r="F20" s="1099"/>
      <c r="G20" s="1094"/>
      <c r="H20" s="1099"/>
      <c r="I20" s="1094"/>
      <c r="J20" s="1099"/>
      <c r="K20" s="1099"/>
      <c r="L20" s="1099"/>
      <c r="M20" s="1099"/>
      <c r="N20" s="1099"/>
      <c r="O20" s="1099"/>
      <c r="Q20" s="1101"/>
      <c r="R20" s="1100"/>
      <c r="S20" s="1094"/>
      <c r="T20" s="1094"/>
      <c r="U20" s="1100"/>
      <c r="V20" s="1094"/>
      <c r="W20" s="1100"/>
    </row>
    <row r="21" spans="1:27" s="964" customFormat="1" ht="14.25" customHeight="1" x14ac:dyDescent="0.2">
      <c r="A21" s="835">
        <v>5</v>
      </c>
      <c r="B21" s="835" t="s">
        <v>78</v>
      </c>
      <c r="C21" s="835"/>
      <c r="D21" s="3615" t="s">
        <v>1086</v>
      </c>
      <c r="E21" s="3616"/>
      <c r="F21" s="3616"/>
      <c r="G21" s="3616"/>
      <c r="H21" s="3616"/>
      <c r="I21" s="3616"/>
      <c r="J21" s="3616"/>
      <c r="K21" s="3616"/>
      <c r="L21" s="3616"/>
      <c r="M21" s="3616"/>
      <c r="N21" s="3616"/>
      <c r="O21" s="3616"/>
      <c r="P21" s="3616"/>
      <c r="Q21" s="3616"/>
      <c r="R21" s="3616"/>
      <c r="S21" s="3616"/>
      <c r="T21" s="3616"/>
      <c r="U21" s="3616"/>
      <c r="V21" s="3616"/>
      <c r="W21" s="3616"/>
      <c r="X21" s="3616"/>
      <c r="Y21" s="3616"/>
      <c r="Z21" s="3616"/>
      <c r="AA21" s="3617"/>
    </row>
    <row r="22" spans="1:27" s="964" customFormat="1" ht="27.75" customHeight="1" x14ac:dyDescent="0.2">
      <c r="A22" s="835">
        <v>6</v>
      </c>
      <c r="B22" s="835" t="s">
        <v>80</v>
      </c>
      <c r="C22" s="835"/>
      <c r="D22" s="3615" t="s">
        <v>1085</v>
      </c>
      <c r="E22" s="3616"/>
      <c r="F22" s="3616"/>
      <c r="G22" s="3616"/>
      <c r="H22" s="3616"/>
      <c r="I22" s="3616"/>
      <c r="J22" s="3616"/>
      <c r="K22" s="3616"/>
      <c r="L22" s="3616"/>
      <c r="M22" s="3616"/>
      <c r="N22" s="3616"/>
      <c r="O22" s="3616"/>
      <c r="P22" s="3616"/>
      <c r="Q22" s="3616"/>
      <c r="R22" s="3616"/>
      <c r="S22" s="3616"/>
      <c r="T22" s="3616"/>
      <c r="U22" s="3616"/>
      <c r="V22" s="3616"/>
      <c r="W22" s="3616"/>
      <c r="X22" s="3616"/>
      <c r="Y22" s="3616"/>
      <c r="Z22" s="3616"/>
      <c r="AA22" s="3617"/>
    </row>
    <row r="23" spans="1:27" s="964" customFormat="1" ht="27.75" customHeight="1" x14ac:dyDescent="0.2">
      <c r="A23" s="835">
        <v>7</v>
      </c>
      <c r="B23" s="835" t="s">
        <v>20</v>
      </c>
      <c r="C23" s="835"/>
      <c r="D23" s="3615" t="s">
        <v>1084</v>
      </c>
      <c r="E23" s="3616"/>
      <c r="F23" s="3616"/>
      <c r="G23" s="3616"/>
      <c r="H23" s="3616"/>
      <c r="I23" s="3616"/>
      <c r="J23" s="3616"/>
      <c r="K23" s="3616"/>
      <c r="L23" s="3616"/>
      <c r="M23" s="3616"/>
      <c r="N23" s="3616"/>
      <c r="O23" s="3616"/>
      <c r="P23" s="3616"/>
      <c r="Q23" s="3616"/>
      <c r="R23" s="3616"/>
      <c r="S23" s="3616"/>
      <c r="T23" s="3616"/>
      <c r="U23" s="3616"/>
      <c r="V23" s="3616"/>
      <c r="W23" s="3616"/>
      <c r="X23" s="3616"/>
      <c r="Y23" s="3616"/>
      <c r="Z23" s="3616"/>
      <c r="AA23" s="3617"/>
    </row>
    <row r="24" spans="1:27" ht="34.15" customHeight="1" x14ac:dyDescent="0.2">
      <c r="A24" s="1687">
        <v>8</v>
      </c>
      <c r="B24" s="835" t="s">
        <v>83</v>
      </c>
      <c r="D24" s="3615" t="s">
        <v>1083</v>
      </c>
      <c r="E24" s="3616"/>
      <c r="F24" s="3616"/>
      <c r="G24" s="3616"/>
      <c r="H24" s="3616"/>
      <c r="I24" s="3616"/>
      <c r="J24" s="3616"/>
      <c r="K24" s="3616"/>
      <c r="L24" s="3616"/>
      <c r="M24" s="3616"/>
      <c r="N24" s="3616"/>
      <c r="O24" s="3616"/>
      <c r="P24" s="3616"/>
      <c r="Q24" s="3616"/>
      <c r="R24" s="3616"/>
      <c r="S24" s="3616"/>
      <c r="T24" s="3616"/>
      <c r="U24" s="3616"/>
      <c r="V24" s="3616"/>
      <c r="W24" s="3616"/>
      <c r="X24" s="3616"/>
      <c r="Y24" s="3616"/>
      <c r="Z24" s="3616"/>
      <c r="AA24" s="3617"/>
    </row>
    <row r="30" spans="1:27" ht="15" customHeight="1" x14ac:dyDescent="0.2"/>
    <row r="31" spans="1:27" ht="13.5" customHeight="1" x14ac:dyDescent="0.2"/>
    <row r="32" spans="1:27" ht="15" customHeight="1" x14ac:dyDescent="0.2"/>
  </sheetData>
  <mergeCells count="7">
    <mergeCell ref="D23:AA23"/>
    <mergeCell ref="D24:AA24"/>
    <mergeCell ref="D2:AA2"/>
    <mergeCell ref="D3:AA3"/>
    <mergeCell ref="D4:AA4"/>
    <mergeCell ref="D21:AA21"/>
    <mergeCell ref="D22:AA22"/>
  </mergeCells>
  <pageMargins left="0.74803149606299213" right="0.74803149606299213" top="0.98425196850393704" bottom="0.98425196850393704" header="0.51181102362204722" footer="0.51181102362204722"/>
  <pageSetup paperSize="9" scale="51" orientation="landscape" r:id="rId1"/>
  <headerFooter alignWithMargins="0">
    <oddHeader>&amp;C&amp;"-,Bold"DEVELOPMENT INDICATORS 2014</oddHeader>
    <oddFooter>&amp;LDepartment of Planning, Monitoring and Evaluation (DPME). &amp;CPage &amp;P of &amp;N&amp;R&amp;D</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39"/>
  <sheetViews>
    <sheetView showGridLines="0" view="pageBreakPreview" topLeftCell="G1" zoomScaleNormal="100" zoomScaleSheetLayoutView="100" workbookViewId="0">
      <selection activeCell="O34" sqref="O34"/>
    </sheetView>
  </sheetViews>
  <sheetFormatPr defaultColWidth="9.140625" defaultRowHeight="12" x14ac:dyDescent="0.2"/>
  <cols>
    <col min="1" max="1" width="3.7109375" style="1687" customWidth="1"/>
    <col min="2" max="2" width="14.42578125" style="1688" customWidth="1"/>
    <col min="3" max="3" width="3.7109375" style="1688" customWidth="1"/>
    <col min="4" max="4" width="11.42578125" style="428" customWidth="1"/>
    <col min="5" max="5" width="12" style="428" customWidth="1"/>
    <col min="6" max="6" width="10.85546875" style="1976" customWidth="1"/>
    <col min="7" max="7" width="10.85546875" style="428" customWidth="1"/>
    <col min="8" max="8" width="8.140625" style="1977" customWidth="1"/>
    <col min="9" max="9" width="10.85546875" style="1976" customWidth="1"/>
    <col min="10" max="10" width="10.85546875" style="428" customWidth="1"/>
    <col min="11" max="11" width="8.140625" style="1977" customWidth="1"/>
    <col min="12" max="13" width="10.85546875" style="428" customWidth="1"/>
    <col min="14" max="14" width="8.140625" style="428" customWidth="1"/>
    <col min="15" max="16" width="10.85546875" style="428" customWidth="1"/>
    <col min="17" max="17" width="8.140625" style="428" customWidth="1"/>
    <col min="18" max="259" width="9.140625" style="428"/>
    <col min="260" max="260" width="3.7109375" style="428" customWidth="1"/>
    <col min="261" max="261" width="14.42578125" style="428" customWidth="1"/>
    <col min="262" max="262" width="3.7109375" style="428" customWidth="1"/>
    <col min="263" max="263" width="11.42578125" style="428" customWidth="1"/>
    <col min="264" max="264" width="12" style="428" customWidth="1"/>
    <col min="265" max="266" width="10.85546875" style="428" customWidth="1"/>
    <col min="267" max="267" width="8.140625" style="428" customWidth="1"/>
    <col min="268" max="269" width="10.85546875" style="428" customWidth="1"/>
    <col min="270" max="270" width="8.140625" style="428" customWidth="1"/>
    <col min="271" max="272" width="10.85546875" style="428" customWidth="1"/>
    <col min="273" max="273" width="8.140625" style="428" customWidth="1"/>
    <col min="274" max="515" width="9.140625" style="428"/>
    <col min="516" max="516" width="3.7109375" style="428" customWidth="1"/>
    <col min="517" max="517" width="14.42578125" style="428" customWidth="1"/>
    <col min="518" max="518" width="3.7109375" style="428" customWidth="1"/>
    <col min="519" max="519" width="11.42578125" style="428" customWidth="1"/>
    <col min="520" max="520" width="12" style="428" customWidth="1"/>
    <col min="521" max="522" width="10.85546875" style="428" customWidth="1"/>
    <col min="523" max="523" width="8.140625" style="428" customWidth="1"/>
    <col min="524" max="525" width="10.85546875" style="428" customWidth="1"/>
    <col min="526" max="526" width="8.140625" style="428" customWidth="1"/>
    <col min="527" max="528" width="10.85546875" style="428" customWidth="1"/>
    <col min="529" max="529" width="8.140625" style="428" customWidth="1"/>
    <col min="530" max="771" width="9.140625" style="428"/>
    <col min="772" max="772" width="3.7109375" style="428" customWidth="1"/>
    <col min="773" max="773" width="14.42578125" style="428" customWidth="1"/>
    <col min="774" max="774" width="3.7109375" style="428" customWidth="1"/>
    <col min="775" max="775" width="11.42578125" style="428" customWidth="1"/>
    <col min="776" max="776" width="12" style="428" customWidth="1"/>
    <col min="777" max="778" width="10.85546875" style="428" customWidth="1"/>
    <col min="779" max="779" width="8.140625" style="428" customWidth="1"/>
    <col min="780" max="781" width="10.85546875" style="428" customWidth="1"/>
    <col min="782" max="782" width="8.140625" style="428" customWidth="1"/>
    <col min="783" max="784" width="10.85546875" style="428" customWidth="1"/>
    <col min="785" max="785" width="8.140625" style="428" customWidth="1"/>
    <col min="786" max="1027" width="9.140625" style="428"/>
    <col min="1028" max="1028" width="3.7109375" style="428" customWidth="1"/>
    <col min="1029" max="1029" width="14.42578125" style="428" customWidth="1"/>
    <col min="1030" max="1030" width="3.7109375" style="428" customWidth="1"/>
    <col min="1031" max="1031" width="11.42578125" style="428" customWidth="1"/>
    <col min="1032" max="1032" width="12" style="428" customWidth="1"/>
    <col min="1033" max="1034" width="10.85546875" style="428" customWidth="1"/>
    <col min="1035" max="1035" width="8.140625" style="428" customWidth="1"/>
    <col min="1036" max="1037" width="10.85546875" style="428" customWidth="1"/>
    <col min="1038" max="1038" width="8.140625" style="428" customWidth="1"/>
    <col min="1039" max="1040" width="10.85546875" style="428" customWidth="1"/>
    <col min="1041" max="1041" width="8.140625" style="428" customWidth="1"/>
    <col min="1042" max="1283" width="9.140625" style="428"/>
    <col min="1284" max="1284" width="3.7109375" style="428" customWidth="1"/>
    <col min="1285" max="1285" width="14.42578125" style="428" customWidth="1"/>
    <col min="1286" max="1286" width="3.7109375" style="428" customWidth="1"/>
    <col min="1287" max="1287" width="11.42578125" style="428" customWidth="1"/>
    <col min="1288" max="1288" width="12" style="428" customWidth="1"/>
    <col min="1289" max="1290" width="10.85546875" style="428" customWidth="1"/>
    <col min="1291" max="1291" width="8.140625" style="428" customWidth="1"/>
    <col min="1292" max="1293" width="10.85546875" style="428" customWidth="1"/>
    <col min="1294" max="1294" width="8.140625" style="428" customWidth="1"/>
    <col min="1295" max="1296" width="10.85546875" style="428" customWidth="1"/>
    <col min="1297" max="1297" width="8.140625" style="428" customWidth="1"/>
    <col min="1298" max="1539" width="9.140625" style="428"/>
    <col min="1540" max="1540" width="3.7109375" style="428" customWidth="1"/>
    <col min="1541" max="1541" width="14.42578125" style="428" customWidth="1"/>
    <col min="1542" max="1542" width="3.7109375" style="428" customWidth="1"/>
    <col min="1543" max="1543" width="11.42578125" style="428" customWidth="1"/>
    <col min="1544" max="1544" width="12" style="428" customWidth="1"/>
    <col min="1545" max="1546" width="10.85546875" style="428" customWidth="1"/>
    <col min="1547" max="1547" width="8.140625" style="428" customWidth="1"/>
    <col min="1548" max="1549" width="10.85546875" style="428" customWidth="1"/>
    <col min="1550" max="1550" width="8.140625" style="428" customWidth="1"/>
    <col min="1551" max="1552" width="10.85546875" style="428" customWidth="1"/>
    <col min="1553" max="1553" width="8.140625" style="428" customWidth="1"/>
    <col min="1554" max="1795" width="9.140625" style="428"/>
    <col min="1796" max="1796" width="3.7109375" style="428" customWidth="1"/>
    <col min="1797" max="1797" width="14.42578125" style="428" customWidth="1"/>
    <col min="1798" max="1798" width="3.7109375" style="428" customWidth="1"/>
    <col min="1799" max="1799" width="11.42578125" style="428" customWidth="1"/>
    <col min="1800" max="1800" width="12" style="428" customWidth="1"/>
    <col min="1801" max="1802" width="10.85546875" style="428" customWidth="1"/>
    <col min="1803" max="1803" width="8.140625" style="428" customWidth="1"/>
    <col min="1804" max="1805" width="10.85546875" style="428" customWidth="1"/>
    <col min="1806" max="1806" width="8.140625" style="428" customWidth="1"/>
    <col min="1807" max="1808" width="10.85546875" style="428" customWidth="1"/>
    <col min="1809" max="1809" width="8.140625" style="428" customWidth="1"/>
    <col min="1810" max="2051" width="9.140625" style="428"/>
    <col min="2052" max="2052" width="3.7109375" style="428" customWidth="1"/>
    <col min="2053" max="2053" width="14.42578125" style="428" customWidth="1"/>
    <col min="2054" max="2054" width="3.7109375" style="428" customWidth="1"/>
    <col min="2055" max="2055" width="11.42578125" style="428" customWidth="1"/>
    <col min="2056" max="2056" width="12" style="428" customWidth="1"/>
    <col min="2057" max="2058" width="10.85546875" style="428" customWidth="1"/>
    <col min="2059" max="2059" width="8.140625" style="428" customWidth="1"/>
    <col min="2060" max="2061" width="10.85546875" style="428" customWidth="1"/>
    <col min="2062" max="2062" width="8.140625" style="428" customWidth="1"/>
    <col min="2063" max="2064" width="10.85546875" style="428" customWidth="1"/>
    <col min="2065" max="2065" width="8.140625" style="428" customWidth="1"/>
    <col min="2066" max="2307" width="9.140625" style="428"/>
    <col min="2308" max="2308" width="3.7109375" style="428" customWidth="1"/>
    <col min="2309" max="2309" width="14.42578125" style="428" customWidth="1"/>
    <col min="2310" max="2310" width="3.7109375" style="428" customWidth="1"/>
    <col min="2311" max="2311" width="11.42578125" style="428" customWidth="1"/>
    <col min="2312" max="2312" width="12" style="428" customWidth="1"/>
    <col min="2313" max="2314" width="10.85546875" style="428" customWidth="1"/>
    <col min="2315" max="2315" width="8.140625" style="428" customWidth="1"/>
    <col min="2316" max="2317" width="10.85546875" style="428" customWidth="1"/>
    <col min="2318" max="2318" width="8.140625" style="428" customWidth="1"/>
    <col min="2319" max="2320" width="10.85546875" style="428" customWidth="1"/>
    <col min="2321" max="2321" width="8.140625" style="428" customWidth="1"/>
    <col min="2322" max="2563" width="9.140625" style="428"/>
    <col min="2564" max="2564" width="3.7109375" style="428" customWidth="1"/>
    <col min="2565" max="2565" width="14.42578125" style="428" customWidth="1"/>
    <col min="2566" max="2566" width="3.7109375" style="428" customWidth="1"/>
    <col min="2567" max="2567" width="11.42578125" style="428" customWidth="1"/>
    <col min="2568" max="2568" width="12" style="428" customWidth="1"/>
    <col min="2569" max="2570" width="10.85546875" style="428" customWidth="1"/>
    <col min="2571" max="2571" width="8.140625" style="428" customWidth="1"/>
    <col min="2572" max="2573" width="10.85546875" style="428" customWidth="1"/>
    <col min="2574" max="2574" width="8.140625" style="428" customWidth="1"/>
    <col min="2575" max="2576" width="10.85546875" style="428" customWidth="1"/>
    <col min="2577" max="2577" width="8.140625" style="428" customWidth="1"/>
    <col min="2578" max="2819" width="9.140625" style="428"/>
    <col min="2820" max="2820" width="3.7109375" style="428" customWidth="1"/>
    <col min="2821" max="2821" width="14.42578125" style="428" customWidth="1"/>
    <col min="2822" max="2822" width="3.7109375" style="428" customWidth="1"/>
    <col min="2823" max="2823" width="11.42578125" style="428" customWidth="1"/>
    <col min="2824" max="2824" width="12" style="428" customWidth="1"/>
    <col min="2825" max="2826" width="10.85546875" style="428" customWidth="1"/>
    <col min="2827" max="2827" width="8.140625" style="428" customWidth="1"/>
    <col min="2828" max="2829" width="10.85546875" style="428" customWidth="1"/>
    <col min="2830" max="2830" width="8.140625" style="428" customWidth="1"/>
    <col min="2831" max="2832" width="10.85546875" style="428" customWidth="1"/>
    <col min="2833" max="2833" width="8.140625" style="428" customWidth="1"/>
    <col min="2834" max="3075" width="9.140625" style="428"/>
    <col min="3076" max="3076" width="3.7109375" style="428" customWidth="1"/>
    <col min="3077" max="3077" width="14.42578125" style="428" customWidth="1"/>
    <col min="3078" max="3078" width="3.7109375" style="428" customWidth="1"/>
    <col min="3079" max="3079" width="11.42578125" style="428" customWidth="1"/>
    <col min="3080" max="3080" width="12" style="428" customWidth="1"/>
    <col min="3081" max="3082" width="10.85546875" style="428" customWidth="1"/>
    <col min="3083" max="3083" width="8.140625" style="428" customWidth="1"/>
    <col min="3084" max="3085" width="10.85546875" style="428" customWidth="1"/>
    <col min="3086" max="3086" width="8.140625" style="428" customWidth="1"/>
    <col min="3087" max="3088" width="10.85546875" style="428" customWidth="1"/>
    <col min="3089" max="3089" width="8.140625" style="428" customWidth="1"/>
    <col min="3090" max="3331" width="9.140625" style="428"/>
    <col min="3332" max="3332" width="3.7109375" style="428" customWidth="1"/>
    <col min="3333" max="3333" width="14.42578125" style="428" customWidth="1"/>
    <col min="3334" max="3334" width="3.7109375" style="428" customWidth="1"/>
    <col min="3335" max="3335" width="11.42578125" style="428" customWidth="1"/>
    <col min="3336" max="3336" width="12" style="428" customWidth="1"/>
    <col min="3337" max="3338" width="10.85546875" style="428" customWidth="1"/>
    <col min="3339" max="3339" width="8.140625" style="428" customWidth="1"/>
    <col min="3340" max="3341" width="10.85546875" style="428" customWidth="1"/>
    <col min="3342" max="3342" width="8.140625" style="428" customWidth="1"/>
    <col min="3343" max="3344" width="10.85546875" style="428" customWidth="1"/>
    <col min="3345" max="3345" width="8.140625" style="428" customWidth="1"/>
    <col min="3346" max="3587" width="9.140625" style="428"/>
    <col min="3588" max="3588" width="3.7109375" style="428" customWidth="1"/>
    <col min="3589" max="3589" width="14.42578125" style="428" customWidth="1"/>
    <col min="3590" max="3590" width="3.7109375" style="428" customWidth="1"/>
    <col min="3591" max="3591" width="11.42578125" style="428" customWidth="1"/>
    <col min="3592" max="3592" width="12" style="428" customWidth="1"/>
    <col min="3593" max="3594" width="10.85546875" style="428" customWidth="1"/>
    <col min="3595" max="3595" width="8.140625" style="428" customWidth="1"/>
    <col min="3596" max="3597" width="10.85546875" style="428" customWidth="1"/>
    <col min="3598" max="3598" width="8.140625" style="428" customWidth="1"/>
    <col min="3599" max="3600" width="10.85546875" style="428" customWidth="1"/>
    <col min="3601" max="3601" width="8.140625" style="428" customWidth="1"/>
    <col min="3602" max="3843" width="9.140625" style="428"/>
    <col min="3844" max="3844" width="3.7109375" style="428" customWidth="1"/>
    <col min="3845" max="3845" width="14.42578125" style="428" customWidth="1"/>
    <col min="3846" max="3846" width="3.7109375" style="428" customWidth="1"/>
    <col min="3847" max="3847" width="11.42578125" style="428" customWidth="1"/>
    <col min="3848" max="3848" width="12" style="428" customWidth="1"/>
    <col min="3849" max="3850" width="10.85546875" style="428" customWidth="1"/>
    <col min="3851" max="3851" width="8.140625" style="428" customWidth="1"/>
    <col min="3852" max="3853" width="10.85546875" style="428" customWidth="1"/>
    <col min="3854" max="3854" width="8.140625" style="428" customWidth="1"/>
    <col min="3855" max="3856" width="10.85546875" style="428" customWidth="1"/>
    <col min="3857" max="3857" width="8.140625" style="428" customWidth="1"/>
    <col min="3858" max="4099" width="9.140625" style="428"/>
    <col min="4100" max="4100" width="3.7109375" style="428" customWidth="1"/>
    <col min="4101" max="4101" width="14.42578125" style="428" customWidth="1"/>
    <col min="4102" max="4102" width="3.7109375" style="428" customWidth="1"/>
    <col min="4103" max="4103" width="11.42578125" style="428" customWidth="1"/>
    <col min="4104" max="4104" width="12" style="428" customWidth="1"/>
    <col min="4105" max="4106" width="10.85546875" style="428" customWidth="1"/>
    <col min="4107" max="4107" width="8.140625" style="428" customWidth="1"/>
    <col min="4108" max="4109" width="10.85546875" style="428" customWidth="1"/>
    <col min="4110" max="4110" width="8.140625" style="428" customWidth="1"/>
    <col min="4111" max="4112" width="10.85546875" style="428" customWidth="1"/>
    <col min="4113" max="4113" width="8.140625" style="428" customWidth="1"/>
    <col min="4114" max="4355" width="9.140625" style="428"/>
    <col min="4356" max="4356" width="3.7109375" style="428" customWidth="1"/>
    <col min="4357" max="4357" width="14.42578125" style="428" customWidth="1"/>
    <col min="4358" max="4358" width="3.7109375" style="428" customWidth="1"/>
    <col min="4359" max="4359" width="11.42578125" style="428" customWidth="1"/>
    <col min="4360" max="4360" width="12" style="428" customWidth="1"/>
    <col min="4361" max="4362" width="10.85546875" style="428" customWidth="1"/>
    <col min="4363" max="4363" width="8.140625" style="428" customWidth="1"/>
    <col min="4364" max="4365" width="10.85546875" style="428" customWidth="1"/>
    <col min="4366" max="4366" width="8.140625" style="428" customWidth="1"/>
    <col min="4367" max="4368" width="10.85546875" style="428" customWidth="1"/>
    <col min="4369" max="4369" width="8.140625" style="428" customWidth="1"/>
    <col min="4370" max="4611" width="9.140625" style="428"/>
    <col min="4612" max="4612" width="3.7109375" style="428" customWidth="1"/>
    <col min="4613" max="4613" width="14.42578125" style="428" customWidth="1"/>
    <col min="4614" max="4614" width="3.7109375" style="428" customWidth="1"/>
    <col min="4615" max="4615" width="11.42578125" style="428" customWidth="1"/>
    <col min="4616" max="4616" width="12" style="428" customWidth="1"/>
    <col min="4617" max="4618" width="10.85546875" style="428" customWidth="1"/>
    <col min="4619" max="4619" width="8.140625" style="428" customWidth="1"/>
    <col min="4620" max="4621" width="10.85546875" style="428" customWidth="1"/>
    <col min="4622" max="4622" width="8.140625" style="428" customWidth="1"/>
    <col min="4623" max="4624" width="10.85546875" style="428" customWidth="1"/>
    <col min="4625" max="4625" width="8.140625" style="428" customWidth="1"/>
    <col min="4626" max="4867" width="9.140625" style="428"/>
    <col min="4868" max="4868" width="3.7109375" style="428" customWidth="1"/>
    <col min="4869" max="4869" width="14.42578125" style="428" customWidth="1"/>
    <col min="4870" max="4870" width="3.7109375" style="428" customWidth="1"/>
    <col min="4871" max="4871" width="11.42578125" style="428" customWidth="1"/>
    <col min="4872" max="4872" width="12" style="428" customWidth="1"/>
    <col min="4873" max="4874" width="10.85546875" style="428" customWidth="1"/>
    <col min="4875" max="4875" width="8.140625" style="428" customWidth="1"/>
    <col min="4876" max="4877" width="10.85546875" style="428" customWidth="1"/>
    <col min="4878" max="4878" width="8.140625" style="428" customWidth="1"/>
    <col min="4879" max="4880" width="10.85546875" style="428" customWidth="1"/>
    <col min="4881" max="4881" width="8.140625" style="428" customWidth="1"/>
    <col min="4882" max="5123" width="9.140625" style="428"/>
    <col min="5124" max="5124" width="3.7109375" style="428" customWidth="1"/>
    <col min="5125" max="5125" width="14.42578125" style="428" customWidth="1"/>
    <col min="5126" max="5126" width="3.7109375" style="428" customWidth="1"/>
    <col min="5127" max="5127" width="11.42578125" style="428" customWidth="1"/>
    <col min="5128" max="5128" width="12" style="428" customWidth="1"/>
    <col min="5129" max="5130" width="10.85546875" style="428" customWidth="1"/>
    <col min="5131" max="5131" width="8.140625" style="428" customWidth="1"/>
    <col min="5132" max="5133" width="10.85546875" style="428" customWidth="1"/>
    <col min="5134" max="5134" width="8.140625" style="428" customWidth="1"/>
    <col min="5135" max="5136" width="10.85546875" style="428" customWidth="1"/>
    <col min="5137" max="5137" width="8.140625" style="428" customWidth="1"/>
    <col min="5138" max="5379" width="9.140625" style="428"/>
    <col min="5380" max="5380" width="3.7109375" style="428" customWidth="1"/>
    <col min="5381" max="5381" width="14.42578125" style="428" customWidth="1"/>
    <col min="5382" max="5382" width="3.7109375" style="428" customWidth="1"/>
    <col min="5383" max="5383" width="11.42578125" style="428" customWidth="1"/>
    <col min="5384" max="5384" width="12" style="428" customWidth="1"/>
    <col min="5385" max="5386" width="10.85546875" style="428" customWidth="1"/>
    <col min="5387" max="5387" width="8.140625" style="428" customWidth="1"/>
    <col min="5388" max="5389" width="10.85546875" style="428" customWidth="1"/>
    <col min="5390" max="5390" width="8.140625" style="428" customWidth="1"/>
    <col min="5391" max="5392" width="10.85546875" style="428" customWidth="1"/>
    <col min="5393" max="5393" width="8.140625" style="428" customWidth="1"/>
    <col min="5394" max="5635" width="9.140625" style="428"/>
    <col min="5636" max="5636" width="3.7109375" style="428" customWidth="1"/>
    <col min="5637" max="5637" width="14.42578125" style="428" customWidth="1"/>
    <col min="5638" max="5638" width="3.7109375" style="428" customWidth="1"/>
    <col min="5639" max="5639" width="11.42578125" style="428" customWidth="1"/>
    <col min="5640" max="5640" width="12" style="428" customWidth="1"/>
    <col min="5641" max="5642" width="10.85546875" style="428" customWidth="1"/>
    <col min="5643" max="5643" width="8.140625" style="428" customWidth="1"/>
    <col min="5644" max="5645" width="10.85546875" style="428" customWidth="1"/>
    <col min="5646" max="5646" width="8.140625" style="428" customWidth="1"/>
    <col min="5647" max="5648" width="10.85546875" style="428" customWidth="1"/>
    <col min="5649" max="5649" width="8.140625" style="428" customWidth="1"/>
    <col min="5650" max="5891" width="9.140625" style="428"/>
    <col min="5892" max="5892" width="3.7109375" style="428" customWidth="1"/>
    <col min="5893" max="5893" width="14.42578125" style="428" customWidth="1"/>
    <col min="5894" max="5894" width="3.7109375" style="428" customWidth="1"/>
    <col min="5895" max="5895" width="11.42578125" style="428" customWidth="1"/>
    <col min="5896" max="5896" width="12" style="428" customWidth="1"/>
    <col min="5897" max="5898" width="10.85546875" style="428" customWidth="1"/>
    <col min="5899" max="5899" width="8.140625" style="428" customWidth="1"/>
    <col min="5900" max="5901" width="10.85546875" style="428" customWidth="1"/>
    <col min="5902" max="5902" width="8.140625" style="428" customWidth="1"/>
    <col min="5903" max="5904" width="10.85546875" style="428" customWidth="1"/>
    <col min="5905" max="5905" width="8.140625" style="428" customWidth="1"/>
    <col min="5906" max="6147" width="9.140625" style="428"/>
    <col min="6148" max="6148" width="3.7109375" style="428" customWidth="1"/>
    <col min="6149" max="6149" width="14.42578125" style="428" customWidth="1"/>
    <col min="6150" max="6150" width="3.7109375" style="428" customWidth="1"/>
    <col min="6151" max="6151" width="11.42578125" style="428" customWidth="1"/>
    <col min="6152" max="6152" width="12" style="428" customWidth="1"/>
    <col min="6153" max="6154" width="10.85546875" style="428" customWidth="1"/>
    <col min="6155" max="6155" width="8.140625" style="428" customWidth="1"/>
    <col min="6156" max="6157" width="10.85546875" style="428" customWidth="1"/>
    <col min="6158" max="6158" width="8.140625" style="428" customWidth="1"/>
    <col min="6159" max="6160" width="10.85546875" style="428" customWidth="1"/>
    <col min="6161" max="6161" width="8.140625" style="428" customWidth="1"/>
    <col min="6162" max="6403" width="9.140625" style="428"/>
    <col min="6404" max="6404" width="3.7109375" style="428" customWidth="1"/>
    <col min="6405" max="6405" width="14.42578125" style="428" customWidth="1"/>
    <col min="6406" max="6406" width="3.7109375" style="428" customWidth="1"/>
    <col min="6407" max="6407" width="11.42578125" style="428" customWidth="1"/>
    <col min="6408" max="6408" width="12" style="428" customWidth="1"/>
    <col min="6409" max="6410" width="10.85546875" style="428" customWidth="1"/>
    <col min="6411" max="6411" width="8.140625" style="428" customWidth="1"/>
    <col min="6412" max="6413" width="10.85546875" style="428" customWidth="1"/>
    <col min="6414" max="6414" width="8.140625" style="428" customWidth="1"/>
    <col min="6415" max="6416" width="10.85546875" style="428" customWidth="1"/>
    <col min="6417" max="6417" width="8.140625" style="428" customWidth="1"/>
    <col min="6418" max="6659" width="9.140625" style="428"/>
    <col min="6660" max="6660" width="3.7109375" style="428" customWidth="1"/>
    <col min="6661" max="6661" width="14.42578125" style="428" customWidth="1"/>
    <col min="6662" max="6662" width="3.7109375" style="428" customWidth="1"/>
    <col min="6663" max="6663" width="11.42578125" style="428" customWidth="1"/>
    <col min="6664" max="6664" width="12" style="428" customWidth="1"/>
    <col min="6665" max="6666" width="10.85546875" style="428" customWidth="1"/>
    <col min="6667" max="6667" width="8.140625" style="428" customWidth="1"/>
    <col min="6668" max="6669" width="10.85546875" style="428" customWidth="1"/>
    <col min="6670" max="6670" width="8.140625" style="428" customWidth="1"/>
    <col min="6671" max="6672" width="10.85546875" style="428" customWidth="1"/>
    <col min="6673" max="6673" width="8.140625" style="428" customWidth="1"/>
    <col min="6674" max="6915" width="9.140625" style="428"/>
    <col min="6916" max="6916" width="3.7109375" style="428" customWidth="1"/>
    <col min="6917" max="6917" width="14.42578125" style="428" customWidth="1"/>
    <col min="6918" max="6918" width="3.7109375" style="428" customWidth="1"/>
    <col min="6919" max="6919" width="11.42578125" style="428" customWidth="1"/>
    <col min="6920" max="6920" width="12" style="428" customWidth="1"/>
    <col min="6921" max="6922" width="10.85546875" style="428" customWidth="1"/>
    <col min="6923" max="6923" width="8.140625" style="428" customWidth="1"/>
    <col min="6924" max="6925" width="10.85546875" style="428" customWidth="1"/>
    <col min="6926" max="6926" width="8.140625" style="428" customWidth="1"/>
    <col min="6927" max="6928" width="10.85546875" style="428" customWidth="1"/>
    <col min="6929" max="6929" width="8.140625" style="428" customWidth="1"/>
    <col min="6930" max="7171" width="9.140625" style="428"/>
    <col min="7172" max="7172" width="3.7109375" style="428" customWidth="1"/>
    <col min="7173" max="7173" width="14.42578125" style="428" customWidth="1"/>
    <col min="7174" max="7174" width="3.7109375" style="428" customWidth="1"/>
    <col min="7175" max="7175" width="11.42578125" style="428" customWidth="1"/>
    <col min="7176" max="7176" width="12" style="428" customWidth="1"/>
    <col min="7177" max="7178" width="10.85546875" style="428" customWidth="1"/>
    <col min="7179" max="7179" width="8.140625" style="428" customWidth="1"/>
    <col min="7180" max="7181" width="10.85546875" style="428" customWidth="1"/>
    <col min="7182" max="7182" width="8.140625" style="428" customWidth="1"/>
    <col min="7183" max="7184" width="10.85546875" style="428" customWidth="1"/>
    <col min="7185" max="7185" width="8.140625" style="428" customWidth="1"/>
    <col min="7186" max="7427" width="9.140625" style="428"/>
    <col min="7428" max="7428" width="3.7109375" style="428" customWidth="1"/>
    <col min="7429" max="7429" width="14.42578125" style="428" customWidth="1"/>
    <col min="7430" max="7430" width="3.7109375" style="428" customWidth="1"/>
    <col min="7431" max="7431" width="11.42578125" style="428" customWidth="1"/>
    <col min="7432" max="7432" width="12" style="428" customWidth="1"/>
    <col min="7433" max="7434" width="10.85546875" style="428" customWidth="1"/>
    <col min="7435" max="7435" width="8.140625" style="428" customWidth="1"/>
    <col min="7436" max="7437" width="10.85546875" style="428" customWidth="1"/>
    <col min="7438" max="7438" width="8.140625" style="428" customWidth="1"/>
    <col min="7439" max="7440" width="10.85546875" style="428" customWidth="1"/>
    <col min="7441" max="7441" width="8.140625" style="428" customWidth="1"/>
    <col min="7442" max="7683" width="9.140625" style="428"/>
    <col min="7684" max="7684" width="3.7109375" style="428" customWidth="1"/>
    <col min="7685" max="7685" width="14.42578125" style="428" customWidth="1"/>
    <col min="7686" max="7686" width="3.7109375" style="428" customWidth="1"/>
    <col min="7687" max="7687" width="11.42578125" style="428" customWidth="1"/>
    <col min="7688" max="7688" width="12" style="428" customWidth="1"/>
    <col min="7689" max="7690" width="10.85546875" style="428" customWidth="1"/>
    <col min="7691" max="7691" width="8.140625" style="428" customWidth="1"/>
    <col min="7692" max="7693" width="10.85546875" style="428" customWidth="1"/>
    <col min="7694" max="7694" width="8.140625" style="428" customWidth="1"/>
    <col min="7695" max="7696" width="10.85546875" style="428" customWidth="1"/>
    <col min="7697" max="7697" width="8.140625" style="428" customWidth="1"/>
    <col min="7698" max="7939" width="9.140625" style="428"/>
    <col min="7940" max="7940" width="3.7109375" style="428" customWidth="1"/>
    <col min="7941" max="7941" width="14.42578125" style="428" customWidth="1"/>
    <col min="7942" max="7942" width="3.7109375" style="428" customWidth="1"/>
    <col min="7943" max="7943" width="11.42578125" style="428" customWidth="1"/>
    <col min="7944" max="7944" width="12" style="428" customWidth="1"/>
    <col min="7945" max="7946" width="10.85546875" style="428" customWidth="1"/>
    <col min="7947" max="7947" width="8.140625" style="428" customWidth="1"/>
    <col min="7948" max="7949" width="10.85546875" style="428" customWidth="1"/>
    <col min="7950" max="7950" width="8.140625" style="428" customWidth="1"/>
    <col min="7951" max="7952" width="10.85546875" style="428" customWidth="1"/>
    <col min="7953" max="7953" width="8.140625" style="428" customWidth="1"/>
    <col min="7954" max="8195" width="9.140625" style="428"/>
    <col min="8196" max="8196" width="3.7109375" style="428" customWidth="1"/>
    <col min="8197" max="8197" width="14.42578125" style="428" customWidth="1"/>
    <col min="8198" max="8198" width="3.7109375" style="428" customWidth="1"/>
    <col min="8199" max="8199" width="11.42578125" style="428" customWidth="1"/>
    <col min="8200" max="8200" width="12" style="428" customWidth="1"/>
    <col min="8201" max="8202" width="10.85546875" style="428" customWidth="1"/>
    <col min="8203" max="8203" width="8.140625" style="428" customWidth="1"/>
    <col min="8204" max="8205" width="10.85546875" style="428" customWidth="1"/>
    <col min="8206" max="8206" width="8.140625" style="428" customWidth="1"/>
    <col min="8207" max="8208" width="10.85546875" style="428" customWidth="1"/>
    <col min="8209" max="8209" width="8.140625" style="428" customWidth="1"/>
    <col min="8210" max="8451" width="9.140625" style="428"/>
    <col min="8452" max="8452" width="3.7109375" style="428" customWidth="1"/>
    <col min="8453" max="8453" width="14.42578125" style="428" customWidth="1"/>
    <col min="8454" max="8454" width="3.7109375" style="428" customWidth="1"/>
    <col min="8455" max="8455" width="11.42578125" style="428" customWidth="1"/>
    <col min="8456" max="8456" width="12" style="428" customWidth="1"/>
    <col min="8457" max="8458" width="10.85546875" style="428" customWidth="1"/>
    <col min="8459" max="8459" width="8.140625" style="428" customWidth="1"/>
    <col min="8460" max="8461" width="10.85546875" style="428" customWidth="1"/>
    <col min="8462" max="8462" width="8.140625" style="428" customWidth="1"/>
    <col min="8463" max="8464" width="10.85546875" style="428" customWidth="1"/>
    <col min="8465" max="8465" width="8.140625" style="428" customWidth="1"/>
    <col min="8466" max="8707" width="9.140625" style="428"/>
    <col min="8708" max="8708" width="3.7109375" style="428" customWidth="1"/>
    <col min="8709" max="8709" width="14.42578125" style="428" customWidth="1"/>
    <col min="8710" max="8710" width="3.7109375" style="428" customWidth="1"/>
    <col min="8711" max="8711" width="11.42578125" style="428" customWidth="1"/>
    <col min="8712" max="8712" width="12" style="428" customWidth="1"/>
    <col min="8713" max="8714" width="10.85546875" style="428" customWidth="1"/>
    <col min="8715" max="8715" width="8.140625" style="428" customWidth="1"/>
    <col min="8716" max="8717" width="10.85546875" style="428" customWidth="1"/>
    <col min="8718" max="8718" width="8.140625" style="428" customWidth="1"/>
    <col min="8719" max="8720" width="10.85546875" style="428" customWidth="1"/>
    <col min="8721" max="8721" width="8.140625" style="428" customWidth="1"/>
    <col min="8722" max="8963" width="9.140625" style="428"/>
    <col min="8964" max="8964" width="3.7109375" style="428" customWidth="1"/>
    <col min="8965" max="8965" width="14.42578125" style="428" customWidth="1"/>
    <col min="8966" max="8966" width="3.7109375" style="428" customWidth="1"/>
    <col min="8967" max="8967" width="11.42578125" style="428" customWidth="1"/>
    <col min="8968" max="8968" width="12" style="428" customWidth="1"/>
    <col min="8969" max="8970" width="10.85546875" style="428" customWidth="1"/>
    <col min="8971" max="8971" width="8.140625" style="428" customWidth="1"/>
    <col min="8972" max="8973" width="10.85546875" style="428" customWidth="1"/>
    <col min="8974" max="8974" width="8.140625" style="428" customWidth="1"/>
    <col min="8975" max="8976" width="10.85546875" style="428" customWidth="1"/>
    <col min="8977" max="8977" width="8.140625" style="428" customWidth="1"/>
    <col min="8978" max="9219" width="9.140625" style="428"/>
    <col min="9220" max="9220" width="3.7109375" style="428" customWidth="1"/>
    <col min="9221" max="9221" width="14.42578125" style="428" customWidth="1"/>
    <col min="9222" max="9222" width="3.7109375" style="428" customWidth="1"/>
    <col min="9223" max="9223" width="11.42578125" style="428" customWidth="1"/>
    <col min="9224" max="9224" width="12" style="428" customWidth="1"/>
    <col min="9225" max="9226" width="10.85546875" style="428" customWidth="1"/>
    <col min="9227" max="9227" width="8.140625" style="428" customWidth="1"/>
    <col min="9228" max="9229" width="10.85546875" style="428" customWidth="1"/>
    <col min="9230" max="9230" width="8.140625" style="428" customWidth="1"/>
    <col min="9231" max="9232" width="10.85546875" style="428" customWidth="1"/>
    <col min="9233" max="9233" width="8.140625" style="428" customWidth="1"/>
    <col min="9234" max="9475" width="9.140625" style="428"/>
    <col min="9476" max="9476" width="3.7109375" style="428" customWidth="1"/>
    <col min="9477" max="9477" width="14.42578125" style="428" customWidth="1"/>
    <col min="9478" max="9478" width="3.7109375" style="428" customWidth="1"/>
    <col min="9479" max="9479" width="11.42578125" style="428" customWidth="1"/>
    <col min="9480" max="9480" width="12" style="428" customWidth="1"/>
    <col min="9481" max="9482" width="10.85546875" style="428" customWidth="1"/>
    <col min="9483" max="9483" width="8.140625" style="428" customWidth="1"/>
    <col min="9484" max="9485" width="10.85546875" style="428" customWidth="1"/>
    <col min="9486" max="9486" width="8.140625" style="428" customWidth="1"/>
    <col min="9487" max="9488" width="10.85546875" style="428" customWidth="1"/>
    <col min="9489" max="9489" width="8.140625" style="428" customWidth="1"/>
    <col min="9490" max="9731" width="9.140625" style="428"/>
    <col min="9732" max="9732" width="3.7109375" style="428" customWidth="1"/>
    <col min="9733" max="9733" width="14.42578125" style="428" customWidth="1"/>
    <col min="9734" max="9734" width="3.7109375" style="428" customWidth="1"/>
    <col min="9735" max="9735" width="11.42578125" style="428" customWidth="1"/>
    <col min="9736" max="9736" width="12" style="428" customWidth="1"/>
    <col min="9737" max="9738" width="10.85546875" style="428" customWidth="1"/>
    <col min="9739" max="9739" width="8.140625" style="428" customWidth="1"/>
    <col min="9740" max="9741" width="10.85546875" style="428" customWidth="1"/>
    <col min="9742" max="9742" width="8.140625" style="428" customWidth="1"/>
    <col min="9743" max="9744" width="10.85546875" style="428" customWidth="1"/>
    <col min="9745" max="9745" width="8.140625" style="428" customWidth="1"/>
    <col min="9746" max="9987" width="9.140625" style="428"/>
    <col min="9988" max="9988" width="3.7109375" style="428" customWidth="1"/>
    <col min="9989" max="9989" width="14.42578125" style="428" customWidth="1"/>
    <col min="9990" max="9990" width="3.7109375" style="428" customWidth="1"/>
    <col min="9991" max="9991" width="11.42578125" style="428" customWidth="1"/>
    <col min="9992" max="9992" width="12" style="428" customWidth="1"/>
    <col min="9993" max="9994" width="10.85546875" style="428" customWidth="1"/>
    <col min="9995" max="9995" width="8.140625" style="428" customWidth="1"/>
    <col min="9996" max="9997" width="10.85546875" style="428" customWidth="1"/>
    <col min="9998" max="9998" width="8.140625" style="428" customWidth="1"/>
    <col min="9999" max="10000" width="10.85546875" style="428" customWidth="1"/>
    <col min="10001" max="10001" width="8.140625" style="428" customWidth="1"/>
    <col min="10002" max="10243" width="9.140625" style="428"/>
    <col min="10244" max="10244" width="3.7109375" style="428" customWidth="1"/>
    <col min="10245" max="10245" width="14.42578125" style="428" customWidth="1"/>
    <col min="10246" max="10246" width="3.7109375" style="428" customWidth="1"/>
    <col min="10247" max="10247" width="11.42578125" style="428" customWidth="1"/>
    <col min="10248" max="10248" width="12" style="428" customWidth="1"/>
    <col min="10249" max="10250" width="10.85546875" style="428" customWidth="1"/>
    <col min="10251" max="10251" width="8.140625" style="428" customWidth="1"/>
    <col min="10252" max="10253" width="10.85546875" style="428" customWidth="1"/>
    <col min="10254" max="10254" width="8.140625" style="428" customWidth="1"/>
    <col min="10255" max="10256" width="10.85546875" style="428" customWidth="1"/>
    <col min="10257" max="10257" width="8.140625" style="428" customWidth="1"/>
    <col min="10258" max="10499" width="9.140625" style="428"/>
    <col min="10500" max="10500" width="3.7109375" style="428" customWidth="1"/>
    <col min="10501" max="10501" width="14.42578125" style="428" customWidth="1"/>
    <col min="10502" max="10502" width="3.7109375" style="428" customWidth="1"/>
    <col min="10503" max="10503" width="11.42578125" style="428" customWidth="1"/>
    <col min="10504" max="10504" width="12" style="428" customWidth="1"/>
    <col min="10505" max="10506" width="10.85546875" style="428" customWidth="1"/>
    <col min="10507" max="10507" width="8.140625" style="428" customWidth="1"/>
    <col min="10508" max="10509" width="10.85546875" style="428" customWidth="1"/>
    <col min="10510" max="10510" width="8.140625" style="428" customWidth="1"/>
    <col min="10511" max="10512" width="10.85546875" style="428" customWidth="1"/>
    <col min="10513" max="10513" width="8.140625" style="428" customWidth="1"/>
    <col min="10514" max="10755" width="9.140625" style="428"/>
    <col min="10756" max="10756" width="3.7109375" style="428" customWidth="1"/>
    <col min="10757" max="10757" width="14.42578125" style="428" customWidth="1"/>
    <col min="10758" max="10758" width="3.7109375" style="428" customWidth="1"/>
    <col min="10759" max="10759" width="11.42578125" style="428" customWidth="1"/>
    <col min="10760" max="10760" width="12" style="428" customWidth="1"/>
    <col min="10761" max="10762" width="10.85546875" style="428" customWidth="1"/>
    <col min="10763" max="10763" width="8.140625" style="428" customWidth="1"/>
    <col min="10764" max="10765" width="10.85546875" style="428" customWidth="1"/>
    <col min="10766" max="10766" width="8.140625" style="428" customWidth="1"/>
    <col min="10767" max="10768" width="10.85546875" style="428" customWidth="1"/>
    <col min="10769" max="10769" width="8.140625" style="428" customWidth="1"/>
    <col min="10770" max="11011" width="9.140625" style="428"/>
    <col min="11012" max="11012" width="3.7109375" style="428" customWidth="1"/>
    <col min="11013" max="11013" width="14.42578125" style="428" customWidth="1"/>
    <col min="11014" max="11014" width="3.7109375" style="428" customWidth="1"/>
    <col min="11015" max="11015" width="11.42578125" style="428" customWidth="1"/>
    <col min="11016" max="11016" width="12" style="428" customWidth="1"/>
    <col min="11017" max="11018" width="10.85546875" style="428" customWidth="1"/>
    <col min="11019" max="11019" width="8.140625" style="428" customWidth="1"/>
    <col min="11020" max="11021" width="10.85546875" style="428" customWidth="1"/>
    <col min="11022" max="11022" width="8.140625" style="428" customWidth="1"/>
    <col min="11023" max="11024" width="10.85546875" style="428" customWidth="1"/>
    <col min="11025" max="11025" width="8.140625" style="428" customWidth="1"/>
    <col min="11026" max="11267" width="9.140625" style="428"/>
    <col min="11268" max="11268" width="3.7109375" style="428" customWidth="1"/>
    <col min="11269" max="11269" width="14.42578125" style="428" customWidth="1"/>
    <col min="11270" max="11270" width="3.7109375" style="428" customWidth="1"/>
    <col min="11271" max="11271" width="11.42578125" style="428" customWidth="1"/>
    <col min="11272" max="11272" width="12" style="428" customWidth="1"/>
    <col min="11273" max="11274" width="10.85546875" style="428" customWidth="1"/>
    <col min="11275" max="11275" width="8.140625" style="428" customWidth="1"/>
    <col min="11276" max="11277" width="10.85546875" style="428" customWidth="1"/>
    <col min="11278" max="11278" width="8.140625" style="428" customWidth="1"/>
    <col min="11279" max="11280" width="10.85546875" style="428" customWidth="1"/>
    <col min="11281" max="11281" width="8.140625" style="428" customWidth="1"/>
    <col min="11282" max="11523" width="9.140625" style="428"/>
    <col min="11524" max="11524" width="3.7109375" style="428" customWidth="1"/>
    <col min="11525" max="11525" width="14.42578125" style="428" customWidth="1"/>
    <col min="11526" max="11526" width="3.7109375" style="428" customWidth="1"/>
    <col min="11527" max="11527" width="11.42578125" style="428" customWidth="1"/>
    <col min="11528" max="11528" width="12" style="428" customWidth="1"/>
    <col min="11529" max="11530" width="10.85546875" style="428" customWidth="1"/>
    <col min="11531" max="11531" width="8.140625" style="428" customWidth="1"/>
    <col min="11532" max="11533" width="10.85546875" style="428" customWidth="1"/>
    <col min="11534" max="11534" width="8.140625" style="428" customWidth="1"/>
    <col min="11535" max="11536" width="10.85546875" style="428" customWidth="1"/>
    <col min="11537" max="11537" width="8.140625" style="428" customWidth="1"/>
    <col min="11538" max="11779" width="9.140625" style="428"/>
    <col min="11780" max="11780" width="3.7109375" style="428" customWidth="1"/>
    <col min="11781" max="11781" width="14.42578125" style="428" customWidth="1"/>
    <col min="11782" max="11782" width="3.7109375" style="428" customWidth="1"/>
    <col min="11783" max="11783" width="11.42578125" style="428" customWidth="1"/>
    <col min="11784" max="11784" width="12" style="428" customWidth="1"/>
    <col min="11785" max="11786" width="10.85546875" style="428" customWidth="1"/>
    <col min="11787" max="11787" width="8.140625" style="428" customWidth="1"/>
    <col min="11788" max="11789" width="10.85546875" style="428" customWidth="1"/>
    <col min="11790" max="11790" width="8.140625" style="428" customWidth="1"/>
    <col min="11791" max="11792" width="10.85546875" style="428" customWidth="1"/>
    <col min="11793" max="11793" width="8.140625" style="428" customWidth="1"/>
    <col min="11794" max="12035" width="9.140625" style="428"/>
    <col min="12036" max="12036" width="3.7109375" style="428" customWidth="1"/>
    <col min="12037" max="12037" width="14.42578125" style="428" customWidth="1"/>
    <col min="12038" max="12038" width="3.7109375" style="428" customWidth="1"/>
    <col min="12039" max="12039" width="11.42578125" style="428" customWidth="1"/>
    <col min="12040" max="12040" width="12" style="428" customWidth="1"/>
    <col min="12041" max="12042" width="10.85546875" style="428" customWidth="1"/>
    <col min="12043" max="12043" width="8.140625" style="428" customWidth="1"/>
    <col min="12044" max="12045" width="10.85546875" style="428" customWidth="1"/>
    <col min="12046" max="12046" width="8.140625" style="428" customWidth="1"/>
    <col min="12047" max="12048" width="10.85546875" style="428" customWidth="1"/>
    <col min="12049" max="12049" width="8.140625" style="428" customWidth="1"/>
    <col min="12050" max="12291" width="9.140625" style="428"/>
    <col min="12292" max="12292" width="3.7109375" style="428" customWidth="1"/>
    <col min="12293" max="12293" width="14.42578125" style="428" customWidth="1"/>
    <col min="12294" max="12294" width="3.7109375" style="428" customWidth="1"/>
    <col min="12295" max="12295" width="11.42578125" style="428" customWidth="1"/>
    <col min="12296" max="12296" width="12" style="428" customWidth="1"/>
    <col min="12297" max="12298" width="10.85546875" style="428" customWidth="1"/>
    <col min="12299" max="12299" width="8.140625" style="428" customWidth="1"/>
    <col min="12300" max="12301" width="10.85546875" style="428" customWidth="1"/>
    <col min="12302" max="12302" width="8.140625" style="428" customWidth="1"/>
    <col min="12303" max="12304" width="10.85546875" style="428" customWidth="1"/>
    <col min="12305" max="12305" width="8.140625" style="428" customWidth="1"/>
    <col min="12306" max="12547" width="9.140625" style="428"/>
    <col min="12548" max="12548" width="3.7109375" style="428" customWidth="1"/>
    <col min="12549" max="12549" width="14.42578125" style="428" customWidth="1"/>
    <col min="12550" max="12550" width="3.7109375" style="428" customWidth="1"/>
    <col min="12551" max="12551" width="11.42578125" style="428" customWidth="1"/>
    <col min="12552" max="12552" width="12" style="428" customWidth="1"/>
    <col min="12553" max="12554" width="10.85546875" style="428" customWidth="1"/>
    <col min="12555" max="12555" width="8.140625" style="428" customWidth="1"/>
    <col min="12556" max="12557" width="10.85546875" style="428" customWidth="1"/>
    <col min="12558" max="12558" width="8.140625" style="428" customWidth="1"/>
    <col min="12559" max="12560" width="10.85546875" style="428" customWidth="1"/>
    <col min="12561" max="12561" width="8.140625" style="428" customWidth="1"/>
    <col min="12562" max="12803" width="9.140625" style="428"/>
    <col min="12804" max="12804" width="3.7109375" style="428" customWidth="1"/>
    <col min="12805" max="12805" width="14.42578125" style="428" customWidth="1"/>
    <col min="12806" max="12806" width="3.7109375" style="428" customWidth="1"/>
    <col min="12807" max="12807" width="11.42578125" style="428" customWidth="1"/>
    <col min="12808" max="12808" width="12" style="428" customWidth="1"/>
    <col min="12809" max="12810" width="10.85546875" style="428" customWidth="1"/>
    <col min="12811" max="12811" width="8.140625" style="428" customWidth="1"/>
    <col min="12812" max="12813" width="10.85546875" style="428" customWidth="1"/>
    <col min="12814" max="12814" width="8.140625" style="428" customWidth="1"/>
    <col min="12815" max="12816" width="10.85546875" style="428" customWidth="1"/>
    <col min="12817" max="12817" width="8.140625" style="428" customWidth="1"/>
    <col min="12818" max="13059" width="9.140625" style="428"/>
    <col min="13060" max="13060" width="3.7109375" style="428" customWidth="1"/>
    <col min="13061" max="13061" width="14.42578125" style="428" customWidth="1"/>
    <col min="13062" max="13062" width="3.7109375" style="428" customWidth="1"/>
    <col min="13063" max="13063" width="11.42578125" style="428" customWidth="1"/>
    <col min="13064" max="13064" width="12" style="428" customWidth="1"/>
    <col min="13065" max="13066" width="10.85546875" style="428" customWidth="1"/>
    <col min="13067" max="13067" width="8.140625" style="428" customWidth="1"/>
    <col min="13068" max="13069" width="10.85546875" style="428" customWidth="1"/>
    <col min="13070" max="13070" width="8.140625" style="428" customWidth="1"/>
    <col min="13071" max="13072" width="10.85546875" style="428" customWidth="1"/>
    <col min="13073" max="13073" width="8.140625" style="428" customWidth="1"/>
    <col min="13074" max="13315" width="9.140625" style="428"/>
    <col min="13316" max="13316" width="3.7109375" style="428" customWidth="1"/>
    <col min="13317" max="13317" width="14.42578125" style="428" customWidth="1"/>
    <col min="13318" max="13318" width="3.7109375" style="428" customWidth="1"/>
    <col min="13319" max="13319" width="11.42578125" style="428" customWidth="1"/>
    <col min="13320" max="13320" width="12" style="428" customWidth="1"/>
    <col min="13321" max="13322" width="10.85546875" style="428" customWidth="1"/>
    <col min="13323" max="13323" width="8.140625" style="428" customWidth="1"/>
    <col min="13324" max="13325" width="10.85546875" style="428" customWidth="1"/>
    <col min="13326" max="13326" width="8.140625" style="428" customWidth="1"/>
    <col min="13327" max="13328" width="10.85546875" style="428" customWidth="1"/>
    <col min="13329" max="13329" width="8.140625" style="428" customWidth="1"/>
    <col min="13330" max="13571" width="9.140625" style="428"/>
    <col min="13572" max="13572" width="3.7109375" style="428" customWidth="1"/>
    <col min="13573" max="13573" width="14.42578125" style="428" customWidth="1"/>
    <col min="13574" max="13574" width="3.7109375" style="428" customWidth="1"/>
    <col min="13575" max="13575" width="11.42578125" style="428" customWidth="1"/>
    <col min="13576" max="13576" width="12" style="428" customWidth="1"/>
    <col min="13577" max="13578" width="10.85546875" style="428" customWidth="1"/>
    <col min="13579" max="13579" width="8.140625" style="428" customWidth="1"/>
    <col min="13580" max="13581" width="10.85546875" style="428" customWidth="1"/>
    <col min="13582" max="13582" width="8.140625" style="428" customWidth="1"/>
    <col min="13583" max="13584" width="10.85546875" style="428" customWidth="1"/>
    <col min="13585" max="13585" width="8.140625" style="428" customWidth="1"/>
    <col min="13586" max="13827" width="9.140625" style="428"/>
    <col min="13828" max="13828" width="3.7109375" style="428" customWidth="1"/>
    <col min="13829" max="13829" width="14.42578125" style="428" customWidth="1"/>
    <col min="13830" max="13830" width="3.7109375" style="428" customWidth="1"/>
    <col min="13831" max="13831" width="11.42578125" style="428" customWidth="1"/>
    <col min="13832" max="13832" width="12" style="428" customWidth="1"/>
    <col min="13833" max="13834" width="10.85546875" style="428" customWidth="1"/>
    <col min="13835" max="13835" width="8.140625" style="428" customWidth="1"/>
    <col min="13836" max="13837" width="10.85546875" style="428" customWidth="1"/>
    <col min="13838" max="13838" width="8.140625" style="428" customWidth="1"/>
    <col min="13839" max="13840" width="10.85546875" style="428" customWidth="1"/>
    <col min="13841" max="13841" width="8.140625" style="428" customWidth="1"/>
    <col min="13842" max="14083" width="9.140625" style="428"/>
    <col min="14084" max="14084" width="3.7109375" style="428" customWidth="1"/>
    <col min="14085" max="14085" width="14.42578125" style="428" customWidth="1"/>
    <col min="14086" max="14086" width="3.7109375" style="428" customWidth="1"/>
    <col min="14087" max="14087" width="11.42578125" style="428" customWidth="1"/>
    <col min="14088" max="14088" width="12" style="428" customWidth="1"/>
    <col min="14089" max="14090" width="10.85546875" style="428" customWidth="1"/>
    <col min="14091" max="14091" width="8.140625" style="428" customWidth="1"/>
    <col min="14092" max="14093" width="10.85546875" style="428" customWidth="1"/>
    <col min="14094" max="14094" width="8.140625" style="428" customWidth="1"/>
    <col min="14095" max="14096" width="10.85546875" style="428" customWidth="1"/>
    <col min="14097" max="14097" width="8.140625" style="428" customWidth="1"/>
    <col min="14098" max="14339" width="9.140625" style="428"/>
    <col min="14340" max="14340" width="3.7109375" style="428" customWidth="1"/>
    <col min="14341" max="14341" width="14.42578125" style="428" customWidth="1"/>
    <col min="14342" max="14342" width="3.7109375" style="428" customWidth="1"/>
    <col min="14343" max="14343" width="11.42578125" style="428" customWidth="1"/>
    <col min="14344" max="14344" width="12" style="428" customWidth="1"/>
    <col min="14345" max="14346" width="10.85546875" style="428" customWidth="1"/>
    <col min="14347" max="14347" width="8.140625" style="428" customWidth="1"/>
    <col min="14348" max="14349" width="10.85546875" style="428" customWidth="1"/>
    <col min="14350" max="14350" width="8.140625" style="428" customWidth="1"/>
    <col min="14351" max="14352" width="10.85546875" style="428" customWidth="1"/>
    <col min="14353" max="14353" width="8.140625" style="428" customWidth="1"/>
    <col min="14354" max="14595" width="9.140625" style="428"/>
    <col min="14596" max="14596" width="3.7109375" style="428" customWidth="1"/>
    <col min="14597" max="14597" width="14.42578125" style="428" customWidth="1"/>
    <col min="14598" max="14598" width="3.7109375" style="428" customWidth="1"/>
    <col min="14599" max="14599" width="11.42578125" style="428" customWidth="1"/>
    <col min="14600" max="14600" width="12" style="428" customWidth="1"/>
    <col min="14601" max="14602" width="10.85546875" style="428" customWidth="1"/>
    <col min="14603" max="14603" width="8.140625" style="428" customWidth="1"/>
    <col min="14604" max="14605" width="10.85546875" style="428" customWidth="1"/>
    <col min="14606" max="14606" width="8.140625" style="428" customWidth="1"/>
    <col min="14607" max="14608" width="10.85546875" style="428" customWidth="1"/>
    <col min="14609" max="14609" width="8.140625" style="428" customWidth="1"/>
    <col min="14610" max="14851" width="9.140625" style="428"/>
    <col min="14852" max="14852" width="3.7109375" style="428" customWidth="1"/>
    <col min="14853" max="14853" width="14.42578125" style="428" customWidth="1"/>
    <col min="14854" max="14854" width="3.7109375" style="428" customWidth="1"/>
    <col min="14855" max="14855" width="11.42578125" style="428" customWidth="1"/>
    <col min="14856" max="14856" width="12" style="428" customWidth="1"/>
    <col min="14857" max="14858" width="10.85546875" style="428" customWidth="1"/>
    <col min="14859" max="14859" width="8.140625" style="428" customWidth="1"/>
    <col min="14860" max="14861" width="10.85546875" style="428" customWidth="1"/>
    <col min="14862" max="14862" width="8.140625" style="428" customWidth="1"/>
    <col min="14863" max="14864" width="10.85546875" style="428" customWidth="1"/>
    <col min="14865" max="14865" width="8.140625" style="428" customWidth="1"/>
    <col min="14866" max="15107" width="9.140625" style="428"/>
    <col min="15108" max="15108" width="3.7109375" style="428" customWidth="1"/>
    <col min="15109" max="15109" width="14.42578125" style="428" customWidth="1"/>
    <col min="15110" max="15110" width="3.7109375" style="428" customWidth="1"/>
    <col min="15111" max="15111" width="11.42578125" style="428" customWidth="1"/>
    <col min="15112" max="15112" width="12" style="428" customWidth="1"/>
    <col min="15113" max="15114" width="10.85546875" style="428" customWidth="1"/>
    <col min="15115" max="15115" width="8.140625" style="428" customWidth="1"/>
    <col min="15116" max="15117" width="10.85546875" style="428" customWidth="1"/>
    <col min="15118" max="15118" width="8.140625" style="428" customWidth="1"/>
    <col min="15119" max="15120" width="10.85546875" style="428" customWidth="1"/>
    <col min="15121" max="15121" width="8.140625" style="428" customWidth="1"/>
    <col min="15122" max="15363" width="9.140625" style="428"/>
    <col min="15364" max="15364" width="3.7109375" style="428" customWidth="1"/>
    <col min="15365" max="15365" width="14.42578125" style="428" customWidth="1"/>
    <col min="15366" max="15366" width="3.7109375" style="428" customWidth="1"/>
    <col min="15367" max="15367" width="11.42578125" style="428" customWidth="1"/>
    <col min="15368" max="15368" width="12" style="428" customWidth="1"/>
    <col min="15369" max="15370" width="10.85546875" style="428" customWidth="1"/>
    <col min="15371" max="15371" width="8.140625" style="428" customWidth="1"/>
    <col min="15372" max="15373" width="10.85546875" style="428" customWidth="1"/>
    <col min="15374" max="15374" width="8.140625" style="428" customWidth="1"/>
    <col min="15375" max="15376" width="10.85546875" style="428" customWidth="1"/>
    <col min="15377" max="15377" width="8.140625" style="428" customWidth="1"/>
    <col min="15378" max="15619" width="9.140625" style="428"/>
    <col min="15620" max="15620" width="3.7109375" style="428" customWidth="1"/>
    <col min="15621" max="15621" width="14.42578125" style="428" customWidth="1"/>
    <col min="15622" max="15622" width="3.7109375" style="428" customWidth="1"/>
    <col min="15623" max="15623" width="11.42578125" style="428" customWidth="1"/>
    <col min="15624" max="15624" width="12" style="428" customWidth="1"/>
    <col min="15625" max="15626" width="10.85546875" style="428" customWidth="1"/>
    <col min="15627" max="15627" width="8.140625" style="428" customWidth="1"/>
    <col min="15628" max="15629" width="10.85546875" style="428" customWidth="1"/>
    <col min="15630" max="15630" width="8.140625" style="428" customWidth="1"/>
    <col min="15631" max="15632" width="10.85546875" style="428" customWidth="1"/>
    <col min="15633" max="15633" width="8.140625" style="428" customWidth="1"/>
    <col min="15634" max="15875" width="9.140625" style="428"/>
    <col min="15876" max="15876" width="3.7109375" style="428" customWidth="1"/>
    <col min="15877" max="15877" width="14.42578125" style="428" customWidth="1"/>
    <col min="15878" max="15878" width="3.7109375" style="428" customWidth="1"/>
    <col min="15879" max="15879" width="11.42578125" style="428" customWidth="1"/>
    <col min="15880" max="15880" width="12" style="428" customWidth="1"/>
    <col min="15881" max="15882" width="10.85546875" style="428" customWidth="1"/>
    <col min="15883" max="15883" width="8.140625" style="428" customWidth="1"/>
    <col min="15884" max="15885" width="10.85546875" style="428" customWidth="1"/>
    <col min="15886" max="15886" width="8.140625" style="428" customWidth="1"/>
    <col min="15887" max="15888" width="10.85546875" style="428" customWidth="1"/>
    <col min="15889" max="15889" width="8.140625" style="428" customWidth="1"/>
    <col min="15890" max="16131" width="9.140625" style="428"/>
    <col min="16132" max="16132" width="3.7109375" style="428" customWidth="1"/>
    <col min="16133" max="16133" width="14.42578125" style="428" customWidth="1"/>
    <col min="16134" max="16134" width="3.7109375" style="428" customWidth="1"/>
    <col min="16135" max="16135" width="11.42578125" style="428" customWidth="1"/>
    <col min="16136" max="16136" width="12" style="428" customWidth="1"/>
    <col min="16137" max="16138" width="10.85546875" style="428" customWidth="1"/>
    <col min="16139" max="16139" width="8.140625" style="428" customWidth="1"/>
    <col min="16140" max="16141" width="10.85546875" style="428" customWidth="1"/>
    <col min="16142" max="16142" width="8.140625" style="428" customWidth="1"/>
    <col min="16143" max="16144" width="10.85546875" style="428" customWidth="1"/>
    <col min="16145" max="16145" width="8.140625" style="428" customWidth="1"/>
    <col min="16146" max="16384" width="9.140625" style="428"/>
  </cols>
  <sheetData>
    <row r="1" spans="1:22" x14ac:dyDescent="0.2">
      <c r="B1" s="824"/>
    </row>
    <row r="2" spans="1:22" s="964" customFormat="1" ht="15" customHeight="1" x14ac:dyDescent="0.25">
      <c r="A2" s="835">
        <v>1</v>
      </c>
      <c r="B2" s="835" t="s">
        <v>24</v>
      </c>
      <c r="C2" s="835">
        <f>1+'Voter Participation'!C2</f>
        <v>55</v>
      </c>
      <c r="D2" s="3615" t="s">
        <v>1119</v>
      </c>
      <c r="E2" s="3616"/>
      <c r="F2" s="3616"/>
      <c r="G2" s="1462"/>
      <c r="H2" s="1462"/>
      <c r="I2" s="1462"/>
      <c r="J2" s="1462"/>
      <c r="K2" s="1462"/>
      <c r="L2" s="1462"/>
      <c r="M2" s="1462"/>
      <c r="N2" s="1462"/>
      <c r="O2" s="1462"/>
      <c r="P2" s="1978"/>
      <c r="Q2" s="1978"/>
      <c r="R2" s="1978"/>
      <c r="S2" s="1979"/>
      <c r="T2" s="1762"/>
      <c r="U2" s="1762"/>
      <c r="V2" s="1762"/>
    </row>
    <row r="3" spans="1:22" s="964" customFormat="1" ht="15" customHeight="1" x14ac:dyDescent="0.25">
      <c r="A3" s="835">
        <v>2</v>
      </c>
      <c r="B3" s="835" t="s">
        <v>26</v>
      </c>
      <c r="C3" s="835"/>
      <c r="D3" s="3615" t="s">
        <v>1081</v>
      </c>
      <c r="E3" s="3616"/>
      <c r="F3" s="3616"/>
      <c r="G3" s="3616"/>
      <c r="H3" s="3616"/>
      <c r="I3" s="3616"/>
      <c r="J3" s="3616"/>
      <c r="K3" s="3616"/>
      <c r="L3" s="3616"/>
      <c r="M3" s="3616"/>
      <c r="N3" s="3616"/>
      <c r="O3" s="3616"/>
      <c r="P3" s="3616"/>
      <c r="Q3" s="3885"/>
      <c r="R3" s="3885"/>
      <c r="S3" s="3886"/>
    </row>
    <row r="4" spans="1:22" s="964" customFormat="1" ht="15" customHeight="1" x14ac:dyDescent="0.25">
      <c r="A4" s="835">
        <v>3</v>
      </c>
      <c r="B4" s="835" t="s">
        <v>28</v>
      </c>
      <c r="C4" s="835"/>
      <c r="D4" s="3615" t="s">
        <v>1118</v>
      </c>
      <c r="E4" s="3616"/>
      <c r="F4" s="3616"/>
      <c r="G4" s="3616"/>
      <c r="H4" s="3616"/>
      <c r="I4" s="3616"/>
      <c r="J4" s="3616"/>
      <c r="K4" s="3616"/>
      <c r="L4" s="3616"/>
      <c r="M4" s="3616"/>
      <c r="N4" s="3616"/>
      <c r="O4" s="3616"/>
      <c r="P4" s="3616"/>
      <c r="Q4" s="3885"/>
      <c r="R4" s="3885"/>
      <c r="S4" s="3886"/>
    </row>
    <row r="5" spans="1:22" s="964" customFormat="1" ht="15" customHeight="1" x14ac:dyDescent="0.25">
      <c r="A5" s="835"/>
      <c r="B5" s="835"/>
      <c r="C5" s="835"/>
      <c r="D5" s="1471"/>
      <c r="E5" s="1471"/>
      <c r="F5" s="1471"/>
      <c r="G5" s="1471"/>
      <c r="H5" s="1471"/>
      <c r="I5" s="1471"/>
      <c r="J5" s="1471"/>
      <c r="K5" s="1471"/>
      <c r="L5" s="1471"/>
      <c r="M5" s="1471"/>
      <c r="N5" s="1471"/>
      <c r="O5" s="1471"/>
      <c r="P5" s="1471"/>
      <c r="Q5" s="1697"/>
      <c r="R5" s="1697"/>
      <c r="S5" s="1697"/>
    </row>
    <row r="6" spans="1:22" ht="12.75" x14ac:dyDescent="0.2">
      <c r="A6" s="835">
        <v>4</v>
      </c>
      <c r="B6" s="835" t="s">
        <v>1</v>
      </c>
      <c r="C6" s="835"/>
      <c r="D6" s="1094"/>
      <c r="E6" s="1094"/>
      <c r="F6" s="1980"/>
      <c r="G6" s="1094"/>
      <c r="H6" s="1099"/>
      <c r="I6" s="1980"/>
    </row>
    <row r="7" spans="1:22" s="401" customFormat="1" ht="12.75" x14ac:dyDescent="0.2">
      <c r="A7" s="1224"/>
      <c r="B7" s="1222"/>
      <c r="C7" s="1222"/>
      <c r="D7" s="1098" t="s">
        <v>31</v>
      </c>
      <c r="E7" s="1098" t="s">
        <v>1117</v>
      </c>
      <c r="F7" s="1098"/>
      <c r="G7" s="1773"/>
      <c r="H7" s="1981"/>
      <c r="I7" s="436"/>
      <c r="J7" s="436"/>
      <c r="K7" s="1982"/>
      <c r="L7" s="432"/>
      <c r="M7" s="432"/>
      <c r="N7" s="432"/>
      <c r="O7" s="432"/>
      <c r="P7" s="432"/>
      <c r="Q7" s="432"/>
    </row>
    <row r="8" spans="1:22" s="401" customFormat="1" ht="15" x14ac:dyDescent="0.25">
      <c r="A8" s="1224"/>
      <c r="B8" s="1222"/>
      <c r="C8" s="1222"/>
      <c r="D8" s="2945"/>
      <c r="E8" s="1983">
        <v>1994</v>
      </c>
      <c r="F8" s="3648">
        <v>1999</v>
      </c>
      <c r="G8" s="3887"/>
      <c r="H8" s="3888"/>
      <c r="I8" s="3648">
        <v>2004</v>
      </c>
      <c r="J8" s="3887"/>
      <c r="K8" s="3887"/>
      <c r="L8" s="3648">
        <v>2009</v>
      </c>
      <c r="M8" s="3887"/>
      <c r="N8" s="3887"/>
      <c r="O8" s="3648">
        <v>2014</v>
      </c>
      <c r="P8" s="3887"/>
      <c r="Q8" s="3888"/>
    </row>
    <row r="9" spans="1:22" s="401" customFormat="1" ht="16.5" customHeight="1" x14ac:dyDescent="0.2">
      <c r="A9" s="1224"/>
      <c r="B9" s="1222"/>
      <c r="C9" s="1222"/>
      <c r="D9" s="2946"/>
      <c r="E9" s="1477"/>
      <c r="F9" s="1984" t="s">
        <v>1112</v>
      </c>
      <c r="G9" s="1477" t="s">
        <v>1111</v>
      </c>
      <c r="H9" s="1985" t="s">
        <v>54</v>
      </c>
      <c r="I9" s="790" t="s">
        <v>1112</v>
      </c>
      <c r="J9" s="1477" t="s">
        <v>1111</v>
      </c>
      <c r="K9" s="1986" t="s">
        <v>54</v>
      </c>
      <c r="L9" s="1984" t="s">
        <v>1112</v>
      </c>
      <c r="M9" s="1477" t="s">
        <v>1116</v>
      </c>
      <c r="N9" s="1986" t="s">
        <v>54</v>
      </c>
      <c r="O9" s="1984" t="s">
        <v>1112</v>
      </c>
      <c r="P9" s="1477" t="s">
        <v>1116</v>
      </c>
      <c r="Q9" s="1987" t="s">
        <v>54</v>
      </c>
    </row>
    <row r="10" spans="1:22" s="401" customFormat="1" ht="11.25" x14ac:dyDescent="0.2">
      <c r="A10" s="1224"/>
      <c r="B10" s="1222"/>
      <c r="C10" s="1222"/>
      <c r="D10" s="2947" t="s">
        <v>415</v>
      </c>
      <c r="E10" s="427"/>
      <c r="F10" s="1145">
        <v>2454543</v>
      </c>
      <c r="G10" s="1078">
        <v>2177266</v>
      </c>
      <c r="H10" s="1140">
        <f t="shared" ref="H10:H18" si="0">G10/F10</f>
        <v>0.88703518333147968</v>
      </c>
      <c r="I10" s="1078">
        <v>2849486</v>
      </c>
      <c r="J10" s="1141">
        <v>2310226</v>
      </c>
      <c r="K10" s="1144">
        <f t="shared" ref="K10:K18" si="1">J10/I10</f>
        <v>0.81075183383950644</v>
      </c>
      <c r="L10" s="1145">
        <v>3056559</v>
      </c>
      <c r="M10" s="1141">
        <v>2344098</v>
      </c>
      <c r="N10" s="1144">
        <f t="shared" ref="N10:N18" si="2">M10/L10</f>
        <v>0.7669074930338331</v>
      </c>
      <c r="O10" s="1145">
        <v>3240059</v>
      </c>
      <c r="P10" s="1141">
        <v>2278555</v>
      </c>
      <c r="Q10" s="1140">
        <f t="shared" ref="Q10:Q18" si="3">P10/O10</f>
        <v>0.70324491004639111</v>
      </c>
    </row>
    <row r="11" spans="1:22" s="401" customFormat="1" ht="11.25" x14ac:dyDescent="0.2">
      <c r="A11" s="1224"/>
      <c r="B11" s="1222"/>
      <c r="C11" s="1222"/>
      <c r="D11" s="2948" t="s">
        <v>417</v>
      </c>
      <c r="E11" s="432"/>
      <c r="F11" s="1139">
        <v>1226730</v>
      </c>
      <c r="G11" s="797">
        <v>1090908</v>
      </c>
      <c r="H11" s="1138">
        <f t="shared" si="0"/>
        <v>0.889281259934949</v>
      </c>
      <c r="I11" s="797">
        <v>1321195</v>
      </c>
      <c r="J11" s="446">
        <v>1042120</v>
      </c>
      <c r="K11" s="1143">
        <f t="shared" si="1"/>
        <v>0.78877077191481959</v>
      </c>
      <c r="L11" s="1139">
        <v>1388588</v>
      </c>
      <c r="M11" s="446">
        <v>1069127</v>
      </c>
      <c r="N11" s="1143">
        <f t="shared" si="2"/>
        <v>0.76993823942018802</v>
      </c>
      <c r="O11" s="1139">
        <v>1449488</v>
      </c>
      <c r="P11" s="446">
        <v>1051027</v>
      </c>
      <c r="Q11" s="1138">
        <f t="shared" si="3"/>
        <v>0.72510224299890724</v>
      </c>
    </row>
    <row r="12" spans="1:22" s="401" customFormat="1" ht="11.25" x14ac:dyDescent="0.2">
      <c r="A12" s="1224"/>
      <c r="B12" s="1222"/>
      <c r="C12" s="1222"/>
      <c r="D12" s="2948" t="s">
        <v>420</v>
      </c>
      <c r="E12" s="432"/>
      <c r="F12" s="1139">
        <v>4158087</v>
      </c>
      <c r="G12" s="797">
        <v>3662790</v>
      </c>
      <c r="H12" s="1138">
        <f t="shared" si="0"/>
        <v>0.88088344471868918</v>
      </c>
      <c r="I12" s="797">
        <v>4650594</v>
      </c>
      <c r="J12" s="446">
        <v>3553098</v>
      </c>
      <c r="K12" s="1143">
        <f t="shared" si="1"/>
        <v>0.76400950072184326</v>
      </c>
      <c r="L12" s="1139">
        <v>5555159</v>
      </c>
      <c r="M12" s="446">
        <v>4391699</v>
      </c>
      <c r="N12" s="1143">
        <f t="shared" si="2"/>
        <v>0.79056225033342875</v>
      </c>
      <c r="O12" s="1139">
        <v>6063739</v>
      </c>
      <c r="P12" s="446">
        <v>4638981</v>
      </c>
      <c r="Q12" s="1138">
        <f t="shared" si="3"/>
        <v>0.76503639091326325</v>
      </c>
    </row>
    <row r="13" spans="1:22" s="401" customFormat="1" ht="11.25" x14ac:dyDescent="0.2">
      <c r="A13" s="1224"/>
      <c r="B13" s="1222"/>
      <c r="C13" s="1222"/>
      <c r="D13" s="2948" t="s">
        <v>418</v>
      </c>
      <c r="E13" s="432"/>
      <c r="F13" s="1139">
        <v>3443978</v>
      </c>
      <c r="G13" s="797">
        <v>2963358</v>
      </c>
      <c r="H13" s="1138">
        <f t="shared" si="0"/>
        <v>0.86044626301329452</v>
      </c>
      <c r="I13" s="797">
        <v>3819864</v>
      </c>
      <c r="J13" s="446">
        <v>2807885</v>
      </c>
      <c r="K13" s="1143">
        <f t="shared" si="1"/>
        <v>0.73507459951453769</v>
      </c>
      <c r="L13" s="1139">
        <v>4475217</v>
      </c>
      <c r="M13" s="446">
        <v>3574326</v>
      </c>
      <c r="N13" s="1143">
        <f t="shared" si="2"/>
        <v>0.7986933371052175</v>
      </c>
      <c r="O13" s="1139">
        <v>5117131</v>
      </c>
      <c r="P13" s="446">
        <v>3935771</v>
      </c>
      <c r="Q13" s="1138">
        <f t="shared" si="3"/>
        <v>0.76913626014264636</v>
      </c>
    </row>
    <row r="14" spans="1:22" s="401" customFormat="1" ht="11.25" x14ac:dyDescent="0.2">
      <c r="A14" s="1224"/>
      <c r="B14" s="1222"/>
      <c r="C14" s="1222"/>
      <c r="D14" s="2948" t="s">
        <v>422</v>
      </c>
      <c r="E14" s="432"/>
      <c r="F14" s="1139">
        <v>1847766</v>
      </c>
      <c r="G14" s="797">
        <v>1658694</v>
      </c>
      <c r="H14" s="1138">
        <f t="shared" si="0"/>
        <v>0.89767535499624951</v>
      </c>
      <c r="I14" s="797">
        <v>2187912</v>
      </c>
      <c r="J14" s="446">
        <v>1686757</v>
      </c>
      <c r="K14" s="1143">
        <f t="shared" si="1"/>
        <v>0.77094371254419736</v>
      </c>
      <c r="L14" s="1139">
        <v>2256073</v>
      </c>
      <c r="M14" s="446">
        <v>1570592</v>
      </c>
      <c r="N14" s="1143">
        <f t="shared" si="2"/>
        <v>0.69616187064868906</v>
      </c>
      <c r="O14" s="1139">
        <v>2440348</v>
      </c>
      <c r="P14" s="446">
        <v>1543986</v>
      </c>
      <c r="Q14" s="1138">
        <f t="shared" si="3"/>
        <v>0.63269091129625776</v>
      </c>
    </row>
    <row r="15" spans="1:22" s="401" customFormat="1" ht="11.25" x14ac:dyDescent="0.2">
      <c r="A15" s="1224"/>
      <c r="B15" s="1222"/>
      <c r="C15" s="1222"/>
      <c r="D15" s="2948" t="s">
        <v>421</v>
      </c>
      <c r="E15" s="432"/>
      <c r="F15" s="1139">
        <v>1277783</v>
      </c>
      <c r="G15" s="797">
        <v>1129536</v>
      </c>
      <c r="H15" s="1138">
        <f t="shared" si="0"/>
        <v>0.88398108285992227</v>
      </c>
      <c r="I15" s="797">
        <v>1442472</v>
      </c>
      <c r="J15" s="446">
        <v>1157963</v>
      </c>
      <c r="K15" s="1143">
        <f t="shared" si="1"/>
        <v>0.80276289591756378</v>
      </c>
      <c r="L15" s="1139">
        <v>1696705</v>
      </c>
      <c r="M15" s="446">
        <v>1363836</v>
      </c>
      <c r="N15" s="1143">
        <f t="shared" si="2"/>
        <v>0.80381445212927405</v>
      </c>
      <c r="O15" s="1139">
        <v>1860834</v>
      </c>
      <c r="P15" s="446">
        <v>1408269</v>
      </c>
      <c r="Q15" s="1138">
        <f t="shared" si="3"/>
        <v>0.75679453406375852</v>
      </c>
    </row>
    <row r="16" spans="1:22" s="401" customFormat="1" ht="11.25" x14ac:dyDescent="0.2">
      <c r="A16" s="1224"/>
      <c r="B16" s="1222"/>
      <c r="C16" s="1222"/>
      <c r="D16" s="2948" t="s">
        <v>419</v>
      </c>
      <c r="E16" s="432"/>
      <c r="F16" s="1139">
        <v>1527672</v>
      </c>
      <c r="G16" s="797">
        <v>1305441</v>
      </c>
      <c r="H16" s="1138">
        <f t="shared" si="0"/>
        <v>0.8545296372519755</v>
      </c>
      <c r="I16" s="797">
        <v>1749529</v>
      </c>
      <c r="J16" s="446">
        <v>1353963</v>
      </c>
      <c r="K16" s="1143">
        <f t="shared" si="1"/>
        <v>0.77390143289994051</v>
      </c>
      <c r="L16" s="1139">
        <v>1564357</v>
      </c>
      <c r="M16" s="446">
        <v>1135701</v>
      </c>
      <c r="N16" s="1143">
        <f t="shared" si="2"/>
        <v>0.72598582037220405</v>
      </c>
      <c r="O16" s="1139">
        <v>1669349</v>
      </c>
      <c r="P16" s="446">
        <v>1147786</v>
      </c>
      <c r="Q16" s="1138">
        <f t="shared" si="3"/>
        <v>0.68756503283615344</v>
      </c>
    </row>
    <row r="17" spans="1:17" s="401" customFormat="1" ht="11.25" x14ac:dyDescent="0.2">
      <c r="A17" s="1224"/>
      <c r="B17" s="1222"/>
      <c r="C17" s="1222"/>
      <c r="D17" s="2948" t="s">
        <v>416</v>
      </c>
      <c r="E17" s="432"/>
      <c r="F17" s="1139">
        <v>377173</v>
      </c>
      <c r="G17" s="797">
        <v>327772</v>
      </c>
      <c r="H17" s="1138">
        <f t="shared" si="0"/>
        <v>0.86902296824003844</v>
      </c>
      <c r="I17" s="797">
        <v>433591</v>
      </c>
      <c r="J17" s="446">
        <v>329707</v>
      </c>
      <c r="K17" s="1143">
        <f t="shared" si="1"/>
        <v>0.76041015611486396</v>
      </c>
      <c r="L17" s="1139">
        <v>554900</v>
      </c>
      <c r="M17" s="446">
        <v>421490</v>
      </c>
      <c r="N17" s="1143">
        <f t="shared" si="2"/>
        <v>0.75957830239682822</v>
      </c>
      <c r="O17" s="1139">
        <v>601080</v>
      </c>
      <c r="P17" s="446">
        <v>443714</v>
      </c>
      <c r="Q17" s="1138">
        <f t="shared" si="3"/>
        <v>0.7381945830837825</v>
      </c>
    </row>
    <row r="18" spans="1:17" s="401" customFormat="1" ht="11.25" x14ac:dyDescent="0.2">
      <c r="A18" s="1224"/>
      <c r="B18" s="1222"/>
      <c r="C18" s="1222"/>
      <c r="D18" s="2948" t="s">
        <v>414</v>
      </c>
      <c r="E18" s="432"/>
      <c r="F18" s="1139">
        <v>1864019</v>
      </c>
      <c r="G18" s="797">
        <v>1587978</v>
      </c>
      <c r="H18" s="1138">
        <f t="shared" si="0"/>
        <v>0.85191084425641583</v>
      </c>
      <c r="I18" s="797">
        <v>2220283</v>
      </c>
      <c r="J18" s="446">
        <v>1621839</v>
      </c>
      <c r="K18" s="1143">
        <f t="shared" si="1"/>
        <v>0.73046499027376244</v>
      </c>
      <c r="L18" s="1139">
        <v>2634439</v>
      </c>
      <c r="M18" s="446">
        <v>2049097</v>
      </c>
      <c r="N18" s="1143">
        <f t="shared" si="2"/>
        <v>0.77781151888504541</v>
      </c>
      <c r="O18" s="1139">
        <v>2941333</v>
      </c>
      <c r="P18" s="446">
        <v>2188236</v>
      </c>
      <c r="Q18" s="1138">
        <f t="shared" si="3"/>
        <v>0.74396064641439785</v>
      </c>
    </row>
    <row r="19" spans="1:17" s="401" customFormat="1" ht="15.75" customHeight="1" x14ac:dyDescent="0.2">
      <c r="A19" s="1224"/>
      <c r="B19" s="1222"/>
      <c r="C19" s="1222"/>
      <c r="D19" s="2949" t="s">
        <v>1115</v>
      </c>
      <c r="E19" s="434"/>
      <c r="F19" s="1137"/>
      <c r="G19" s="1052"/>
      <c r="H19" s="1135"/>
      <c r="I19" s="1052"/>
      <c r="J19" s="1136"/>
      <c r="K19" s="1142"/>
      <c r="L19" s="1137"/>
      <c r="M19" s="1136"/>
      <c r="N19" s="1142"/>
      <c r="O19" s="1137">
        <v>6789</v>
      </c>
      <c r="P19" s="1136">
        <v>18446</v>
      </c>
      <c r="Q19" s="1988" t="s">
        <v>1114</v>
      </c>
    </row>
    <row r="20" spans="1:17" s="401" customFormat="1" ht="15.75" customHeight="1" x14ac:dyDescent="0.2">
      <c r="A20" s="1224"/>
      <c r="B20" s="1222"/>
      <c r="C20" s="1222"/>
      <c r="D20" s="2447" t="s">
        <v>261</v>
      </c>
      <c r="E20" s="1989"/>
      <c r="F20" s="1990">
        <f>SUM(F10:F19)</f>
        <v>18177751</v>
      </c>
      <c r="G20" s="1991">
        <f>SUM(G10:G19)</f>
        <v>15903743</v>
      </c>
      <c r="H20" s="1992">
        <f>G20/F20</f>
        <v>0.87490157610806751</v>
      </c>
      <c r="I20" s="1991">
        <f>SUM(I10:I19)</f>
        <v>20674926</v>
      </c>
      <c r="J20" s="1991">
        <f>SUM(J10:J19)</f>
        <v>15863558</v>
      </c>
      <c r="K20" s="1993">
        <f>J20/I20</f>
        <v>0.7672848744416304</v>
      </c>
      <c r="L20" s="1990">
        <v>23181997</v>
      </c>
      <c r="M20" s="1991">
        <v>17919966</v>
      </c>
      <c r="N20" s="1993">
        <f>M20/L20</f>
        <v>0.77301217837272607</v>
      </c>
      <c r="O20" s="1990">
        <v>25390150</v>
      </c>
      <c r="P20" s="1991">
        <v>18654771</v>
      </c>
      <c r="Q20" s="1992">
        <f>P20/O20</f>
        <v>0.73472472592718041</v>
      </c>
    </row>
    <row r="21" spans="1:17" s="401" customFormat="1" ht="15.75" customHeight="1" x14ac:dyDescent="0.2">
      <c r="A21" s="1224"/>
      <c r="B21" s="1222"/>
      <c r="C21" s="1222"/>
      <c r="D21" s="438"/>
      <c r="E21" s="1994"/>
      <c r="F21" s="1263"/>
      <c r="G21" s="1263"/>
      <c r="H21" s="1995"/>
      <c r="I21" s="1263"/>
      <c r="J21" s="1263"/>
      <c r="K21" s="1995"/>
      <c r="L21" s="1263"/>
      <c r="M21" s="1263"/>
      <c r="N21" s="1995"/>
      <c r="O21" s="1263"/>
      <c r="P21" s="1263"/>
      <c r="Q21" s="1995"/>
    </row>
    <row r="22" spans="1:17" s="401" customFormat="1" ht="11.25" x14ac:dyDescent="0.2">
      <c r="A22" s="1224"/>
      <c r="B22" s="1222"/>
      <c r="C22" s="1222"/>
      <c r="D22" s="1098" t="s">
        <v>55</v>
      </c>
      <c r="E22" s="1098" t="s">
        <v>1113</v>
      </c>
      <c r="F22" s="1098"/>
      <c r="G22" s="1098"/>
      <c r="H22" s="1996"/>
      <c r="I22" s="436"/>
      <c r="J22" s="436"/>
      <c r="K22" s="1982"/>
      <c r="L22" s="432"/>
      <c r="M22" s="432"/>
      <c r="N22" s="432"/>
      <c r="O22" s="432"/>
      <c r="P22" s="432"/>
      <c r="Q22" s="432"/>
    </row>
    <row r="23" spans="1:17" s="401" customFormat="1" ht="15" x14ac:dyDescent="0.25">
      <c r="A23" s="1224"/>
      <c r="B23" s="1222"/>
      <c r="C23" s="1222"/>
      <c r="D23" s="2945"/>
      <c r="E23" s="1983">
        <v>1995</v>
      </c>
      <c r="F23" s="3648">
        <v>2000</v>
      </c>
      <c r="G23" s="3887"/>
      <c r="H23" s="3888"/>
      <c r="I23" s="3648">
        <v>2006</v>
      </c>
      <c r="J23" s="3887"/>
      <c r="K23" s="3888"/>
      <c r="L23" s="3644">
        <v>2011</v>
      </c>
      <c r="M23" s="3887"/>
      <c r="N23" s="3888"/>
      <c r="O23" s="3644">
        <v>2016</v>
      </c>
      <c r="P23" s="3887"/>
      <c r="Q23" s="3888"/>
    </row>
    <row r="24" spans="1:17" s="401" customFormat="1" ht="21.75" customHeight="1" x14ac:dyDescent="0.2">
      <c r="A24" s="1224"/>
      <c r="B24" s="1222"/>
      <c r="C24" s="1222"/>
      <c r="D24" s="2952"/>
      <c r="E24" s="1997"/>
      <c r="F24" s="1998" t="s">
        <v>1112</v>
      </c>
      <c r="G24" s="1997" t="s">
        <v>1111</v>
      </c>
      <c r="H24" s="1999" t="s">
        <v>54</v>
      </c>
      <c r="I24" s="790" t="s">
        <v>1112</v>
      </c>
      <c r="J24" s="1477" t="s">
        <v>1111</v>
      </c>
      <c r="K24" s="1987" t="s">
        <v>54</v>
      </c>
      <c r="L24" s="2000" t="s">
        <v>1112</v>
      </c>
      <c r="M24" s="1997" t="s">
        <v>1111</v>
      </c>
      <c r="N24" s="2001" t="s">
        <v>54</v>
      </c>
      <c r="O24" s="2000" t="s">
        <v>1112</v>
      </c>
      <c r="P24" s="1997" t="s">
        <v>1111</v>
      </c>
      <c r="Q24" s="2001" t="s">
        <v>54</v>
      </c>
    </row>
    <row r="25" spans="1:17" s="401" customFormat="1" ht="11.25" x14ac:dyDescent="0.2">
      <c r="A25" s="1224"/>
      <c r="B25" s="1222"/>
      <c r="C25" s="1222"/>
      <c r="D25" s="2948" t="s">
        <v>415</v>
      </c>
      <c r="E25" s="432"/>
      <c r="F25" s="1139">
        <v>2552287</v>
      </c>
      <c r="G25" s="797">
        <v>1428259</v>
      </c>
      <c r="H25" s="1138">
        <f t="shared" ref="H25:H34" si="4">G25/F25</f>
        <v>0.55959968451823794</v>
      </c>
      <c r="I25" s="1078">
        <v>2908106</v>
      </c>
      <c r="J25" s="1141">
        <v>1630284</v>
      </c>
      <c r="K25" s="1140">
        <f t="shared" ref="K25:K34" si="5">J25/I25</f>
        <v>0.56059992311146845</v>
      </c>
      <c r="L25" s="797">
        <v>3111535</v>
      </c>
      <c r="M25" s="446">
        <v>1813802</v>
      </c>
      <c r="N25" s="1138">
        <f t="shared" ref="N25:N34" si="6">M25/L25</f>
        <v>0.58292836172500073</v>
      </c>
      <c r="O25" s="797">
        <v>3337532</v>
      </c>
      <c r="P25" s="446">
        <v>1888500</v>
      </c>
      <c r="Q25" s="1138">
        <f t="shared" ref="Q25:Q34" si="7">P25/O25</f>
        <v>0.56583727137297857</v>
      </c>
    </row>
    <row r="26" spans="1:17" s="401" customFormat="1" ht="11.25" x14ac:dyDescent="0.2">
      <c r="A26" s="1224"/>
      <c r="B26" s="1222"/>
      <c r="C26" s="1222"/>
      <c r="D26" s="2948" t="s">
        <v>417</v>
      </c>
      <c r="E26" s="432"/>
      <c r="F26" s="1139">
        <v>1227578</v>
      </c>
      <c r="G26" s="797">
        <v>602618</v>
      </c>
      <c r="H26" s="1138">
        <f t="shared" si="4"/>
        <v>0.49089996725259005</v>
      </c>
      <c r="I26" s="797">
        <v>1318408</v>
      </c>
      <c r="J26" s="446">
        <v>622816</v>
      </c>
      <c r="K26" s="1138">
        <f t="shared" si="5"/>
        <v>0.47240004611622505</v>
      </c>
      <c r="L26" s="797">
        <v>1386521</v>
      </c>
      <c r="M26" s="446">
        <v>767327</v>
      </c>
      <c r="N26" s="1138">
        <f t="shared" si="6"/>
        <v>0.55341895290442766</v>
      </c>
      <c r="O26" s="797">
        <v>1470999</v>
      </c>
      <c r="P26" s="446">
        <v>829349</v>
      </c>
      <c r="Q26" s="2002">
        <f t="shared" si="7"/>
        <v>0.5637998394288507</v>
      </c>
    </row>
    <row r="27" spans="1:17" s="401" customFormat="1" ht="11.25" x14ac:dyDescent="0.2">
      <c r="A27" s="1224"/>
      <c r="B27" s="1222"/>
      <c r="C27" s="1222"/>
      <c r="D27" s="2948" t="s">
        <v>420</v>
      </c>
      <c r="E27" s="432"/>
      <c r="F27" s="1139">
        <v>4375372</v>
      </c>
      <c r="G27" s="797">
        <v>1891473</v>
      </c>
      <c r="H27" s="1138">
        <f t="shared" si="4"/>
        <v>0.43229992786899035</v>
      </c>
      <c r="I27" s="797">
        <v>4785955</v>
      </c>
      <c r="J27" s="446">
        <v>2033674</v>
      </c>
      <c r="K27" s="1138">
        <f t="shared" si="5"/>
        <v>0.42492543285509371</v>
      </c>
      <c r="L27" s="797">
        <v>5592676</v>
      </c>
      <c r="M27" s="446">
        <v>3127671</v>
      </c>
      <c r="N27" s="1138">
        <f t="shared" si="6"/>
        <v>0.55924408994906916</v>
      </c>
      <c r="O27" s="797">
        <v>6234822</v>
      </c>
      <c r="P27" s="446">
        <v>3624105</v>
      </c>
      <c r="Q27" s="2002">
        <f t="shared" si="7"/>
        <v>0.58126839868082847</v>
      </c>
    </row>
    <row r="28" spans="1:17" s="401" customFormat="1" ht="11.25" x14ac:dyDescent="0.2">
      <c r="A28" s="1224"/>
      <c r="B28" s="1222"/>
      <c r="C28" s="1222"/>
      <c r="D28" s="2948" t="s">
        <v>418</v>
      </c>
      <c r="E28" s="432"/>
      <c r="F28" s="1139">
        <v>3508154</v>
      </c>
      <c r="G28" s="797">
        <v>1637255</v>
      </c>
      <c r="H28" s="1138">
        <f t="shared" si="4"/>
        <v>0.46669986551331555</v>
      </c>
      <c r="I28" s="797">
        <v>3964817</v>
      </c>
      <c r="J28" s="446">
        <v>2005008</v>
      </c>
      <c r="K28" s="1138">
        <f t="shared" si="5"/>
        <v>0.50570001087061522</v>
      </c>
      <c r="L28" s="797">
        <v>4648733</v>
      </c>
      <c r="M28" s="446">
        <v>2865855</v>
      </c>
      <c r="N28" s="1138">
        <f t="shared" si="6"/>
        <v>0.61648087769291116</v>
      </c>
      <c r="O28" s="797">
        <v>5411237</v>
      </c>
      <c r="P28" s="446">
        <v>3333298</v>
      </c>
      <c r="Q28" s="1138">
        <f t="shared" si="7"/>
        <v>0.61599556626331464</v>
      </c>
    </row>
    <row r="29" spans="1:17" s="401" customFormat="1" ht="11.25" x14ac:dyDescent="0.2">
      <c r="A29" s="1224"/>
      <c r="B29" s="1222"/>
      <c r="C29" s="1222"/>
      <c r="D29" s="2948" t="s">
        <v>422</v>
      </c>
      <c r="E29" s="432"/>
      <c r="F29" s="1139">
        <v>1419315</v>
      </c>
      <c r="G29" s="797">
        <v>635427</v>
      </c>
      <c r="H29" s="1138">
        <f t="shared" si="4"/>
        <v>0.4476997706640175</v>
      </c>
      <c r="I29" s="797">
        <v>2145186</v>
      </c>
      <c r="J29" s="446">
        <v>959971</v>
      </c>
      <c r="K29" s="1138">
        <f t="shared" si="5"/>
        <v>0.44750012353241164</v>
      </c>
      <c r="L29" s="797">
        <v>2341498</v>
      </c>
      <c r="M29" s="446">
        <v>1172855</v>
      </c>
      <c r="N29" s="1138">
        <f t="shared" si="6"/>
        <v>0.50089942421475486</v>
      </c>
      <c r="O29" s="797">
        <v>2556128</v>
      </c>
      <c r="P29" s="446">
        <v>1287713</v>
      </c>
      <c r="Q29" s="1138">
        <f t="shared" si="7"/>
        <v>0.50377485008575473</v>
      </c>
    </row>
    <row r="30" spans="1:17" s="401" customFormat="1" ht="11.25" x14ac:dyDescent="0.2">
      <c r="A30" s="1224"/>
      <c r="B30" s="1222"/>
      <c r="C30" s="1222"/>
      <c r="D30" s="2948" t="s">
        <v>421</v>
      </c>
      <c r="E30" s="432"/>
      <c r="F30" s="1139">
        <v>1263004</v>
      </c>
      <c r="G30" s="797">
        <v>565699</v>
      </c>
      <c r="H30" s="1138">
        <f t="shared" si="4"/>
        <v>0.44789961076924539</v>
      </c>
      <c r="I30" s="797">
        <v>1546728</v>
      </c>
      <c r="J30" s="446">
        <v>716908</v>
      </c>
      <c r="K30" s="1138">
        <f t="shared" si="5"/>
        <v>0.4634997232868352</v>
      </c>
      <c r="L30" s="797">
        <v>1718309</v>
      </c>
      <c r="M30" s="446">
        <v>960748</v>
      </c>
      <c r="N30" s="1138">
        <f t="shared" si="6"/>
        <v>0.55912411562763153</v>
      </c>
      <c r="O30" s="797">
        <v>1919216</v>
      </c>
      <c r="P30" s="446">
        <v>1082665</v>
      </c>
      <c r="Q30" s="1138">
        <f t="shared" si="7"/>
        <v>0.56411836916740998</v>
      </c>
    </row>
    <row r="31" spans="1:17" s="401" customFormat="1" ht="11.25" x14ac:dyDescent="0.2">
      <c r="A31" s="1224"/>
      <c r="B31" s="1222"/>
      <c r="C31" s="1222"/>
      <c r="D31" s="2948" t="s">
        <v>419</v>
      </c>
      <c r="E31" s="432"/>
      <c r="F31" s="1139">
        <v>452218</v>
      </c>
      <c r="G31" s="797">
        <v>260522</v>
      </c>
      <c r="H31" s="1138">
        <f t="shared" si="4"/>
        <v>0.57609825349720711</v>
      </c>
      <c r="I31" s="797">
        <v>1554864</v>
      </c>
      <c r="J31" s="446">
        <v>709484</v>
      </c>
      <c r="K31" s="1138">
        <f t="shared" si="5"/>
        <v>0.45629971495899319</v>
      </c>
      <c r="L31" s="797">
        <v>1576898</v>
      </c>
      <c r="M31" s="446">
        <v>845093</v>
      </c>
      <c r="N31" s="1138">
        <f t="shared" si="6"/>
        <v>0.53592115659985617</v>
      </c>
      <c r="O31" s="797">
        <v>1715460</v>
      </c>
      <c r="P31" s="446">
        <v>921519</v>
      </c>
      <c r="Q31" s="1138">
        <f t="shared" si="7"/>
        <v>0.5371847784267777</v>
      </c>
    </row>
    <row r="32" spans="1:17" s="401" customFormat="1" ht="11.25" x14ac:dyDescent="0.2">
      <c r="A32" s="1224"/>
      <c r="B32" s="1222"/>
      <c r="C32" s="1222"/>
      <c r="D32" s="2948" t="s">
        <v>416</v>
      </c>
      <c r="E32" s="432"/>
      <c r="F32" s="1139">
        <v>1758593</v>
      </c>
      <c r="G32" s="797">
        <v>746698</v>
      </c>
      <c r="H32" s="1138">
        <f t="shared" si="4"/>
        <v>0.4245996657555216</v>
      </c>
      <c r="I32" s="797">
        <v>528657</v>
      </c>
      <c r="J32" s="446">
        <v>282884</v>
      </c>
      <c r="K32" s="1138">
        <f t="shared" si="5"/>
        <v>0.53509931770505259</v>
      </c>
      <c r="L32" s="797">
        <v>572140</v>
      </c>
      <c r="M32" s="446">
        <v>363361</v>
      </c>
      <c r="N32" s="1138">
        <f t="shared" si="6"/>
        <v>0.63509106162827278</v>
      </c>
      <c r="O32" s="797">
        <v>621310</v>
      </c>
      <c r="P32" s="446">
        <v>380718</v>
      </c>
      <c r="Q32" s="1138">
        <f t="shared" si="7"/>
        <v>0.61276657385202238</v>
      </c>
    </row>
    <row r="33" spans="1:25" s="401" customFormat="1" ht="11.25" x14ac:dyDescent="0.2">
      <c r="A33" s="1224"/>
      <c r="B33" s="1222"/>
      <c r="C33" s="1222"/>
      <c r="D33" s="2949" t="s">
        <v>414</v>
      </c>
      <c r="E33" s="434"/>
      <c r="F33" s="1137">
        <v>1955454</v>
      </c>
      <c r="G33" s="1052">
        <v>1131621</v>
      </c>
      <c r="H33" s="1135">
        <f t="shared" si="4"/>
        <v>0.57869988248253346</v>
      </c>
      <c r="I33" s="1052">
        <v>2301371</v>
      </c>
      <c r="J33" s="1136">
        <v>1191880</v>
      </c>
      <c r="K33" s="1135">
        <f t="shared" si="5"/>
        <v>0.51789998222798495</v>
      </c>
      <c r="L33" s="1052">
        <v>2706736</v>
      </c>
      <c r="M33" s="1136">
        <v>1748208</v>
      </c>
      <c r="N33" s="1135">
        <f t="shared" si="6"/>
        <v>0.64587311063953046</v>
      </c>
      <c r="O33" s="1052">
        <v>3066649</v>
      </c>
      <c r="P33" s="1136">
        <v>1948892</v>
      </c>
      <c r="Q33" s="1135">
        <f t="shared" si="7"/>
        <v>0.63551192197085482</v>
      </c>
    </row>
    <row r="34" spans="1:25" s="401" customFormat="1" ht="15.75" customHeight="1" x14ac:dyDescent="0.2">
      <c r="A34" s="1224"/>
      <c r="B34" s="1222"/>
      <c r="C34" s="1222"/>
      <c r="D34" s="2447" t="s">
        <v>261</v>
      </c>
      <c r="E34" s="772"/>
      <c r="F34" s="1990">
        <f>SUM(F25:F33)</f>
        <v>18511975</v>
      </c>
      <c r="G34" s="1991">
        <f>SUM(G25:G33)</f>
        <v>8899572</v>
      </c>
      <c r="H34" s="1992">
        <f t="shared" si="4"/>
        <v>0.48074675986759924</v>
      </c>
      <c r="I34" s="1991">
        <f>SUM(I25:I33)</f>
        <v>21054092</v>
      </c>
      <c r="J34" s="1991">
        <f>SUM(J25:J33)</f>
        <v>10152909</v>
      </c>
      <c r="K34" s="1992">
        <f t="shared" si="5"/>
        <v>0.48222972522396124</v>
      </c>
      <c r="L34" s="1991">
        <f>SUM(L25:L33)</f>
        <v>23655046</v>
      </c>
      <c r="M34" s="1991">
        <f>SUM(M25:M33)</f>
        <v>13664920</v>
      </c>
      <c r="N34" s="1992">
        <f t="shared" si="6"/>
        <v>0.57767463229621285</v>
      </c>
      <c r="O34" s="1991">
        <f>SUM(O25:O33)</f>
        <v>26333353</v>
      </c>
      <c r="P34" s="1991">
        <f>SUM(P25:P33)</f>
        <v>15296759</v>
      </c>
      <c r="Q34" s="1992">
        <f t="shared" si="7"/>
        <v>0.58088914844987649</v>
      </c>
    </row>
    <row r="35" spans="1:25" ht="15.75" customHeight="1" x14ac:dyDescent="0.2">
      <c r="B35" s="2003"/>
      <c r="C35" s="2003"/>
      <c r="D35" s="2004"/>
      <c r="E35" s="2005"/>
      <c r="F35" s="2006"/>
      <c r="G35" s="2005"/>
      <c r="H35" s="2007"/>
      <c r="I35" s="2008"/>
      <c r="J35" s="1094"/>
      <c r="K35" s="1099"/>
      <c r="L35" s="1094"/>
      <c r="M35" s="1094"/>
      <c r="N35" s="1094"/>
      <c r="O35" s="1094"/>
      <c r="P35" s="1094"/>
      <c r="Q35" s="1094"/>
    </row>
    <row r="36" spans="1:25" s="964" customFormat="1" ht="15" x14ac:dyDescent="0.25">
      <c r="A36" s="835">
        <v>5</v>
      </c>
      <c r="B36" s="835" t="s">
        <v>78</v>
      </c>
      <c r="C36" s="835"/>
      <c r="D36" s="3615" t="s">
        <v>1110</v>
      </c>
      <c r="E36" s="3630"/>
      <c r="F36" s="3630"/>
      <c r="G36" s="3630"/>
      <c r="H36" s="3885"/>
      <c r="I36" s="3885"/>
      <c r="J36" s="3885"/>
      <c r="K36" s="3885"/>
      <c r="L36" s="3885"/>
      <c r="M36" s="3885"/>
      <c r="N36" s="3885"/>
      <c r="O36" s="3885"/>
      <c r="P36" s="3885"/>
      <c r="Q36" s="3885"/>
      <c r="R36" s="3885"/>
      <c r="S36" s="3886"/>
    </row>
    <row r="37" spans="1:25" s="964" customFormat="1" ht="13.5" customHeight="1" x14ac:dyDescent="0.2">
      <c r="A37" s="963">
        <v>6</v>
      </c>
      <c r="B37" s="963" t="s">
        <v>80</v>
      </c>
      <c r="C37" s="963"/>
      <c r="D37" s="3615" t="s">
        <v>1109</v>
      </c>
      <c r="E37" s="3762"/>
      <c r="F37" s="3762"/>
      <c r="G37" s="3762"/>
      <c r="H37" s="3762"/>
      <c r="I37" s="3762"/>
      <c r="J37" s="3762"/>
      <c r="K37" s="3762"/>
      <c r="L37" s="3762"/>
      <c r="M37" s="3762"/>
      <c r="N37" s="3762"/>
      <c r="O37" s="3762"/>
      <c r="P37" s="3762"/>
      <c r="Q37" s="3762"/>
      <c r="R37" s="3762"/>
      <c r="S37" s="3763"/>
    </row>
    <row r="38" spans="1:25" s="964" customFormat="1" ht="28.5" customHeight="1" x14ac:dyDescent="0.25">
      <c r="A38" s="835">
        <v>7</v>
      </c>
      <c r="B38" s="835" t="s">
        <v>20</v>
      </c>
      <c r="C38" s="835"/>
      <c r="D38" s="3615" t="s">
        <v>1108</v>
      </c>
      <c r="E38" s="3616"/>
      <c r="F38" s="3616"/>
      <c r="G38" s="3616"/>
      <c r="H38" s="3616"/>
      <c r="I38" s="3616"/>
      <c r="J38" s="3616"/>
      <c r="K38" s="3616"/>
      <c r="L38" s="3616"/>
      <c r="M38" s="3616"/>
      <c r="N38" s="3616"/>
      <c r="O38" s="3616"/>
      <c r="P38" s="3885"/>
      <c r="Q38" s="3885"/>
      <c r="R38" s="3885"/>
      <c r="S38" s="3886"/>
    </row>
    <row r="39" spans="1:25" ht="12.75" customHeight="1" x14ac:dyDescent="0.2">
      <c r="A39" s="1687">
        <v>8</v>
      </c>
      <c r="B39" s="835" t="s">
        <v>83</v>
      </c>
      <c r="D39" s="3629" t="s">
        <v>1107</v>
      </c>
      <c r="E39" s="3630"/>
      <c r="F39" s="3630"/>
      <c r="G39" s="3630"/>
      <c r="H39" s="3630"/>
      <c r="I39" s="3630"/>
      <c r="J39" s="3630"/>
      <c r="K39" s="3630"/>
      <c r="L39" s="3630"/>
      <c r="M39" s="3630"/>
      <c r="N39" s="3630"/>
      <c r="O39" s="3630"/>
      <c r="P39" s="3630"/>
      <c r="Q39" s="3630"/>
      <c r="R39" s="3630"/>
      <c r="S39" s="3631"/>
      <c r="T39" s="1134"/>
      <c r="U39" s="416"/>
      <c r="V39" s="416"/>
      <c r="W39" s="416"/>
      <c r="X39" s="416"/>
      <c r="Y39" s="416"/>
    </row>
  </sheetData>
  <mergeCells count="15">
    <mergeCell ref="D37:S37"/>
    <mergeCell ref="D38:S38"/>
    <mergeCell ref="L23:N23"/>
    <mergeCell ref="D39:S39"/>
    <mergeCell ref="D2:F2"/>
    <mergeCell ref="D3:S3"/>
    <mergeCell ref="D4:S4"/>
    <mergeCell ref="F8:H8"/>
    <mergeCell ref="I8:K8"/>
    <mergeCell ref="L8:N8"/>
    <mergeCell ref="O8:Q8"/>
    <mergeCell ref="F23:H23"/>
    <mergeCell ref="I23:K23"/>
    <mergeCell ref="O23:Q23"/>
    <mergeCell ref="D36:S36"/>
  </mergeCells>
  <pageMargins left="0.74803149606299213" right="0.74803149606299213" top="0.98425196850393704" bottom="0.98425196850393704" header="0.51181102362204722" footer="0.51181102362204722"/>
  <pageSetup paperSize="9" scale="67" orientation="landscape" r:id="rId1"/>
  <headerFooter alignWithMargins="0">
    <oddHeader>&amp;C&amp;"-,Bold"DEVELOPMENT INDICATORS 2014</oddHeader>
    <oddFooter>&amp;LDepartment of Planning, Monitoring and Evaluation (DPME). &amp;CPage &amp;P of &amp;N&amp;R&amp;D</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E59"/>
  <sheetViews>
    <sheetView showGridLines="0" view="pageBreakPreview" topLeftCell="L4" zoomScaleNormal="100" zoomScaleSheetLayoutView="100" workbookViewId="0">
      <selection activeCell="E25" sqref="E25:G25"/>
    </sheetView>
  </sheetViews>
  <sheetFormatPr defaultColWidth="9.140625" defaultRowHeight="12" x14ac:dyDescent="0.2"/>
  <cols>
    <col min="1" max="1" width="3.7109375" style="1687" customWidth="1"/>
    <col min="2" max="2" width="14.42578125" style="1688" customWidth="1"/>
    <col min="3" max="3" width="3.7109375" style="1688" customWidth="1"/>
    <col min="4" max="4" width="12.28515625" style="428" customWidth="1"/>
    <col min="5" max="31" width="6.7109375" style="428" customWidth="1"/>
    <col min="32" max="256" width="9.140625" style="428"/>
    <col min="257" max="257" width="3.7109375" style="428" customWidth="1"/>
    <col min="258" max="258" width="14.42578125" style="428" customWidth="1"/>
    <col min="259" max="259" width="3.7109375" style="428" customWidth="1"/>
    <col min="260" max="260" width="12.28515625" style="428" customWidth="1"/>
    <col min="261" max="287" width="6.7109375" style="428" customWidth="1"/>
    <col min="288" max="512" width="9.140625" style="428"/>
    <col min="513" max="513" width="3.7109375" style="428" customWidth="1"/>
    <col min="514" max="514" width="14.42578125" style="428" customWidth="1"/>
    <col min="515" max="515" width="3.7109375" style="428" customWidth="1"/>
    <col min="516" max="516" width="12.28515625" style="428" customWidth="1"/>
    <col min="517" max="543" width="6.7109375" style="428" customWidth="1"/>
    <col min="544" max="768" width="9.140625" style="428"/>
    <col min="769" max="769" width="3.7109375" style="428" customWidth="1"/>
    <col min="770" max="770" width="14.42578125" style="428" customWidth="1"/>
    <col min="771" max="771" width="3.7109375" style="428" customWidth="1"/>
    <col min="772" max="772" width="12.28515625" style="428" customWidth="1"/>
    <col min="773" max="799" width="6.7109375" style="428" customWidth="1"/>
    <col min="800" max="1024" width="9.140625" style="428"/>
    <col min="1025" max="1025" width="3.7109375" style="428" customWidth="1"/>
    <col min="1026" max="1026" width="14.42578125" style="428" customWidth="1"/>
    <col min="1027" max="1027" width="3.7109375" style="428" customWidth="1"/>
    <col min="1028" max="1028" width="12.28515625" style="428" customWidth="1"/>
    <col min="1029" max="1055" width="6.7109375" style="428" customWidth="1"/>
    <col min="1056" max="1280" width="9.140625" style="428"/>
    <col min="1281" max="1281" width="3.7109375" style="428" customWidth="1"/>
    <col min="1282" max="1282" width="14.42578125" style="428" customWidth="1"/>
    <col min="1283" max="1283" width="3.7109375" style="428" customWidth="1"/>
    <col min="1284" max="1284" width="12.28515625" style="428" customWidth="1"/>
    <col min="1285" max="1311" width="6.7109375" style="428" customWidth="1"/>
    <col min="1312" max="1536" width="9.140625" style="428"/>
    <col min="1537" max="1537" width="3.7109375" style="428" customWidth="1"/>
    <col min="1538" max="1538" width="14.42578125" style="428" customWidth="1"/>
    <col min="1539" max="1539" width="3.7109375" style="428" customWidth="1"/>
    <col min="1540" max="1540" width="12.28515625" style="428" customWidth="1"/>
    <col min="1541" max="1567" width="6.7109375" style="428" customWidth="1"/>
    <col min="1568" max="1792" width="9.140625" style="428"/>
    <col min="1793" max="1793" width="3.7109375" style="428" customWidth="1"/>
    <col min="1794" max="1794" width="14.42578125" style="428" customWidth="1"/>
    <col min="1795" max="1795" width="3.7109375" style="428" customWidth="1"/>
    <col min="1796" max="1796" width="12.28515625" style="428" customWidth="1"/>
    <col min="1797" max="1823" width="6.7109375" style="428" customWidth="1"/>
    <col min="1824" max="2048" width="9.140625" style="428"/>
    <col min="2049" max="2049" width="3.7109375" style="428" customWidth="1"/>
    <col min="2050" max="2050" width="14.42578125" style="428" customWidth="1"/>
    <col min="2051" max="2051" width="3.7109375" style="428" customWidth="1"/>
    <col min="2052" max="2052" width="12.28515625" style="428" customWidth="1"/>
    <col min="2053" max="2079" width="6.7109375" style="428" customWidth="1"/>
    <col min="2080" max="2304" width="9.140625" style="428"/>
    <col min="2305" max="2305" width="3.7109375" style="428" customWidth="1"/>
    <col min="2306" max="2306" width="14.42578125" style="428" customWidth="1"/>
    <col min="2307" max="2307" width="3.7109375" style="428" customWidth="1"/>
    <col min="2308" max="2308" width="12.28515625" style="428" customWidth="1"/>
    <col min="2309" max="2335" width="6.7109375" style="428" customWidth="1"/>
    <col min="2336" max="2560" width="9.140625" style="428"/>
    <col min="2561" max="2561" width="3.7109375" style="428" customWidth="1"/>
    <col min="2562" max="2562" width="14.42578125" style="428" customWidth="1"/>
    <col min="2563" max="2563" width="3.7109375" style="428" customWidth="1"/>
    <col min="2564" max="2564" width="12.28515625" style="428" customWidth="1"/>
    <col min="2565" max="2591" width="6.7109375" style="428" customWidth="1"/>
    <col min="2592" max="2816" width="9.140625" style="428"/>
    <col min="2817" max="2817" width="3.7109375" style="428" customWidth="1"/>
    <col min="2818" max="2818" width="14.42578125" style="428" customWidth="1"/>
    <col min="2819" max="2819" width="3.7109375" style="428" customWidth="1"/>
    <col min="2820" max="2820" width="12.28515625" style="428" customWidth="1"/>
    <col min="2821" max="2847" width="6.7109375" style="428" customWidth="1"/>
    <col min="2848" max="3072" width="9.140625" style="428"/>
    <col min="3073" max="3073" width="3.7109375" style="428" customWidth="1"/>
    <col min="3074" max="3074" width="14.42578125" style="428" customWidth="1"/>
    <col min="3075" max="3075" width="3.7109375" style="428" customWidth="1"/>
    <col min="3076" max="3076" width="12.28515625" style="428" customWidth="1"/>
    <col min="3077" max="3103" width="6.7109375" style="428" customWidth="1"/>
    <col min="3104" max="3328" width="9.140625" style="428"/>
    <col min="3329" max="3329" width="3.7109375" style="428" customWidth="1"/>
    <col min="3330" max="3330" width="14.42578125" style="428" customWidth="1"/>
    <col min="3331" max="3331" width="3.7109375" style="428" customWidth="1"/>
    <col min="3332" max="3332" width="12.28515625" style="428" customWidth="1"/>
    <col min="3333" max="3359" width="6.7109375" style="428" customWidth="1"/>
    <col min="3360" max="3584" width="9.140625" style="428"/>
    <col min="3585" max="3585" width="3.7109375" style="428" customWidth="1"/>
    <col min="3586" max="3586" width="14.42578125" style="428" customWidth="1"/>
    <col min="3587" max="3587" width="3.7109375" style="428" customWidth="1"/>
    <col min="3588" max="3588" width="12.28515625" style="428" customWidth="1"/>
    <col min="3589" max="3615" width="6.7109375" style="428" customWidth="1"/>
    <col min="3616" max="3840" width="9.140625" style="428"/>
    <col min="3841" max="3841" width="3.7109375" style="428" customWidth="1"/>
    <col min="3842" max="3842" width="14.42578125" style="428" customWidth="1"/>
    <col min="3843" max="3843" width="3.7109375" style="428" customWidth="1"/>
    <col min="3844" max="3844" width="12.28515625" style="428" customWidth="1"/>
    <col min="3845" max="3871" width="6.7109375" style="428" customWidth="1"/>
    <col min="3872" max="4096" width="9.140625" style="428"/>
    <col min="4097" max="4097" width="3.7109375" style="428" customWidth="1"/>
    <col min="4098" max="4098" width="14.42578125" style="428" customWidth="1"/>
    <col min="4099" max="4099" width="3.7109375" style="428" customWidth="1"/>
    <col min="4100" max="4100" width="12.28515625" style="428" customWidth="1"/>
    <col min="4101" max="4127" width="6.7109375" style="428" customWidth="1"/>
    <col min="4128" max="4352" width="9.140625" style="428"/>
    <col min="4353" max="4353" width="3.7109375" style="428" customWidth="1"/>
    <col min="4354" max="4354" width="14.42578125" style="428" customWidth="1"/>
    <col min="4355" max="4355" width="3.7109375" style="428" customWidth="1"/>
    <col min="4356" max="4356" width="12.28515625" style="428" customWidth="1"/>
    <col min="4357" max="4383" width="6.7109375" style="428" customWidth="1"/>
    <col min="4384" max="4608" width="9.140625" style="428"/>
    <col min="4609" max="4609" width="3.7109375" style="428" customWidth="1"/>
    <col min="4610" max="4610" width="14.42578125" style="428" customWidth="1"/>
    <col min="4611" max="4611" width="3.7109375" style="428" customWidth="1"/>
    <col min="4612" max="4612" width="12.28515625" style="428" customWidth="1"/>
    <col min="4613" max="4639" width="6.7109375" style="428" customWidth="1"/>
    <col min="4640" max="4864" width="9.140625" style="428"/>
    <col min="4865" max="4865" width="3.7109375" style="428" customWidth="1"/>
    <col min="4866" max="4866" width="14.42578125" style="428" customWidth="1"/>
    <col min="4867" max="4867" width="3.7109375" style="428" customWidth="1"/>
    <col min="4868" max="4868" width="12.28515625" style="428" customWidth="1"/>
    <col min="4869" max="4895" width="6.7109375" style="428" customWidth="1"/>
    <col min="4896" max="5120" width="9.140625" style="428"/>
    <col min="5121" max="5121" width="3.7109375" style="428" customWidth="1"/>
    <col min="5122" max="5122" width="14.42578125" style="428" customWidth="1"/>
    <col min="5123" max="5123" width="3.7109375" style="428" customWidth="1"/>
    <col min="5124" max="5124" width="12.28515625" style="428" customWidth="1"/>
    <col min="5125" max="5151" width="6.7109375" style="428" customWidth="1"/>
    <col min="5152" max="5376" width="9.140625" style="428"/>
    <col min="5377" max="5377" width="3.7109375" style="428" customWidth="1"/>
    <col min="5378" max="5378" width="14.42578125" style="428" customWidth="1"/>
    <col min="5379" max="5379" width="3.7109375" style="428" customWidth="1"/>
    <col min="5380" max="5380" width="12.28515625" style="428" customWidth="1"/>
    <col min="5381" max="5407" width="6.7109375" style="428" customWidth="1"/>
    <col min="5408" max="5632" width="9.140625" style="428"/>
    <col min="5633" max="5633" width="3.7109375" style="428" customWidth="1"/>
    <col min="5634" max="5634" width="14.42578125" style="428" customWidth="1"/>
    <col min="5635" max="5635" width="3.7109375" style="428" customWidth="1"/>
    <col min="5636" max="5636" width="12.28515625" style="428" customWidth="1"/>
    <col min="5637" max="5663" width="6.7109375" style="428" customWidth="1"/>
    <col min="5664" max="5888" width="9.140625" style="428"/>
    <col min="5889" max="5889" width="3.7109375" style="428" customWidth="1"/>
    <col min="5890" max="5890" width="14.42578125" style="428" customWidth="1"/>
    <col min="5891" max="5891" width="3.7109375" style="428" customWidth="1"/>
    <col min="5892" max="5892" width="12.28515625" style="428" customWidth="1"/>
    <col min="5893" max="5919" width="6.7109375" style="428" customWidth="1"/>
    <col min="5920" max="6144" width="9.140625" style="428"/>
    <col min="6145" max="6145" width="3.7109375" style="428" customWidth="1"/>
    <col min="6146" max="6146" width="14.42578125" style="428" customWidth="1"/>
    <col min="6147" max="6147" width="3.7109375" style="428" customWidth="1"/>
    <col min="6148" max="6148" width="12.28515625" style="428" customWidth="1"/>
    <col min="6149" max="6175" width="6.7109375" style="428" customWidth="1"/>
    <col min="6176" max="6400" width="9.140625" style="428"/>
    <col min="6401" max="6401" width="3.7109375" style="428" customWidth="1"/>
    <col min="6402" max="6402" width="14.42578125" style="428" customWidth="1"/>
    <col min="6403" max="6403" width="3.7109375" style="428" customWidth="1"/>
    <col min="6404" max="6404" width="12.28515625" style="428" customWidth="1"/>
    <col min="6405" max="6431" width="6.7109375" style="428" customWidth="1"/>
    <col min="6432" max="6656" width="9.140625" style="428"/>
    <col min="6657" max="6657" width="3.7109375" style="428" customWidth="1"/>
    <col min="6658" max="6658" width="14.42578125" style="428" customWidth="1"/>
    <col min="6659" max="6659" width="3.7109375" style="428" customWidth="1"/>
    <col min="6660" max="6660" width="12.28515625" style="428" customWidth="1"/>
    <col min="6661" max="6687" width="6.7109375" style="428" customWidth="1"/>
    <col min="6688" max="6912" width="9.140625" style="428"/>
    <col min="6913" max="6913" width="3.7109375" style="428" customWidth="1"/>
    <col min="6914" max="6914" width="14.42578125" style="428" customWidth="1"/>
    <col min="6915" max="6915" width="3.7109375" style="428" customWidth="1"/>
    <col min="6916" max="6916" width="12.28515625" style="428" customWidth="1"/>
    <col min="6917" max="6943" width="6.7109375" style="428" customWidth="1"/>
    <col min="6944" max="7168" width="9.140625" style="428"/>
    <col min="7169" max="7169" width="3.7109375" style="428" customWidth="1"/>
    <col min="7170" max="7170" width="14.42578125" style="428" customWidth="1"/>
    <col min="7171" max="7171" width="3.7109375" style="428" customWidth="1"/>
    <col min="7172" max="7172" width="12.28515625" style="428" customWidth="1"/>
    <col min="7173" max="7199" width="6.7109375" style="428" customWidth="1"/>
    <col min="7200" max="7424" width="9.140625" style="428"/>
    <col min="7425" max="7425" width="3.7109375" style="428" customWidth="1"/>
    <col min="7426" max="7426" width="14.42578125" style="428" customWidth="1"/>
    <col min="7427" max="7427" width="3.7109375" style="428" customWidth="1"/>
    <col min="7428" max="7428" width="12.28515625" style="428" customWidth="1"/>
    <col min="7429" max="7455" width="6.7109375" style="428" customWidth="1"/>
    <col min="7456" max="7680" width="9.140625" style="428"/>
    <col min="7681" max="7681" width="3.7109375" style="428" customWidth="1"/>
    <col min="7682" max="7682" width="14.42578125" style="428" customWidth="1"/>
    <col min="7683" max="7683" width="3.7109375" style="428" customWidth="1"/>
    <col min="7684" max="7684" width="12.28515625" style="428" customWidth="1"/>
    <col min="7685" max="7711" width="6.7109375" style="428" customWidth="1"/>
    <col min="7712" max="7936" width="9.140625" style="428"/>
    <col min="7937" max="7937" width="3.7109375" style="428" customWidth="1"/>
    <col min="7938" max="7938" width="14.42578125" style="428" customWidth="1"/>
    <col min="7939" max="7939" width="3.7109375" style="428" customWidth="1"/>
    <col min="7940" max="7940" width="12.28515625" style="428" customWidth="1"/>
    <col min="7941" max="7967" width="6.7109375" style="428" customWidth="1"/>
    <col min="7968" max="8192" width="9.140625" style="428"/>
    <col min="8193" max="8193" width="3.7109375" style="428" customWidth="1"/>
    <col min="8194" max="8194" width="14.42578125" style="428" customWidth="1"/>
    <col min="8195" max="8195" width="3.7109375" style="428" customWidth="1"/>
    <col min="8196" max="8196" width="12.28515625" style="428" customWidth="1"/>
    <col min="8197" max="8223" width="6.7109375" style="428" customWidth="1"/>
    <col min="8224" max="8448" width="9.140625" style="428"/>
    <col min="8449" max="8449" width="3.7109375" style="428" customWidth="1"/>
    <col min="8450" max="8450" width="14.42578125" style="428" customWidth="1"/>
    <col min="8451" max="8451" width="3.7109375" style="428" customWidth="1"/>
    <col min="8452" max="8452" width="12.28515625" style="428" customWidth="1"/>
    <col min="8453" max="8479" width="6.7109375" style="428" customWidth="1"/>
    <col min="8480" max="8704" width="9.140625" style="428"/>
    <col min="8705" max="8705" width="3.7109375" style="428" customWidth="1"/>
    <col min="8706" max="8706" width="14.42578125" style="428" customWidth="1"/>
    <col min="8707" max="8707" width="3.7109375" style="428" customWidth="1"/>
    <col min="8708" max="8708" width="12.28515625" style="428" customWidth="1"/>
    <col min="8709" max="8735" width="6.7109375" style="428" customWidth="1"/>
    <col min="8736" max="8960" width="9.140625" style="428"/>
    <col min="8961" max="8961" width="3.7109375" style="428" customWidth="1"/>
    <col min="8962" max="8962" width="14.42578125" style="428" customWidth="1"/>
    <col min="8963" max="8963" width="3.7109375" style="428" customWidth="1"/>
    <col min="8964" max="8964" width="12.28515625" style="428" customWidth="1"/>
    <col min="8965" max="8991" width="6.7109375" style="428" customWidth="1"/>
    <col min="8992" max="9216" width="9.140625" style="428"/>
    <col min="9217" max="9217" width="3.7109375" style="428" customWidth="1"/>
    <col min="9218" max="9218" width="14.42578125" style="428" customWidth="1"/>
    <col min="9219" max="9219" width="3.7109375" style="428" customWidth="1"/>
    <col min="9220" max="9220" width="12.28515625" style="428" customWidth="1"/>
    <col min="9221" max="9247" width="6.7109375" style="428" customWidth="1"/>
    <col min="9248" max="9472" width="9.140625" style="428"/>
    <col min="9473" max="9473" width="3.7109375" style="428" customWidth="1"/>
    <col min="9474" max="9474" width="14.42578125" style="428" customWidth="1"/>
    <col min="9475" max="9475" width="3.7109375" style="428" customWidth="1"/>
    <col min="9476" max="9476" width="12.28515625" style="428" customWidth="1"/>
    <col min="9477" max="9503" width="6.7109375" style="428" customWidth="1"/>
    <col min="9504" max="9728" width="9.140625" style="428"/>
    <col min="9729" max="9729" width="3.7109375" style="428" customWidth="1"/>
    <col min="9730" max="9730" width="14.42578125" style="428" customWidth="1"/>
    <col min="9731" max="9731" width="3.7109375" style="428" customWidth="1"/>
    <col min="9732" max="9732" width="12.28515625" style="428" customWidth="1"/>
    <col min="9733" max="9759" width="6.7109375" style="428" customWidth="1"/>
    <col min="9760" max="9984" width="9.140625" style="428"/>
    <col min="9985" max="9985" width="3.7109375" style="428" customWidth="1"/>
    <col min="9986" max="9986" width="14.42578125" style="428" customWidth="1"/>
    <col min="9987" max="9987" width="3.7109375" style="428" customWidth="1"/>
    <col min="9988" max="9988" width="12.28515625" style="428" customWidth="1"/>
    <col min="9989" max="10015" width="6.7109375" style="428" customWidth="1"/>
    <col min="10016" max="10240" width="9.140625" style="428"/>
    <col min="10241" max="10241" width="3.7109375" style="428" customWidth="1"/>
    <col min="10242" max="10242" width="14.42578125" style="428" customWidth="1"/>
    <col min="10243" max="10243" width="3.7109375" style="428" customWidth="1"/>
    <col min="10244" max="10244" width="12.28515625" style="428" customWidth="1"/>
    <col min="10245" max="10271" width="6.7109375" style="428" customWidth="1"/>
    <col min="10272" max="10496" width="9.140625" style="428"/>
    <col min="10497" max="10497" width="3.7109375" style="428" customWidth="1"/>
    <col min="10498" max="10498" width="14.42578125" style="428" customWidth="1"/>
    <col min="10499" max="10499" width="3.7109375" style="428" customWidth="1"/>
    <col min="10500" max="10500" width="12.28515625" style="428" customWidth="1"/>
    <col min="10501" max="10527" width="6.7109375" style="428" customWidth="1"/>
    <col min="10528" max="10752" width="9.140625" style="428"/>
    <col min="10753" max="10753" width="3.7109375" style="428" customWidth="1"/>
    <col min="10754" max="10754" width="14.42578125" style="428" customWidth="1"/>
    <col min="10755" max="10755" width="3.7109375" style="428" customWidth="1"/>
    <col min="10756" max="10756" width="12.28515625" style="428" customWidth="1"/>
    <col min="10757" max="10783" width="6.7109375" style="428" customWidth="1"/>
    <col min="10784" max="11008" width="9.140625" style="428"/>
    <col min="11009" max="11009" width="3.7109375" style="428" customWidth="1"/>
    <col min="11010" max="11010" width="14.42578125" style="428" customWidth="1"/>
    <col min="11011" max="11011" width="3.7109375" style="428" customWidth="1"/>
    <col min="11012" max="11012" width="12.28515625" style="428" customWidth="1"/>
    <col min="11013" max="11039" width="6.7109375" style="428" customWidth="1"/>
    <col min="11040" max="11264" width="9.140625" style="428"/>
    <col min="11265" max="11265" width="3.7109375" style="428" customWidth="1"/>
    <col min="11266" max="11266" width="14.42578125" style="428" customWidth="1"/>
    <col min="11267" max="11267" width="3.7109375" style="428" customWidth="1"/>
    <col min="11268" max="11268" width="12.28515625" style="428" customWidth="1"/>
    <col min="11269" max="11295" width="6.7109375" style="428" customWidth="1"/>
    <col min="11296" max="11520" width="9.140625" style="428"/>
    <col min="11521" max="11521" width="3.7109375" style="428" customWidth="1"/>
    <col min="11522" max="11522" width="14.42578125" style="428" customWidth="1"/>
    <col min="11523" max="11523" width="3.7109375" style="428" customWidth="1"/>
    <col min="11524" max="11524" width="12.28515625" style="428" customWidth="1"/>
    <col min="11525" max="11551" width="6.7109375" style="428" customWidth="1"/>
    <col min="11552" max="11776" width="9.140625" style="428"/>
    <col min="11777" max="11777" width="3.7109375" style="428" customWidth="1"/>
    <col min="11778" max="11778" width="14.42578125" style="428" customWidth="1"/>
    <col min="11779" max="11779" width="3.7109375" style="428" customWidth="1"/>
    <col min="11780" max="11780" width="12.28515625" style="428" customWidth="1"/>
    <col min="11781" max="11807" width="6.7109375" style="428" customWidth="1"/>
    <col min="11808" max="12032" width="9.140625" style="428"/>
    <col min="12033" max="12033" width="3.7109375" style="428" customWidth="1"/>
    <col min="12034" max="12034" width="14.42578125" style="428" customWidth="1"/>
    <col min="12035" max="12035" width="3.7109375" style="428" customWidth="1"/>
    <col min="12036" max="12036" width="12.28515625" style="428" customWidth="1"/>
    <col min="12037" max="12063" width="6.7109375" style="428" customWidth="1"/>
    <col min="12064" max="12288" width="9.140625" style="428"/>
    <col min="12289" max="12289" width="3.7109375" style="428" customWidth="1"/>
    <col min="12290" max="12290" width="14.42578125" style="428" customWidth="1"/>
    <col min="12291" max="12291" width="3.7109375" style="428" customWidth="1"/>
    <col min="12292" max="12292" width="12.28515625" style="428" customWidth="1"/>
    <col min="12293" max="12319" width="6.7109375" style="428" customWidth="1"/>
    <col min="12320" max="12544" width="9.140625" style="428"/>
    <col min="12545" max="12545" width="3.7109375" style="428" customWidth="1"/>
    <col min="12546" max="12546" width="14.42578125" style="428" customWidth="1"/>
    <col min="12547" max="12547" width="3.7109375" style="428" customWidth="1"/>
    <col min="12548" max="12548" width="12.28515625" style="428" customWidth="1"/>
    <col min="12549" max="12575" width="6.7109375" style="428" customWidth="1"/>
    <col min="12576" max="12800" width="9.140625" style="428"/>
    <col min="12801" max="12801" width="3.7109375" style="428" customWidth="1"/>
    <col min="12802" max="12802" width="14.42578125" style="428" customWidth="1"/>
    <col min="12803" max="12803" width="3.7109375" style="428" customWidth="1"/>
    <col min="12804" max="12804" width="12.28515625" style="428" customWidth="1"/>
    <col min="12805" max="12831" width="6.7109375" style="428" customWidth="1"/>
    <col min="12832" max="13056" width="9.140625" style="428"/>
    <col min="13057" max="13057" width="3.7109375" style="428" customWidth="1"/>
    <col min="13058" max="13058" width="14.42578125" style="428" customWidth="1"/>
    <col min="13059" max="13059" width="3.7109375" style="428" customWidth="1"/>
    <col min="13060" max="13060" width="12.28515625" style="428" customWidth="1"/>
    <col min="13061" max="13087" width="6.7109375" style="428" customWidth="1"/>
    <col min="13088" max="13312" width="9.140625" style="428"/>
    <col min="13313" max="13313" width="3.7109375" style="428" customWidth="1"/>
    <col min="13314" max="13314" width="14.42578125" style="428" customWidth="1"/>
    <col min="13315" max="13315" width="3.7109375" style="428" customWidth="1"/>
    <col min="13316" max="13316" width="12.28515625" style="428" customWidth="1"/>
    <col min="13317" max="13343" width="6.7109375" style="428" customWidth="1"/>
    <col min="13344" max="13568" width="9.140625" style="428"/>
    <col min="13569" max="13569" width="3.7109375" style="428" customWidth="1"/>
    <col min="13570" max="13570" width="14.42578125" style="428" customWidth="1"/>
    <col min="13571" max="13571" width="3.7109375" style="428" customWidth="1"/>
    <col min="13572" max="13572" width="12.28515625" style="428" customWidth="1"/>
    <col min="13573" max="13599" width="6.7109375" style="428" customWidth="1"/>
    <col min="13600" max="13824" width="9.140625" style="428"/>
    <col min="13825" max="13825" width="3.7109375" style="428" customWidth="1"/>
    <col min="13826" max="13826" width="14.42578125" style="428" customWidth="1"/>
    <col min="13827" max="13827" width="3.7109375" style="428" customWidth="1"/>
    <col min="13828" max="13828" width="12.28515625" style="428" customWidth="1"/>
    <col min="13829" max="13855" width="6.7109375" style="428" customWidth="1"/>
    <col min="13856" max="14080" width="9.140625" style="428"/>
    <col min="14081" max="14081" width="3.7109375" style="428" customWidth="1"/>
    <col min="14082" max="14082" width="14.42578125" style="428" customWidth="1"/>
    <col min="14083" max="14083" width="3.7109375" style="428" customWidth="1"/>
    <col min="14084" max="14084" width="12.28515625" style="428" customWidth="1"/>
    <col min="14085" max="14111" width="6.7109375" style="428" customWidth="1"/>
    <col min="14112" max="14336" width="9.140625" style="428"/>
    <col min="14337" max="14337" width="3.7109375" style="428" customWidth="1"/>
    <col min="14338" max="14338" width="14.42578125" style="428" customWidth="1"/>
    <col min="14339" max="14339" width="3.7109375" style="428" customWidth="1"/>
    <col min="14340" max="14340" width="12.28515625" style="428" customWidth="1"/>
    <col min="14341" max="14367" width="6.7109375" style="428" customWidth="1"/>
    <col min="14368" max="14592" width="9.140625" style="428"/>
    <col min="14593" max="14593" width="3.7109375" style="428" customWidth="1"/>
    <col min="14594" max="14594" width="14.42578125" style="428" customWidth="1"/>
    <col min="14595" max="14595" width="3.7109375" style="428" customWidth="1"/>
    <col min="14596" max="14596" width="12.28515625" style="428" customWidth="1"/>
    <col min="14597" max="14623" width="6.7109375" style="428" customWidth="1"/>
    <col min="14624" max="14848" width="9.140625" style="428"/>
    <col min="14849" max="14849" width="3.7109375" style="428" customWidth="1"/>
    <col min="14850" max="14850" width="14.42578125" style="428" customWidth="1"/>
    <col min="14851" max="14851" width="3.7109375" style="428" customWidth="1"/>
    <col min="14852" max="14852" width="12.28515625" style="428" customWidth="1"/>
    <col min="14853" max="14879" width="6.7109375" style="428" customWidth="1"/>
    <col min="14880" max="15104" width="9.140625" style="428"/>
    <col min="15105" max="15105" width="3.7109375" style="428" customWidth="1"/>
    <col min="15106" max="15106" width="14.42578125" style="428" customWidth="1"/>
    <col min="15107" max="15107" width="3.7109375" style="428" customWidth="1"/>
    <col min="15108" max="15108" width="12.28515625" style="428" customWidth="1"/>
    <col min="15109" max="15135" width="6.7109375" style="428" customWidth="1"/>
    <col min="15136" max="15360" width="9.140625" style="428"/>
    <col min="15361" max="15361" width="3.7109375" style="428" customWidth="1"/>
    <col min="15362" max="15362" width="14.42578125" style="428" customWidth="1"/>
    <col min="15363" max="15363" width="3.7109375" style="428" customWidth="1"/>
    <col min="15364" max="15364" width="12.28515625" style="428" customWidth="1"/>
    <col min="15365" max="15391" width="6.7109375" style="428" customWidth="1"/>
    <col min="15392" max="15616" width="9.140625" style="428"/>
    <col min="15617" max="15617" width="3.7109375" style="428" customWidth="1"/>
    <col min="15618" max="15618" width="14.42578125" style="428" customWidth="1"/>
    <col min="15619" max="15619" width="3.7109375" style="428" customWidth="1"/>
    <col min="15620" max="15620" width="12.28515625" style="428" customWidth="1"/>
    <col min="15621" max="15647" width="6.7109375" style="428" customWidth="1"/>
    <col min="15648" max="15872" width="9.140625" style="428"/>
    <col min="15873" max="15873" width="3.7109375" style="428" customWidth="1"/>
    <col min="15874" max="15874" width="14.42578125" style="428" customWidth="1"/>
    <col min="15875" max="15875" width="3.7109375" style="428" customWidth="1"/>
    <col min="15876" max="15876" width="12.28515625" style="428" customWidth="1"/>
    <col min="15877" max="15903" width="6.7109375" style="428" customWidth="1"/>
    <col min="15904" max="16128" width="9.140625" style="428"/>
    <col min="16129" max="16129" width="3.7109375" style="428" customWidth="1"/>
    <col min="16130" max="16130" width="14.42578125" style="428" customWidth="1"/>
    <col min="16131" max="16131" width="3.7109375" style="428" customWidth="1"/>
    <col min="16132" max="16132" width="12.28515625" style="428" customWidth="1"/>
    <col min="16133" max="16159" width="6.7109375" style="428" customWidth="1"/>
    <col min="16160" max="16384" width="9.140625" style="428"/>
  </cols>
  <sheetData>
    <row r="1" spans="1:31" s="964" customFormat="1" ht="15" x14ac:dyDescent="0.2">
      <c r="A1" s="965"/>
      <c r="B1" s="1277"/>
      <c r="C1" s="1277"/>
    </row>
    <row r="2" spans="1:31" s="964" customFormat="1" ht="15" customHeight="1" x14ac:dyDescent="0.2">
      <c r="A2" s="835">
        <v>1</v>
      </c>
      <c r="B2" s="835" t="s">
        <v>24</v>
      </c>
      <c r="C2" s="835">
        <f>1+'Voter prov'!C2</f>
        <v>56</v>
      </c>
      <c r="D2" s="1478" t="s">
        <v>1135</v>
      </c>
      <c r="E2" s="1462"/>
      <c r="F2" s="1462"/>
      <c r="G2" s="1462"/>
      <c r="H2" s="1462"/>
      <c r="I2" s="1462"/>
      <c r="J2" s="1462"/>
      <c r="K2" s="1462"/>
      <c r="L2" s="1462"/>
      <c r="M2" s="1462"/>
      <c r="N2" s="1462"/>
      <c r="O2" s="1462"/>
      <c r="P2" s="1462"/>
      <c r="Q2" s="1462"/>
      <c r="R2" s="1462"/>
      <c r="S2" s="1462"/>
      <c r="T2" s="1462"/>
      <c r="U2" s="1462"/>
      <c r="V2" s="1462"/>
      <c r="W2" s="1459"/>
      <c r="X2" s="1459"/>
      <c r="Y2" s="1459"/>
      <c r="Z2" s="1459"/>
      <c r="AA2" s="1459"/>
      <c r="AB2" s="1459"/>
      <c r="AC2" s="1459"/>
      <c r="AD2" s="1459"/>
      <c r="AE2" s="1460"/>
    </row>
    <row r="3" spans="1:31" s="964" customFormat="1" ht="15" customHeight="1" x14ac:dyDescent="0.2">
      <c r="A3" s="835">
        <v>2</v>
      </c>
      <c r="B3" s="835" t="s">
        <v>26</v>
      </c>
      <c r="C3" s="835"/>
      <c r="D3" s="3615" t="s">
        <v>1081</v>
      </c>
      <c r="E3" s="3616"/>
      <c r="F3" s="3616"/>
      <c r="G3" s="3616"/>
      <c r="H3" s="3616"/>
      <c r="I3" s="3616"/>
      <c r="J3" s="3616"/>
      <c r="K3" s="3616"/>
      <c r="L3" s="3616"/>
      <c r="M3" s="3616"/>
      <c r="N3" s="3616"/>
      <c r="O3" s="3616"/>
      <c r="P3" s="3616"/>
      <c r="Q3" s="3616"/>
      <c r="R3" s="3616"/>
      <c r="S3" s="3616"/>
      <c r="T3" s="3616"/>
      <c r="U3" s="3616"/>
      <c r="V3" s="3616"/>
      <c r="W3" s="3616"/>
      <c r="X3" s="3616"/>
      <c r="Y3" s="3616"/>
      <c r="Z3" s="3616"/>
      <c r="AA3" s="3616"/>
      <c r="AB3" s="3616"/>
      <c r="AC3" s="3616"/>
      <c r="AD3" s="3616"/>
      <c r="AE3" s="3617"/>
    </row>
    <row r="4" spans="1:31" s="964" customFormat="1" ht="15" customHeight="1" x14ac:dyDescent="0.2">
      <c r="A4" s="835">
        <v>3</v>
      </c>
      <c r="B4" s="835" t="s">
        <v>28</v>
      </c>
      <c r="C4" s="835"/>
      <c r="D4" s="3615" t="s">
        <v>1134</v>
      </c>
      <c r="E4" s="3616"/>
      <c r="F4" s="3616"/>
      <c r="G4" s="3616"/>
      <c r="H4" s="3616"/>
      <c r="I4" s="3616"/>
      <c r="J4" s="3616"/>
      <c r="K4" s="3616"/>
      <c r="L4" s="3616"/>
      <c r="M4" s="3616"/>
      <c r="N4" s="3616"/>
      <c r="O4" s="3616"/>
      <c r="P4" s="3616"/>
      <c r="Q4" s="3616"/>
      <c r="R4" s="3616"/>
      <c r="S4" s="3616"/>
      <c r="T4" s="3616"/>
      <c r="U4" s="3616"/>
      <c r="V4" s="3616"/>
      <c r="W4" s="3616"/>
      <c r="X4" s="3616"/>
      <c r="Y4" s="3616"/>
      <c r="Z4" s="3616"/>
      <c r="AA4" s="3616"/>
      <c r="AB4" s="3616"/>
      <c r="AC4" s="3616"/>
      <c r="AD4" s="3616"/>
      <c r="AE4" s="3617"/>
    </row>
    <row r="5" spans="1:31" s="964" customFormat="1" ht="15" customHeight="1" x14ac:dyDescent="0.2">
      <c r="A5" s="835"/>
      <c r="B5" s="835"/>
      <c r="C5" s="835"/>
      <c r="D5" s="1471"/>
      <c r="E5" s="1471"/>
      <c r="F5" s="1471"/>
      <c r="G5" s="1471"/>
      <c r="H5" s="1471"/>
      <c r="I5" s="1471"/>
      <c r="J5" s="1471"/>
      <c r="K5" s="1471"/>
      <c r="L5" s="1471"/>
      <c r="M5" s="1471"/>
      <c r="N5" s="1471"/>
      <c r="O5" s="1471"/>
      <c r="P5" s="1471"/>
      <c r="Q5" s="1471"/>
      <c r="R5" s="1471"/>
      <c r="S5" s="1471"/>
      <c r="T5" s="1471"/>
      <c r="U5" s="1471"/>
      <c r="V5" s="1471"/>
      <c r="W5" s="1471"/>
      <c r="X5" s="1471"/>
      <c r="Y5" s="1471"/>
      <c r="Z5" s="1471"/>
      <c r="AA5" s="1471"/>
      <c r="AB5" s="1471"/>
      <c r="AC5" s="1471"/>
      <c r="AD5" s="1471"/>
      <c r="AE5" s="1471"/>
    </row>
    <row r="6" spans="1:31" ht="12.75" x14ac:dyDescent="0.2">
      <c r="A6" s="835">
        <v>4</v>
      </c>
      <c r="B6" s="418" t="s">
        <v>1</v>
      </c>
      <c r="C6" s="418"/>
      <c r="D6" s="1094"/>
      <c r="E6" s="1094"/>
      <c r="F6" s="1094"/>
      <c r="G6" s="1094"/>
      <c r="H6" s="1094"/>
      <c r="I6" s="1094"/>
      <c r="J6" s="1094"/>
      <c r="K6" s="1094"/>
      <c r="L6" s="1094"/>
      <c r="M6" s="1094"/>
      <c r="N6" s="1094"/>
      <c r="O6" s="1094"/>
    </row>
    <row r="7" spans="1:31" s="401" customFormat="1" ht="11.25" x14ac:dyDescent="0.2">
      <c r="A7" s="1224"/>
      <c r="B7" s="1222"/>
      <c r="C7" s="1222"/>
      <c r="D7" s="1098" t="s">
        <v>31</v>
      </c>
      <c r="E7" s="1098" t="s">
        <v>1133</v>
      </c>
      <c r="F7" s="1098"/>
      <c r="G7" s="1098"/>
      <c r="H7" s="1098"/>
      <c r="I7" s="1098"/>
      <c r="J7" s="1098"/>
      <c r="K7" s="436"/>
      <c r="L7" s="436"/>
      <c r="M7" s="436"/>
      <c r="N7" s="432"/>
      <c r="O7" s="432"/>
    </row>
    <row r="8" spans="1:31" s="401" customFormat="1" ht="12.75" customHeight="1" x14ac:dyDescent="0.2">
      <c r="A8" s="1224"/>
      <c r="B8" s="1222"/>
      <c r="C8" s="1222"/>
      <c r="D8" s="2953"/>
      <c r="E8" s="3644">
        <v>1994</v>
      </c>
      <c r="F8" s="3644"/>
      <c r="G8" s="3645"/>
      <c r="H8" s="3648">
        <v>1999</v>
      </c>
      <c r="I8" s="3644"/>
      <c r="J8" s="3645"/>
      <c r="K8" s="3644">
        <v>2004</v>
      </c>
      <c r="L8" s="3644"/>
      <c r="M8" s="3644"/>
      <c r="N8" s="3648">
        <v>2009</v>
      </c>
      <c r="O8" s="3644"/>
      <c r="P8" s="3645"/>
      <c r="Q8" s="3648">
        <v>2014</v>
      </c>
      <c r="R8" s="3644"/>
      <c r="S8" s="3645"/>
      <c r="T8" s="3643"/>
      <c r="U8" s="3643"/>
      <c r="V8" s="3643"/>
    </row>
    <row r="9" spans="1:31" s="401" customFormat="1" ht="11.25" x14ac:dyDescent="0.2">
      <c r="A9" s="1224"/>
      <c r="B9" s="1222"/>
      <c r="C9" s="1222"/>
      <c r="D9" s="2949"/>
      <c r="E9" s="1968" t="s">
        <v>11</v>
      </c>
      <c r="F9" s="1969" t="s">
        <v>261</v>
      </c>
      <c r="G9" s="1969" t="s">
        <v>54</v>
      </c>
      <c r="H9" s="1970" t="s">
        <v>11</v>
      </c>
      <c r="I9" s="1969" t="s">
        <v>261</v>
      </c>
      <c r="J9" s="1971" t="s">
        <v>54</v>
      </c>
      <c r="K9" s="1969" t="s">
        <v>11</v>
      </c>
      <c r="L9" s="1969" t="s">
        <v>261</v>
      </c>
      <c r="M9" s="1969" t="s">
        <v>54</v>
      </c>
      <c r="N9" s="1970" t="s">
        <v>11</v>
      </c>
      <c r="O9" s="1969" t="s">
        <v>261</v>
      </c>
      <c r="P9" s="1971" t="s">
        <v>54</v>
      </c>
      <c r="Q9" s="1970" t="s">
        <v>11</v>
      </c>
      <c r="R9" s="1969" t="s">
        <v>261</v>
      </c>
      <c r="S9" s="1971" t="s">
        <v>54</v>
      </c>
      <c r="T9" s="752"/>
      <c r="U9" s="752"/>
      <c r="V9" s="752"/>
    </row>
    <row r="10" spans="1:31" s="401" customFormat="1" ht="11.25" x14ac:dyDescent="0.2">
      <c r="A10" s="1224"/>
      <c r="B10" s="1222"/>
      <c r="C10" s="1222"/>
      <c r="D10" s="2954" t="s">
        <v>1132</v>
      </c>
      <c r="E10" s="1167">
        <v>111</v>
      </c>
      <c r="F10" s="1167">
        <v>400</v>
      </c>
      <c r="G10" s="1169">
        <f>E10/F10</f>
        <v>0.27750000000000002</v>
      </c>
      <c r="H10" s="1166">
        <v>120</v>
      </c>
      <c r="I10" s="1167">
        <v>400</v>
      </c>
      <c r="J10" s="1168">
        <f>H10/I10</f>
        <v>0.3</v>
      </c>
      <c r="K10" s="1167">
        <v>131</v>
      </c>
      <c r="L10" s="1167">
        <v>400</v>
      </c>
      <c r="M10" s="1169">
        <f>K10/L10</f>
        <v>0.32750000000000001</v>
      </c>
      <c r="N10" s="1166">
        <v>173</v>
      </c>
      <c r="O10" s="1167">
        <v>400</v>
      </c>
      <c r="P10" s="1168">
        <f>N10/O10</f>
        <v>0.4325</v>
      </c>
      <c r="Q10" s="1166">
        <v>172</v>
      </c>
      <c r="R10" s="1167">
        <v>400</v>
      </c>
      <c r="S10" s="1168">
        <f>Q10/R10</f>
        <v>0.43</v>
      </c>
      <c r="T10" s="432"/>
      <c r="U10" s="432"/>
      <c r="V10" s="1143"/>
    </row>
    <row r="11" spans="1:31" s="401" customFormat="1" ht="22.5" x14ac:dyDescent="0.2">
      <c r="A11" s="1224"/>
      <c r="B11" s="1222"/>
      <c r="C11" s="1222"/>
      <c r="D11" s="2954" t="s">
        <v>1131</v>
      </c>
      <c r="E11" s="1972"/>
      <c r="F11" s="1972"/>
      <c r="G11" s="1972"/>
      <c r="H11" s="1166"/>
      <c r="I11" s="1972"/>
      <c r="J11" s="1973"/>
      <c r="K11" s="1167"/>
      <c r="L11" s="1972"/>
      <c r="M11" s="1972"/>
      <c r="N11" s="1166"/>
      <c r="O11" s="1972"/>
      <c r="P11" s="1973"/>
      <c r="Q11" s="1166"/>
      <c r="R11" s="1972"/>
      <c r="S11" s="1973"/>
      <c r="T11" s="432"/>
      <c r="U11" s="967"/>
      <c r="V11" s="967"/>
    </row>
    <row r="12" spans="1:31" s="401" customFormat="1" ht="11.25" x14ac:dyDescent="0.2">
      <c r="A12" s="1224"/>
      <c r="B12" s="1222"/>
      <c r="C12" s="1222"/>
      <c r="D12" s="2955" t="s">
        <v>415</v>
      </c>
      <c r="E12" s="784">
        <v>13</v>
      </c>
      <c r="F12" s="784">
        <v>56</v>
      </c>
      <c r="G12" s="1143">
        <f t="shared" ref="G12:G21" si="0">E12/F12</f>
        <v>0.23214285714285715</v>
      </c>
      <c r="H12" s="1165">
        <v>15</v>
      </c>
      <c r="I12" s="784">
        <v>63</v>
      </c>
      <c r="J12" s="1138">
        <f t="shared" ref="J12:J21" si="1">H12/I12</f>
        <v>0.23809523809523808</v>
      </c>
      <c r="K12" s="784">
        <v>21</v>
      </c>
      <c r="L12" s="784">
        <v>63</v>
      </c>
      <c r="M12" s="1143">
        <f t="shared" ref="M12:M21" si="2">K12/L12</f>
        <v>0.33333333333333331</v>
      </c>
      <c r="N12" s="1165">
        <v>28</v>
      </c>
      <c r="O12" s="784">
        <v>63</v>
      </c>
      <c r="P12" s="1138">
        <f t="shared" ref="P12:P21" si="3">N12/O12</f>
        <v>0.44444444444444442</v>
      </c>
      <c r="Q12" s="1165">
        <v>26</v>
      </c>
      <c r="R12" s="784">
        <v>63</v>
      </c>
      <c r="S12" s="1138">
        <f t="shared" ref="S12:S21" si="4">Q12/R12</f>
        <v>0.41269841269841268</v>
      </c>
      <c r="T12" s="784"/>
      <c r="U12" s="784"/>
      <c r="V12" s="1143"/>
    </row>
    <row r="13" spans="1:31" s="401" customFormat="1" ht="14.25" customHeight="1" x14ac:dyDescent="0.2">
      <c r="A13" s="1224"/>
      <c r="B13" s="1222"/>
      <c r="C13" s="1222"/>
      <c r="D13" s="2955" t="s">
        <v>417</v>
      </c>
      <c r="E13" s="784">
        <v>7</v>
      </c>
      <c r="F13" s="784">
        <v>30</v>
      </c>
      <c r="G13" s="1143">
        <f t="shared" si="0"/>
        <v>0.23333333333333334</v>
      </c>
      <c r="H13" s="1165">
        <v>7</v>
      </c>
      <c r="I13" s="784">
        <v>30</v>
      </c>
      <c r="J13" s="1138">
        <f t="shared" si="1"/>
        <v>0.23333333333333334</v>
      </c>
      <c r="K13" s="784">
        <v>8</v>
      </c>
      <c r="L13" s="784">
        <v>30</v>
      </c>
      <c r="M13" s="1143">
        <f t="shared" si="2"/>
        <v>0.26666666666666666</v>
      </c>
      <c r="N13" s="1165">
        <v>12</v>
      </c>
      <c r="O13" s="784">
        <v>30</v>
      </c>
      <c r="P13" s="1138">
        <f t="shared" si="3"/>
        <v>0.4</v>
      </c>
      <c r="Q13" s="1165">
        <v>14</v>
      </c>
      <c r="R13" s="784">
        <v>30</v>
      </c>
      <c r="S13" s="1138">
        <f t="shared" si="4"/>
        <v>0.46666666666666667</v>
      </c>
      <c r="T13" s="784"/>
      <c r="U13" s="784"/>
      <c r="V13" s="1143"/>
    </row>
    <row r="14" spans="1:31" s="401" customFormat="1" ht="14.25" customHeight="1" x14ac:dyDescent="0.2">
      <c r="A14" s="1224"/>
      <c r="B14" s="1222"/>
      <c r="C14" s="1222"/>
      <c r="D14" s="2955" t="s">
        <v>420</v>
      </c>
      <c r="E14" s="784">
        <v>25</v>
      </c>
      <c r="F14" s="784">
        <v>86</v>
      </c>
      <c r="G14" s="1143">
        <f t="shared" si="0"/>
        <v>0.29069767441860467</v>
      </c>
      <c r="H14" s="1165">
        <v>26</v>
      </c>
      <c r="I14" s="784">
        <v>73</v>
      </c>
      <c r="J14" s="1138">
        <f t="shared" si="1"/>
        <v>0.35616438356164382</v>
      </c>
      <c r="K14" s="784">
        <v>31</v>
      </c>
      <c r="L14" s="784">
        <v>73</v>
      </c>
      <c r="M14" s="1143">
        <f t="shared" si="2"/>
        <v>0.42465753424657532</v>
      </c>
      <c r="N14" s="1165">
        <v>33</v>
      </c>
      <c r="O14" s="784">
        <v>73</v>
      </c>
      <c r="P14" s="1138">
        <f t="shared" si="3"/>
        <v>0.45205479452054792</v>
      </c>
      <c r="Q14" s="1165">
        <v>29</v>
      </c>
      <c r="R14" s="784">
        <v>73</v>
      </c>
      <c r="S14" s="1138">
        <f t="shared" si="4"/>
        <v>0.39726027397260272</v>
      </c>
      <c r="T14" s="784"/>
      <c r="U14" s="784"/>
      <c r="V14" s="1143"/>
    </row>
    <row r="15" spans="1:31" s="401" customFormat="1" ht="14.25" customHeight="1" x14ac:dyDescent="0.2">
      <c r="A15" s="1224"/>
      <c r="B15" s="1222"/>
      <c r="C15" s="1222"/>
      <c r="D15" s="2955" t="s">
        <v>418</v>
      </c>
      <c r="E15" s="784">
        <v>11</v>
      </c>
      <c r="F15" s="784">
        <v>81</v>
      </c>
      <c r="G15" s="1143">
        <f t="shared" si="0"/>
        <v>0.13580246913580246</v>
      </c>
      <c r="H15" s="1165">
        <v>22</v>
      </c>
      <c r="I15" s="784">
        <v>80</v>
      </c>
      <c r="J15" s="1138">
        <f t="shared" si="1"/>
        <v>0.27500000000000002</v>
      </c>
      <c r="K15" s="784">
        <v>21</v>
      </c>
      <c r="L15" s="784">
        <v>80</v>
      </c>
      <c r="M15" s="1143">
        <f t="shared" si="2"/>
        <v>0.26250000000000001</v>
      </c>
      <c r="N15" s="1165">
        <v>30</v>
      </c>
      <c r="O15" s="784">
        <v>80</v>
      </c>
      <c r="P15" s="1138">
        <f t="shared" si="3"/>
        <v>0.375</v>
      </c>
      <c r="Q15" s="1165">
        <v>32</v>
      </c>
      <c r="R15" s="784">
        <v>80</v>
      </c>
      <c r="S15" s="1138">
        <f t="shared" si="4"/>
        <v>0.4</v>
      </c>
      <c r="T15" s="784"/>
      <c r="U15" s="784"/>
      <c r="V15" s="1143"/>
    </row>
    <row r="16" spans="1:31" s="401" customFormat="1" ht="14.25" customHeight="1" x14ac:dyDescent="0.2">
      <c r="A16" s="1224"/>
      <c r="B16" s="1222"/>
      <c r="C16" s="1222"/>
      <c r="D16" s="2955" t="s">
        <v>422</v>
      </c>
      <c r="E16" s="784">
        <v>11</v>
      </c>
      <c r="F16" s="784">
        <v>40</v>
      </c>
      <c r="G16" s="1143">
        <f t="shared" si="0"/>
        <v>0.27500000000000002</v>
      </c>
      <c r="H16" s="1165">
        <v>16</v>
      </c>
      <c r="I16" s="784">
        <v>49</v>
      </c>
      <c r="J16" s="1138">
        <f t="shared" si="1"/>
        <v>0.32653061224489793</v>
      </c>
      <c r="K16" s="784">
        <v>16</v>
      </c>
      <c r="L16" s="784">
        <v>49</v>
      </c>
      <c r="M16" s="1143">
        <f t="shared" si="2"/>
        <v>0.32653061224489793</v>
      </c>
      <c r="N16" s="1165">
        <v>23</v>
      </c>
      <c r="O16" s="784">
        <v>49</v>
      </c>
      <c r="P16" s="1138">
        <f t="shared" si="3"/>
        <v>0.46938775510204084</v>
      </c>
      <c r="Q16" s="1165">
        <v>23</v>
      </c>
      <c r="R16" s="784">
        <v>49</v>
      </c>
      <c r="S16" s="1138">
        <f t="shared" si="4"/>
        <v>0.46938775510204084</v>
      </c>
      <c r="T16" s="784"/>
      <c r="U16" s="784"/>
      <c r="V16" s="1143"/>
    </row>
    <row r="17" spans="1:31" s="401" customFormat="1" ht="14.25" customHeight="1" x14ac:dyDescent="0.2">
      <c r="A17" s="1224"/>
      <c r="B17" s="1222"/>
      <c r="C17" s="1222"/>
      <c r="D17" s="2955" t="s">
        <v>421</v>
      </c>
      <c r="E17" s="784">
        <v>6</v>
      </c>
      <c r="F17" s="784">
        <v>30</v>
      </c>
      <c r="G17" s="1143">
        <f t="shared" si="0"/>
        <v>0.2</v>
      </c>
      <c r="H17" s="1165">
        <v>8</v>
      </c>
      <c r="I17" s="784">
        <v>30</v>
      </c>
      <c r="J17" s="1138">
        <f t="shared" si="1"/>
        <v>0.26666666666666666</v>
      </c>
      <c r="K17" s="784">
        <v>9</v>
      </c>
      <c r="L17" s="784">
        <v>30</v>
      </c>
      <c r="M17" s="1143">
        <f t="shared" si="2"/>
        <v>0.3</v>
      </c>
      <c r="N17" s="1165">
        <v>12</v>
      </c>
      <c r="O17" s="784">
        <v>30</v>
      </c>
      <c r="P17" s="1138">
        <f t="shared" si="3"/>
        <v>0.4</v>
      </c>
      <c r="Q17" s="1165">
        <v>14</v>
      </c>
      <c r="R17" s="784">
        <v>30</v>
      </c>
      <c r="S17" s="1138">
        <f t="shared" si="4"/>
        <v>0.46666666666666667</v>
      </c>
      <c r="T17" s="784"/>
      <c r="U17" s="784"/>
      <c r="V17" s="1143"/>
    </row>
    <row r="18" spans="1:31" s="401" customFormat="1" ht="14.25" customHeight="1" x14ac:dyDescent="0.2">
      <c r="A18" s="1224"/>
      <c r="B18" s="1222"/>
      <c r="C18" s="1222"/>
      <c r="D18" s="2955" t="s">
        <v>419</v>
      </c>
      <c r="E18" s="784">
        <v>9</v>
      </c>
      <c r="F18" s="784">
        <v>33</v>
      </c>
      <c r="G18" s="1143">
        <f t="shared" si="0"/>
        <v>0.27272727272727271</v>
      </c>
      <c r="H18" s="1165">
        <v>9</v>
      </c>
      <c r="I18" s="784">
        <v>33</v>
      </c>
      <c r="J18" s="1138">
        <f t="shared" si="1"/>
        <v>0.27272727272727271</v>
      </c>
      <c r="K18" s="784">
        <v>11</v>
      </c>
      <c r="L18" s="784">
        <v>33</v>
      </c>
      <c r="M18" s="1143">
        <f t="shared" si="2"/>
        <v>0.33333333333333331</v>
      </c>
      <c r="N18" s="1165">
        <v>14</v>
      </c>
      <c r="O18" s="784">
        <v>33</v>
      </c>
      <c r="P18" s="1138">
        <f t="shared" si="3"/>
        <v>0.42424242424242425</v>
      </c>
      <c r="Q18" s="1165">
        <v>15</v>
      </c>
      <c r="R18" s="784">
        <v>33</v>
      </c>
      <c r="S18" s="1138">
        <f t="shared" si="4"/>
        <v>0.45454545454545453</v>
      </c>
      <c r="T18" s="784"/>
      <c r="U18" s="784"/>
      <c r="V18" s="1143"/>
    </row>
    <row r="19" spans="1:31" s="401" customFormat="1" ht="14.25" customHeight="1" x14ac:dyDescent="0.2">
      <c r="A19" s="1224"/>
      <c r="B19" s="1222"/>
      <c r="C19" s="1222"/>
      <c r="D19" s="2955" t="s">
        <v>416</v>
      </c>
      <c r="E19" s="784"/>
      <c r="F19" s="784">
        <v>30</v>
      </c>
      <c r="G19" s="1143">
        <f t="shared" si="0"/>
        <v>0</v>
      </c>
      <c r="H19" s="1165">
        <v>8</v>
      </c>
      <c r="I19" s="784">
        <v>30</v>
      </c>
      <c r="J19" s="1138">
        <f t="shared" si="1"/>
        <v>0.26666666666666666</v>
      </c>
      <c r="K19" s="784">
        <v>9</v>
      </c>
      <c r="L19" s="784">
        <v>30</v>
      </c>
      <c r="M19" s="1143">
        <f t="shared" si="2"/>
        <v>0.3</v>
      </c>
      <c r="N19" s="1165">
        <v>13</v>
      </c>
      <c r="O19" s="784">
        <v>30</v>
      </c>
      <c r="P19" s="1138">
        <f t="shared" si="3"/>
        <v>0.43333333333333335</v>
      </c>
      <c r="Q19" s="1165">
        <v>12</v>
      </c>
      <c r="R19" s="784">
        <v>30</v>
      </c>
      <c r="S19" s="1138">
        <f t="shared" si="4"/>
        <v>0.4</v>
      </c>
      <c r="T19" s="784"/>
      <c r="U19" s="784"/>
      <c r="V19" s="1143"/>
    </row>
    <row r="20" spans="1:31" s="401" customFormat="1" ht="14.25" customHeight="1" x14ac:dyDescent="0.2">
      <c r="A20" s="1224"/>
      <c r="B20" s="1222"/>
      <c r="C20" s="1222"/>
      <c r="D20" s="2955" t="s">
        <v>414</v>
      </c>
      <c r="E20" s="784">
        <v>10</v>
      </c>
      <c r="F20" s="784">
        <v>42</v>
      </c>
      <c r="G20" s="1143">
        <f t="shared" si="0"/>
        <v>0.23809523809523808</v>
      </c>
      <c r="H20" s="1165">
        <v>11</v>
      </c>
      <c r="I20" s="784">
        <v>42</v>
      </c>
      <c r="J20" s="1138">
        <f t="shared" si="1"/>
        <v>0.26190476190476192</v>
      </c>
      <c r="K20" s="784">
        <v>13</v>
      </c>
      <c r="L20" s="784">
        <v>42</v>
      </c>
      <c r="M20" s="1143">
        <f t="shared" si="2"/>
        <v>0.30952380952380953</v>
      </c>
      <c r="N20" s="1165">
        <v>14</v>
      </c>
      <c r="O20" s="784">
        <v>42</v>
      </c>
      <c r="P20" s="1138">
        <f t="shared" si="3"/>
        <v>0.33333333333333331</v>
      </c>
      <c r="Q20" s="1165">
        <v>16</v>
      </c>
      <c r="R20" s="784">
        <v>42</v>
      </c>
      <c r="S20" s="1138">
        <f t="shared" si="4"/>
        <v>0.38095238095238093</v>
      </c>
      <c r="T20" s="784"/>
      <c r="U20" s="784"/>
      <c r="V20" s="1143"/>
    </row>
    <row r="21" spans="1:31" s="425" customFormat="1" ht="14.25" customHeight="1" x14ac:dyDescent="0.2">
      <c r="A21" s="1224"/>
      <c r="B21" s="1327"/>
      <c r="C21" s="1327"/>
      <c r="D21" s="2956" t="s">
        <v>261</v>
      </c>
      <c r="E21" s="1161">
        <f>SUM(E10:E20)</f>
        <v>203</v>
      </c>
      <c r="F21" s="1161">
        <f>SUM(F10:F20)</f>
        <v>828</v>
      </c>
      <c r="G21" s="1163">
        <f t="shared" si="0"/>
        <v>0.24516908212560387</v>
      </c>
      <c r="H21" s="1162">
        <f>SUM(H10:H20)</f>
        <v>242</v>
      </c>
      <c r="I21" s="1161">
        <f>SUM(I10:I20)</f>
        <v>830</v>
      </c>
      <c r="J21" s="1160">
        <f t="shared" si="1"/>
        <v>0.29156626506024097</v>
      </c>
      <c r="K21" s="1161">
        <f>SUM(K10:K20)</f>
        <v>270</v>
      </c>
      <c r="L21" s="1164">
        <f>SUM(L10:L20)</f>
        <v>830</v>
      </c>
      <c r="M21" s="1163">
        <f t="shared" si="2"/>
        <v>0.3253012048192771</v>
      </c>
      <c r="N21" s="1162">
        <f>SUM(N10:N20)</f>
        <v>352</v>
      </c>
      <c r="O21" s="1161">
        <f>SUM(O10:O20)</f>
        <v>830</v>
      </c>
      <c r="P21" s="1160">
        <f t="shared" si="3"/>
        <v>0.42409638554216866</v>
      </c>
      <c r="Q21" s="1162">
        <f>SUM(Q10:Q20)</f>
        <v>353</v>
      </c>
      <c r="R21" s="1161">
        <f>SUM(R10:R20)</f>
        <v>830</v>
      </c>
      <c r="S21" s="1160">
        <f t="shared" si="4"/>
        <v>0.42530120481927713</v>
      </c>
      <c r="T21" s="438"/>
      <c r="U21" s="438"/>
      <c r="V21" s="1159"/>
    </row>
    <row r="22" spans="1:31" x14ac:dyDescent="0.2">
      <c r="B22" s="1146"/>
      <c r="C22" s="1146"/>
      <c r="D22" s="432"/>
      <c r="E22" s="432"/>
      <c r="F22" s="432"/>
      <c r="G22" s="432"/>
      <c r="H22" s="432"/>
      <c r="I22" s="432"/>
      <c r="J22" s="432"/>
      <c r="K22" s="401"/>
      <c r="L22" s="432"/>
      <c r="M22" s="432"/>
      <c r="N22" s="432"/>
      <c r="O22" s="432"/>
      <c r="P22" s="401"/>
      <c r="Q22" s="401"/>
      <c r="R22" s="401"/>
      <c r="S22" s="401"/>
      <c r="T22" s="401"/>
      <c r="U22" s="401"/>
      <c r="V22" s="401"/>
    </row>
    <row r="23" spans="1:31" x14ac:dyDescent="0.2">
      <c r="B23" s="1146"/>
      <c r="C23" s="1146"/>
      <c r="D23" s="1098" t="s">
        <v>55</v>
      </c>
      <c r="E23" s="1098"/>
      <c r="F23" s="1098" t="s">
        <v>1130</v>
      </c>
      <c r="G23" s="1158"/>
      <c r="H23" s="1158"/>
      <c r="I23" s="1158"/>
      <c r="J23" s="1158"/>
      <c r="K23" s="1158"/>
      <c r="L23" s="1158"/>
      <c r="M23" s="401"/>
      <c r="N23" s="401"/>
      <c r="O23" s="401"/>
      <c r="P23" s="401"/>
      <c r="Q23" s="401"/>
      <c r="R23" s="401"/>
      <c r="S23" s="401"/>
      <c r="T23" s="401"/>
      <c r="U23" s="401"/>
      <c r="V23" s="401"/>
    </row>
    <row r="24" spans="1:31" ht="15" customHeight="1" x14ac:dyDescent="0.2">
      <c r="B24" s="1146"/>
      <c r="C24" s="1146"/>
      <c r="D24" s="2957"/>
      <c r="E24" s="3892">
        <v>2006</v>
      </c>
      <c r="F24" s="3893"/>
      <c r="G24" s="3893"/>
      <c r="H24" s="3893"/>
      <c r="I24" s="3893"/>
      <c r="J24" s="3893"/>
      <c r="K24" s="3893"/>
      <c r="L24" s="3893"/>
      <c r="M24" s="3894"/>
      <c r="N24" s="3892">
        <v>2011</v>
      </c>
      <c r="O24" s="3893"/>
      <c r="P24" s="3893"/>
      <c r="Q24" s="3893"/>
      <c r="R24" s="3893"/>
      <c r="S24" s="3893"/>
      <c r="T24" s="3893"/>
      <c r="U24" s="3893"/>
      <c r="V24" s="3895"/>
      <c r="W24" s="3892">
        <v>2016</v>
      </c>
      <c r="X24" s="3893"/>
      <c r="Y24" s="3893"/>
      <c r="Z24" s="3893"/>
      <c r="AA24" s="3893"/>
      <c r="AB24" s="3893"/>
      <c r="AC24" s="3893"/>
      <c r="AD24" s="3893"/>
      <c r="AE24" s="3895"/>
    </row>
    <row r="25" spans="1:31" ht="26.25" customHeight="1" x14ac:dyDescent="0.2">
      <c r="B25" s="1146"/>
      <c r="C25" s="1146"/>
      <c r="D25" s="2958"/>
      <c r="E25" s="3896" t="s">
        <v>1129</v>
      </c>
      <c r="F25" s="3897"/>
      <c r="G25" s="3898"/>
      <c r="H25" s="3899" t="s">
        <v>1128</v>
      </c>
      <c r="I25" s="3900"/>
      <c r="J25" s="3900"/>
      <c r="K25" s="3899" t="s">
        <v>1127</v>
      </c>
      <c r="L25" s="3900"/>
      <c r="M25" s="3901"/>
      <c r="N25" s="3896" t="s">
        <v>1129</v>
      </c>
      <c r="O25" s="3897"/>
      <c r="P25" s="3898"/>
      <c r="Q25" s="3899" t="s">
        <v>1128</v>
      </c>
      <c r="R25" s="3900"/>
      <c r="S25" s="3900"/>
      <c r="T25" s="3899" t="s">
        <v>1127</v>
      </c>
      <c r="U25" s="3900"/>
      <c r="V25" s="3901"/>
      <c r="W25" s="3896" t="s">
        <v>1129</v>
      </c>
      <c r="X25" s="3897"/>
      <c r="Y25" s="3898"/>
      <c r="Z25" s="3899" t="s">
        <v>1128</v>
      </c>
      <c r="AA25" s="3900"/>
      <c r="AB25" s="3900"/>
      <c r="AC25" s="3899" t="s">
        <v>1127</v>
      </c>
      <c r="AD25" s="3900"/>
      <c r="AE25" s="3901"/>
    </row>
    <row r="26" spans="1:31" ht="15.75" customHeight="1" x14ac:dyDescent="0.2">
      <c r="B26" s="1146"/>
      <c r="C26" s="1146"/>
      <c r="D26" s="2959" t="s">
        <v>413</v>
      </c>
      <c r="E26" s="1157" t="s">
        <v>11</v>
      </c>
      <c r="F26" s="752" t="s">
        <v>261</v>
      </c>
      <c r="G26" s="1156" t="s">
        <v>54</v>
      </c>
      <c r="H26" s="752" t="s">
        <v>11</v>
      </c>
      <c r="I26" s="752" t="s">
        <v>261</v>
      </c>
      <c r="J26" s="1156" t="s">
        <v>54</v>
      </c>
      <c r="K26" s="752" t="s">
        <v>11</v>
      </c>
      <c r="L26" s="752" t="s">
        <v>261</v>
      </c>
      <c r="M26" s="1155" t="s">
        <v>54</v>
      </c>
      <c r="N26" s="1157" t="s">
        <v>11</v>
      </c>
      <c r="O26" s="752" t="s">
        <v>261</v>
      </c>
      <c r="P26" s="1156" t="s">
        <v>54</v>
      </c>
      <c r="Q26" s="752" t="s">
        <v>11</v>
      </c>
      <c r="R26" s="752" t="s">
        <v>261</v>
      </c>
      <c r="S26" s="1156" t="s">
        <v>54</v>
      </c>
      <c r="T26" s="752" t="s">
        <v>11</v>
      </c>
      <c r="U26" s="752" t="s">
        <v>261</v>
      </c>
      <c r="V26" s="1155" t="s">
        <v>54</v>
      </c>
      <c r="W26" s="1157" t="s">
        <v>11</v>
      </c>
      <c r="X26" s="752" t="s">
        <v>261</v>
      </c>
      <c r="Y26" s="1156" t="s">
        <v>54</v>
      </c>
      <c r="Z26" s="752" t="s">
        <v>11</v>
      </c>
      <c r="AA26" s="752" t="s">
        <v>261</v>
      </c>
      <c r="AB26" s="1156" t="s">
        <v>54</v>
      </c>
      <c r="AC26" s="752" t="s">
        <v>11</v>
      </c>
      <c r="AD26" s="752" t="s">
        <v>261</v>
      </c>
      <c r="AE26" s="1155" t="s">
        <v>54</v>
      </c>
    </row>
    <row r="27" spans="1:31" x14ac:dyDescent="0.2">
      <c r="B27" s="1146"/>
      <c r="C27" s="1146"/>
      <c r="D27" s="2960" t="s">
        <v>415</v>
      </c>
      <c r="E27" s="1154">
        <v>348</v>
      </c>
      <c r="F27" s="1077">
        <v>743</v>
      </c>
      <c r="G27" s="1153">
        <v>46.837146702557206</v>
      </c>
      <c r="H27" s="1077">
        <v>236</v>
      </c>
      <c r="I27" s="1077">
        <v>636</v>
      </c>
      <c r="J27" s="1153">
        <v>37.106918238993707</v>
      </c>
      <c r="K27" s="1077">
        <v>584</v>
      </c>
      <c r="L27" s="1077">
        <v>1379</v>
      </c>
      <c r="M27" s="1153">
        <v>42.349528643944886</v>
      </c>
      <c r="N27" s="1154">
        <v>358</v>
      </c>
      <c r="O27" s="1077">
        <v>799</v>
      </c>
      <c r="P27" s="1153">
        <v>44.81</v>
      </c>
      <c r="Q27" s="1077">
        <v>278</v>
      </c>
      <c r="R27" s="1077">
        <v>715</v>
      </c>
      <c r="S27" s="1153">
        <v>38.879999999999995</v>
      </c>
      <c r="T27" s="1077">
        <v>636</v>
      </c>
      <c r="U27" s="1077">
        <v>1514</v>
      </c>
      <c r="V27" s="1153">
        <v>42.01</v>
      </c>
      <c r="W27" s="1154">
        <v>415</v>
      </c>
      <c r="X27" s="1077">
        <v>787</v>
      </c>
      <c r="Y27" s="1153">
        <v>52.7</v>
      </c>
      <c r="Z27" s="1077">
        <v>229</v>
      </c>
      <c r="AA27" s="1077">
        <v>705</v>
      </c>
      <c r="AB27" s="1153">
        <v>32.5</v>
      </c>
      <c r="AC27" s="1077">
        <v>644</v>
      </c>
      <c r="AD27" s="1077">
        <v>1490</v>
      </c>
      <c r="AE27" s="1153">
        <v>43.2</v>
      </c>
    </row>
    <row r="28" spans="1:31" x14ac:dyDescent="0.2">
      <c r="B28" s="1146"/>
      <c r="C28" s="1146"/>
      <c r="D28" s="2960" t="s">
        <v>417</v>
      </c>
      <c r="E28" s="1154">
        <v>141</v>
      </c>
      <c r="F28" s="1077">
        <v>334</v>
      </c>
      <c r="G28" s="1153">
        <v>42.215568862275447</v>
      </c>
      <c r="H28" s="1077">
        <v>113</v>
      </c>
      <c r="I28" s="1077">
        <v>300</v>
      </c>
      <c r="J28" s="1153">
        <v>37.666666666666664</v>
      </c>
      <c r="K28" s="1077">
        <v>254</v>
      </c>
      <c r="L28" s="1077">
        <v>634</v>
      </c>
      <c r="M28" s="1153">
        <v>40.063091482649845</v>
      </c>
      <c r="N28" s="1154">
        <v>164</v>
      </c>
      <c r="O28" s="1077">
        <v>359</v>
      </c>
      <c r="P28" s="1153">
        <v>45.68</v>
      </c>
      <c r="Q28" s="1077">
        <v>93</v>
      </c>
      <c r="R28" s="1077">
        <v>317</v>
      </c>
      <c r="S28" s="1153">
        <v>29.34</v>
      </c>
      <c r="T28" s="1077">
        <v>257</v>
      </c>
      <c r="U28" s="1077">
        <v>676</v>
      </c>
      <c r="V28" s="1153">
        <v>38.019999999999996</v>
      </c>
      <c r="W28" s="1154">
        <v>173</v>
      </c>
      <c r="X28" s="1077">
        <v>350</v>
      </c>
      <c r="Y28" s="1153">
        <v>49.4</v>
      </c>
      <c r="Z28" s="1077">
        <v>79</v>
      </c>
      <c r="AA28" s="1077">
        <v>309</v>
      </c>
      <c r="AB28" s="1153">
        <v>25.6</v>
      </c>
      <c r="AC28" s="1077">
        <v>252</v>
      </c>
      <c r="AD28" s="1077">
        <v>659</v>
      </c>
      <c r="AE28" s="1153">
        <v>38.200000000000003</v>
      </c>
    </row>
    <row r="29" spans="1:31" x14ac:dyDescent="0.2">
      <c r="B29" s="1146"/>
      <c r="C29" s="1146"/>
      <c r="D29" s="2960" t="s">
        <v>420</v>
      </c>
      <c r="E29" s="1154">
        <v>201</v>
      </c>
      <c r="F29" s="1077">
        <v>454</v>
      </c>
      <c r="G29" s="1153">
        <v>44.273127753303967</v>
      </c>
      <c r="H29" s="1077">
        <v>190</v>
      </c>
      <c r="I29" s="1077">
        <v>423</v>
      </c>
      <c r="J29" s="1153">
        <v>44.917257683215126</v>
      </c>
      <c r="K29" s="1077">
        <v>391</v>
      </c>
      <c r="L29" s="1077">
        <v>877</v>
      </c>
      <c r="M29" s="1153">
        <v>44.583808437856327</v>
      </c>
      <c r="N29" s="1154">
        <v>220</v>
      </c>
      <c r="O29" s="1077">
        <v>542</v>
      </c>
      <c r="P29" s="1153">
        <v>40.589999999999996</v>
      </c>
      <c r="Q29" s="1077">
        <v>199</v>
      </c>
      <c r="R29" s="1077">
        <v>508</v>
      </c>
      <c r="S29" s="1153">
        <v>39.17</v>
      </c>
      <c r="T29" s="1077">
        <v>419</v>
      </c>
      <c r="U29" s="1077">
        <v>1050</v>
      </c>
      <c r="V29" s="1153">
        <v>39.900000000000006</v>
      </c>
      <c r="W29" s="1154">
        <v>232</v>
      </c>
      <c r="X29" s="1077">
        <v>563</v>
      </c>
      <c r="Y29" s="1153">
        <v>41.2</v>
      </c>
      <c r="Z29" s="1077">
        <v>192</v>
      </c>
      <c r="AA29" s="1077">
        <v>529</v>
      </c>
      <c r="AB29" s="1153">
        <v>36.299999999999997</v>
      </c>
      <c r="AC29" s="1077">
        <v>424</v>
      </c>
      <c r="AD29" s="1077">
        <v>1092</v>
      </c>
      <c r="AE29" s="1153">
        <v>38.799999999999997</v>
      </c>
    </row>
    <row r="30" spans="1:31" x14ac:dyDescent="0.2">
      <c r="B30" s="1146"/>
      <c r="C30" s="1146"/>
      <c r="D30" s="2960" t="s">
        <v>418</v>
      </c>
      <c r="E30" s="1154">
        <v>341</v>
      </c>
      <c r="F30" s="1077">
        <v>880</v>
      </c>
      <c r="G30" s="1153">
        <v>38.75</v>
      </c>
      <c r="H30" s="1077">
        <v>143</v>
      </c>
      <c r="I30" s="1077">
        <v>771</v>
      </c>
      <c r="J30" s="1153">
        <v>18.547341115434502</v>
      </c>
      <c r="K30" s="1077">
        <v>484</v>
      </c>
      <c r="L30" s="1077">
        <v>1651</v>
      </c>
      <c r="M30" s="1153">
        <v>29.31556632344034</v>
      </c>
      <c r="N30" s="1154">
        <v>416</v>
      </c>
      <c r="O30" s="1077">
        <v>935</v>
      </c>
      <c r="P30" s="1153">
        <v>44.49</v>
      </c>
      <c r="Q30" s="1077">
        <v>148</v>
      </c>
      <c r="R30" s="1077">
        <v>828</v>
      </c>
      <c r="S30" s="1153">
        <v>17.87</v>
      </c>
      <c r="T30" s="1077">
        <v>564</v>
      </c>
      <c r="U30" s="1077">
        <v>1763</v>
      </c>
      <c r="V30" s="1153">
        <v>31.990000000000002</v>
      </c>
      <c r="W30" s="1154">
        <v>478</v>
      </c>
      <c r="X30" s="1077">
        <v>976</v>
      </c>
      <c r="Y30" s="1153">
        <v>49</v>
      </c>
      <c r="Z30" s="1077">
        <v>193</v>
      </c>
      <c r="AA30" s="1077">
        <v>870</v>
      </c>
      <c r="AB30" s="1153">
        <v>22.2</v>
      </c>
      <c r="AC30" s="1077">
        <v>671</v>
      </c>
      <c r="AD30" s="1077">
        <v>1846</v>
      </c>
      <c r="AE30" s="1153">
        <v>36.299999999999997</v>
      </c>
    </row>
    <row r="31" spans="1:31" x14ac:dyDescent="0.2">
      <c r="B31" s="1146"/>
      <c r="C31" s="1146"/>
      <c r="D31" s="2960" t="s">
        <v>421</v>
      </c>
      <c r="E31" s="1154">
        <v>254</v>
      </c>
      <c r="F31" s="1077">
        <v>593</v>
      </c>
      <c r="G31" s="1153">
        <v>42.833052276559862</v>
      </c>
      <c r="H31" s="1077">
        <v>235</v>
      </c>
      <c r="I31" s="1077">
        <v>513</v>
      </c>
      <c r="J31" s="1153">
        <v>45.808966861598435</v>
      </c>
      <c r="K31" s="1077">
        <v>489</v>
      </c>
      <c r="L31" s="1077">
        <v>1106</v>
      </c>
      <c r="M31" s="1153">
        <v>44.21338155515371</v>
      </c>
      <c r="N31" s="1154">
        <v>285</v>
      </c>
      <c r="O31" s="1077">
        <v>628</v>
      </c>
      <c r="P31" s="1153">
        <v>45.379999999999995</v>
      </c>
      <c r="Q31" s="1077">
        <v>227</v>
      </c>
      <c r="R31" s="1077">
        <v>543</v>
      </c>
      <c r="S31" s="1153">
        <v>41.8</v>
      </c>
      <c r="T31" s="1077">
        <v>512</v>
      </c>
      <c r="U31" s="1077">
        <v>1171</v>
      </c>
      <c r="V31" s="1153">
        <v>43.72</v>
      </c>
      <c r="W31" s="1154">
        <v>257</v>
      </c>
      <c r="X31" s="1077">
        <v>460</v>
      </c>
      <c r="Y31" s="1153">
        <v>55.9</v>
      </c>
      <c r="Z31" s="1077">
        <v>120</v>
      </c>
      <c r="AA31" s="1077">
        <v>400</v>
      </c>
      <c r="AB31" s="1153">
        <v>30</v>
      </c>
      <c r="AC31" s="1077">
        <v>377</v>
      </c>
      <c r="AD31" s="1077">
        <v>860</v>
      </c>
      <c r="AE31" s="1153">
        <v>43.8</v>
      </c>
    </row>
    <row r="32" spans="1:31" x14ac:dyDescent="0.2">
      <c r="B32" s="1146"/>
      <c r="C32" s="1146"/>
      <c r="D32" s="2960" t="s">
        <v>419</v>
      </c>
      <c r="E32" s="1154">
        <v>186</v>
      </c>
      <c r="F32" s="1077">
        <v>423</v>
      </c>
      <c r="G32" s="1153">
        <v>43.971631205673759</v>
      </c>
      <c r="H32" s="1077">
        <v>152</v>
      </c>
      <c r="I32" s="1077">
        <v>365</v>
      </c>
      <c r="J32" s="1153">
        <v>41.643835616438359</v>
      </c>
      <c r="K32" s="1077">
        <v>338</v>
      </c>
      <c r="L32" s="1077">
        <v>788</v>
      </c>
      <c r="M32" s="1153">
        <v>42.893401015228427</v>
      </c>
      <c r="N32" s="1154">
        <v>230</v>
      </c>
      <c r="O32" s="1077">
        <v>466</v>
      </c>
      <c r="P32" s="1153">
        <v>49.36</v>
      </c>
      <c r="Q32" s="1077">
        <v>136</v>
      </c>
      <c r="R32" s="1077">
        <v>402</v>
      </c>
      <c r="S32" s="1153">
        <v>33.83</v>
      </c>
      <c r="T32" s="1077">
        <v>366</v>
      </c>
      <c r="U32" s="1077">
        <v>868</v>
      </c>
      <c r="V32" s="1153">
        <v>42.17</v>
      </c>
      <c r="W32" s="1154">
        <v>228</v>
      </c>
      <c r="X32" s="1077">
        <v>473</v>
      </c>
      <c r="Y32" s="1153">
        <v>48.2</v>
      </c>
      <c r="Z32" s="1077">
        <v>122</v>
      </c>
      <c r="AA32" s="1077">
        <v>407</v>
      </c>
      <c r="AB32" s="1153">
        <v>30</v>
      </c>
      <c r="AC32" s="1077">
        <v>350</v>
      </c>
      <c r="AD32" s="1077">
        <v>880</v>
      </c>
      <c r="AE32" s="1153">
        <v>39.799999999999997</v>
      </c>
    </row>
    <row r="33" spans="1:31" x14ac:dyDescent="0.2">
      <c r="B33" s="1146"/>
      <c r="C33" s="1146"/>
      <c r="D33" s="2960" t="s">
        <v>416</v>
      </c>
      <c r="E33" s="1154">
        <v>183</v>
      </c>
      <c r="F33" s="1077">
        <v>423</v>
      </c>
      <c r="G33" s="1153">
        <v>43.262411347517734</v>
      </c>
      <c r="H33" s="1077">
        <v>167</v>
      </c>
      <c r="I33" s="1077">
        <v>365</v>
      </c>
      <c r="J33" s="1153">
        <v>45.753424657534246</v>
      </c>
      <c r="K33" s="1077">
        <v>350</v>
      </c>
      <c r="L33" s="1077">
        <v>788</v>
      </c>
      <c r="M33" s="1153">
        <v>44.416243654822338</v>
      </c>
      <c r="N33" s="1154">
        <v>213</v>
      </c>
      <c r="O33" s="1077">
        <v>449</v>
      </c>
      <c r="P33" s="1153">
        <v>47.44</v>
      </c>
      <c r="Q33" s="1077">
        <v>132</v>
      </c>
      <c r="R33" s="1077">
        <v>383</v>
      </c>
      <c r="S33" s="1153">
        <v>34.46</v>
      </c>
      <c r="T33" s="1077">
        <v>345</v>
      </c>
      <c r="U33" s="1077">
        <v>832</v>
      </c>
      <c r="V33" s="1153">
        <v>41.47</v>
      </c>
      <c r="W33" s="1154">
        <v>105</v>
      </c>
      <c r="X33" s="1077">
        <v>219</v>
      </c>
      <c r="Y33" s="1153">
        <v>47.9</v>
      </c>
      <c r="Z33" s="1077">
        <v>82</v>
      </c>
      <c r="AA33" s="1077">
        <v>204</v>
      </c>
      <c r="AB33" s="1153">
        <v>40.200000000000003</v>
      </c>
      <c r="AC33" s="1077">
        <v>187</v>
      </c>
      <c r="AD33" s="1077">
        <v>423</v>
      </c>
      <c r="AE33" s="1153">
        <v>44.2</v>
      </c>
    </row>
    <row r="34" spans="1:31" x14ac:dyDescent="0.2">
      <c r="B34" s="1146"/>
      <c r="C34" s="1146"/>
      <c r="D34" s="2960" t="s">
        <v>1126</v>
      </c>
      <c r="E34" s="1154">
        <v>87</v>
      </c>
      <c r="F34" s="1077">
        <v>205</v>
      </c>
      <c r="G34" s="1153">
        <v>42.439024390243901</v>
      </c>
      <c r="H34" s="1077">
        <v>92</v>
      </c>
      <c r="I34" s="1077">
        <v>174</v>
      </c>
      <c r="J34" s="1153">
        <v>52.873563218390807</v>
      </c>
      <c r="K34" s="1077">
        <v>179</v>
      </c>
      <c r="L34" s="1077">
        <v>379</v>
      </c>
      <c r="M34" s="1153">
        <v>47.229551451187334</v>
      </c>
      <c r="N34" s="1154">
        <v>89</v>
      </c>
      <c r="O34" s="1077">
        <v>215</v>
      </c>
      <c r="P34" s="1153">
        <v>41.4</v>
      </c>
      <c r="Q34" s="1077">
        <v>71</v>
      </c>
      <c r="R34" s="1077">
        <v>194</v>
      </c>
      <c r="S34" s="1153">
        <v>36.6</v>
      </c>
      <c r="T34" s="1077">
        <v>160</v>
      </c>
      <c r="U34" s="1077">
        <v>409</v>
      </c>
      <c r="V34" s="1153">
        <v>39.119999999999997</v>
      </c>
      <c r="W34" s="1154">
        <v>351</v>
      </c>
      <c r="X34" s="1077">
        <v>657</v>
      </c>
      <c r="Y34" s="1153">
        <v>53.4</v>
      </c>
      <c r="Z34" s="1077">
        <v>212</v>
      </c>
      <c r="AA34" s="1077">
        <v>566</v>
      </c>
      <c r="AB34" s="1153">
        <v>37.5</v>
      </c>
      <c r="AC34" s="1077">
        <v>563</v>
      </c>
      <c r="AD34" s="1077">
        <v>1222</v>
      </c>
      <c r="AE34" s="1153">
        <v>46.1</v>
      </c>
    </row>
    <row r="35" spans="1:31" x14ac:dyDescent="0.2">
      <c r="B35" s="1146"/>
      <c r="C35" s="1146"/>
      <c r="D35" s="2961" t="s">
        <v>414</v>
      </c>
      <c r="E35" s="1152">
        <v>148</v>
      </c>
      <c r="F35" s="1053">
        <v>400</v>
      </c>
      <c r="G35" s="1151">
        <v>37</v>
      </c>
      <c r="H35" s="1053">
        <v>97</v>
      </c>
      <c r="I35" s="1053">
        <v>348</v>
      </c>
      <c r="J35" s="1151">
        <v>27.873563218390807</v>
      </c>
      <c r="K35" s="1053">
        <v>245</v>
      </c>
      <c r="L35" s="1053">
        <v>748</v>
      </c>
      <c r="M35" s="1151">
        <v>32.754010695187162</v>
      </c>
      <c r="N35" s="1152">
        <v>148</v>
      </c>
      <c r="O35" s="1053">
        <v>418</v>
      </c>
      <c r="P35" s="1151">
        <v>35.410000000000004</v>
      </c>
      <c r="Q35" s="1053">
        <v>127</v>
      </c>
      <c r="R35" s="1053">
        <v>387</v>
      </c>
      <c r="S35" s="1151">
        <v>32.82</v>
      </c>
      <c r="T35" s="1053">
        <v>275</v>
      </c>
      <c r="U35" s="1053">
        <v>805</v>
      </c>
      <c r="V35" s="1151">
        <v>34.160000000000004</v>
      </c>
      <c r="W35" s="1152">
        <v>167</v>
      </c>
      <c r="X35" s="1053">
        <v>433</v>
      </c>
      <c r="Y35" s="1151">
        <v>38.6</v>
      </c>
      <c r="Z35" s="1053">
        <v>155</v>
      </c>
      <c r="AA35" s="1053">
        <v>402</v>
      </c>
      <c r="AB35" s="1151">
        <v>38.6</v>
      </c>
      <c r="AC35" s="1053">
        <v>322</v>
      </c>
      <c r="AD35" s="1053">
        <v>834</v>
      </c>
      <c r="AE35" s="1151">
        <v>38.6</v>
      </c>
    </row>
    <row r="36" spans="1:31" x14ac:dyDescent="0.2">
      <c r="B36" s="1146"/>
      <c r="C36" s="1146"/>
      <c r="D36" s="2962" t="s">
        <v>261</v>
      </c>
      <c r="E36" s="1150">
        <v>1889</v>
      </c>
      <c r="F36" s="1148">
        <v>4455</v>
      </c>
      <c r="G36" s="1147">
        <v>42.401795735129063</v>
      </c>
      <c r="H36" s="1148">
        <v>1425</v>
      </c>
      <c r="I36" s="1148">
        <v>3895</v>
      </c>
      <c r="J36" s="1147">
        <v>36.585365853658537</v>
      </c>
      <c r="K36" s="1148">
        <v>3314</v>
      </c>
      <c r="L36" s="1148">
        <v>8350</v>
      </c>
      <c r="M36" s="1149">
        <v>39.688622754491014</v>
      </c>
      <c r="N36" s="1148" t="s">
        <v>1125</v>
      </c>
      <c r="O36" s="1148" t="s">
        <v>1124</v>
      </c>
      <c r="P36" s="1147">
        <v>44.13</v>
      </c>
      <c r="Q36" s="1148" t="s">
        <v>1123</v>
      </c>
      <c r="R36" s="1148" t="s">
        <v>1122</v>
      </c>
      <c r="S36" s="1147">
        <v>32.99</v>
      </c>
      <c r="T36" s="1148">
        <v>3534</v>
      </c>
      <c r="U36" s="1148">
        <v>9088</v>
      </c>
      <c r="V36" s="1147">
        <v>38.89</v>
      </c>
      <c r="W36" s="1148">
        <v>2406</v>
      </c>
      <c r="X36" s="1148">
        <v>4918</v>
      </c>
      <c r="Y36" s="1147">
        <v>48.9</v>
      </c>
      <c r="Z36" s="1148">
        <v>1384</v>
      </c>
      <c r="AA36" s="1148">
        <v>4392</v>
      </c>
      <c r="AB36" s="1147">
        <v>31.5</v>
      </c>
      <c r="AC36" s="1148">
        <v>3790</v>
      </c>
      <c r="AD36" s="1148">
        <v>9306</v>
      </c>
      <c r="AE36" s="1147">
        <v>40.700000000000003</v>
      </c>
    </row>
    <row r="37" spans="1:31" x14ac:dyDescent="0.2">
      <c r="B37" s="1146"/>
      <c r="C37" s="1146"/>
      <c r="D37" s="1094"/>
      <c r="E37" s="1094"/>
      <c r="F37" s="1094"/>
      <c r="G37" s="1094"/>
      <c r="H37" s="1094"/>
      <c r="I37" s="1094"/>
      <c r="J37" s="1094"/>
      <c r="L37" s="1094"/>
      <c r="M37" s="1094"/>
      <c r="N37" s="1094"/>
      <c r="O37" s="1094"/>
    </row>
    <row r="38" spans="1:31" s="964" customFormat="1" ht="14.25" x14ac:dyDescent="0.2">
      <c r="A38" s="835">
        <v>5</v>
      </c>
      <c r="B38" s="835" t="s">
        <v>78</v>
      </c>
      <c r="C38" s="835"/>
      <c r="D38" s="3889" t="s">
        <v>1110</v>
      </c>
      <c r="E38" s="3890"/>
      <c r="F38" s="3890"/>
      <c r="G38" s="3890"/>
      <c r="H38" s="3890"/>
      <c r="I38" s="3890"/>
      <c r="J38" s="3890"/>
      <c r="K38" s="3890"/>
      <c r="L38" s="3890"/>
      <c r="M38" s="3890"/>
      <c r="N38" s="3890"/>
      <c r="O38" s="3890"/>
      <c r="P38" s="3890"/>
      <c r="Q38" s="3890"/>
      <c r="R38" s="3890"/>
      <c r="S38" s="3890"/>
      <c r="T38" s="3890"/>
      <c r="U38" s="3890"/>
      <c r="V38" s="3890"/>
      <c r="W38" s="3890"/>
      <c r="X38" s="3890"/>
      <c r="Y38" s="3890"/>
      <c r="Z38" s="3890"/>
      <c r="AA38" s="3890"/>
      <c r="AB38" s="3890"/>
      <c r="AC38" s="3890"/>
      <c r="AD38" s="3890"/>
      <c r="AE38" s="3891"/>
    </row>
    <row r="39" spans="1:31" s="964" customFormat="1" ht="30" customHeight="1" x14ac:dyDescent="0.2">
      <c r="A39" s="963">
        <v>6</v>
      </c>
      <c r="B39" s="963" t="s">
        <v>80</v>
      </c>
      <c r="C39" s="963"/>
      <c r="D39" s="3807" t="s">
        <v>1121</v>
      </c>
      <c r="E39" s="3808"/>
      <c r="F39" s="3808"/>
      <c r="G39" s="3808"/>
      <c r="H39" s="3808"/>
      <c r="I39" s="3808"/>
      <c r="J39" s="3808"/>
      <c r="K39" s="3808"/>
      <c r="L39" s="3808"/>
      <c r="M39" s="3808"/>
      <c r="N39" s="3808"/>
      <c r="O39" s="3808"/>
      <c r="P39" s="3808"/>
      <c r="Q39" s="3808"/>
      <c r="R39" s="3808"/>
      <c r="S39" s="3808"/>
      <c r="T39" s="3808"/>
      <c r="U39" s="3808"/>
      <c r="V39" s="3808"/>
      <c r="W39" s="3808"/>
      <c r="X39" s="3808"/>
      <c r="Y39" s="3808"/>
      <c r="Z39" s="3808"/>
      <c r="AA39" s="3808"/>
      <c r="AB39" s="3808"/>
      <c r="AC39" s="3808"/>
      <c r="AD39" s="3808"/>
      <c r="AE39" s="3809"/>
    </row>
    <row r="40" spans="1:31" s="964" customFormat="1" ht="13.9" customHeight="1" x14ac:dyDescent="0.2">
      <c r="A40" s="835">
        <v>7</v>
      </c>
      <c r="B40" s="835" t="s">
        <v>20</v>
      </c>
      <c r="C40" s="835"/>
      <c r="D40" s="3615" t="s">
        <v>1120</v>
      </c>
      <c r="E40" s="3616"/>
      <c r="F40" s="3616"/>
      <c r="G40" s="3616"/>
      <c r="H40" s="3616"/>
      <c r="I40" s="3616"/>
      <c r="J40" s="3616"/>
      <c r="K40" s="3616"/>
      <c r="L40" s="3616"/>
      <c r="M40" s="3616"/>
      <c r="N40" s="3616"/>
      <c r="O40" s="3616"/>
      <c r="P40" s="3616"/>
      <c r="Q40" s="3616"/>
      <c r="R40" s="3616"/>
      <c r="S40" s="3616"/>
      <c r="T40" s="3616"/>
      <c r="U40" s="3616"/>
      <c r="V40" s="3616"/>
      <c r="W40" s="3616"/>
      <c r="X40" s="3616"/>
      <c r="Y40" s="3616"/>
      <c r="Z40" s="3616"/>
      <c r="AA40" s="3616"/>
      <c r="AB40" s="3616"/>
      <c r="AC40" s="3616"/>
      <c r="AD40" s="3616"/>
      <c r="AE40" s="3617"/>
    </row>
    <row r="41" spans="1:31" x14ac:dyDescent="0.2">
      <c r="R41" s="1094"/>
    </row>
    <row r="42" spans="1:31" ht="15" customHeight="1" x14ac:dyDescent="0.2">
      <c r="I42" s="1974"/>
    </row>
    <row r="43" spans="1:31" ht="13.5" customHeight="1" x14ac:dyDescent="0.2"/>
    <row r="59" spans="18:18" x14ac:dyDescent="0.2">
      <c r="R59" s="1975"/>
    </row>
  </sheetData>
  <mergeCells count="23">
    <mergeCell ref="D3:AE3"/>
    <mergeCell ref="D4:AE4"/>
    <mergeCell ref="E8:G8"/>
    <mergeCell ref="H8:J8"/>
    <mergeCell ref="K8:M8"/>
    <mergeCell ref="N8:P8"/>
    <mergeCell ref="T8:V8"/>
    <mergeCell ref="Q8:S8"/>
    <mergeCell ref="D38:AE38"/>
    <mergeCell ref="D39:AE39"/>
    <mergeCell ref="D40:AE40"/>
    <mergeCell ref="E24:M24"/>
    <mergeCell ref="N24:V24"/>
    <mergeCell ref="W24:AE24"/>
    <mergeCell ref="E25:G25"/>
    <mergeCell ref="H25:J25"/>
    <mergeCell ref="K25:M25"/>
    <mergeCell ref="N25:P25"/>
    <mergeCell ref="Q25:S25"/>
    <mergeCell ref="T25:V25"/>
    <mergeCell ref="W25:Y25"/>
    <mergeCell ref="Z25:AB25"/>
    <mergeCell ref="AC25:AE25"/>
  </mergeCells>
  <pageMargins left="0.74803149606299213" right="0.74803149606299213" top="0.98425196850393704" bottom="0.98425196850393704" header="0.51181102362204722" footer="0.51181102362204722"/>
  <pageSetup paperSize="9" scale="57" orientation="landscape" r:id="rId1"/>
  <headerFooter alignWithMargins="0">
    <oddHeader>&amp;C&amp;"-,Bold"DEVELOPMENT INDICATORS 2014</oddHeader>
    <oddFooter>&amp;LDepartment of Planning, Monitoring and Evaluation (DPME). &amp;CPage &amp;P of &amp;N&amp;R&amp;D</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L34"/>
  <sheetViews>
    <sheetView showGridLines="0" view="pageBreakPreview" zoomScale="90" zoomScaleNormal="100" zoomScaleSheetLayoutView="90" workbookViewId="0">
      <selection activeCell="AL12" sqref="AL12"/>
    </sheetView>
  </sheetViews>
  <sheetFormatPr defaultColWidth="9.140625" defaultRowHeight="15" x14ac:dyDescent="0.2"/>
  <cols>
    <col min="1" max="1" width="3.7109375" style="1170" customWidth="1"/>
    <col min="2" max="2" width="14.42578125" style="886" customWidth="1"/>
    <col min="3" max="3" width="3.7109375" style="886" customWidth="1"/>
    <col min="4" max="4" width="18.7109375" style="865" customWidth="1"/>
    <col min="5" max="29" width="6.28515625" style="865" customWidth="1"/>
    <col min="30" max="30" width="5.7109375" style="865" customWidth="1"/>
    <col min="31" max="33" width="6.28515625" style="865" customWidth="1"/>
    <col min="34" max="34" width="5.7109375" style="865" customWidth="1"/>
    <col min="35" max="262" width="9.140625" style="865"/>
    <col min="263" max="263" width="3.7109375" style="865" customWidth="1"/>
    <col min="264" max="264" width="14.42578125" style="865" customWidth="1"/>
    <col min="265" max="265" width="3.7109375" style="865" customWidth="1"/>
    <col min="266" max="266" width="18.7109375" style="865" customWidth="1"/>
    <col min="267" max="289" width="6.28515625" style="865" customWidth="1"/>
    <col min="290" max="518" width="9.140625" style="865"/>
    <col min="519" max="519" width="3.7109375" style="865" customWidth="1"/>
    <col min="520" max="520" width="14.42578125" style="865" customWidth="1"/>
    <col min="521" max="521" width="3.7109375" style="865" customWidth="1"/>
    <col min="522" max="522" width="18.7109375" style="865" customWidth="1"/>
    <col min="523" max="545" width="6.28515625" style="865" customWidth="1"/>
    <col min="546" max="774" width="9.140625" style="865"/>
    <col min="775" max="775" width="3.7109375" style="865" customWidth="1"/>
    <col min="776" max="776" width="14.42578125" style="865" customWidth="1"/>
    <col min="777" max="777" width="3.7109375" style="865" customWidth="1"/>
    <col min="778" max="778" width="18.7109375" style="865" customWidth="1"/>
    <col min="779" max="801" width="6.28515625" style="865" customWidth="1"/>
    <col min="802" max="1030" width="9.140625" style="865"/>
    <col min="1031" max="1031" width="3.7109375" style="865" customWidth="1"/>
    <col min="1032" max="1032" width="14.42578125" style="865" customWidth="1"/>
    <col min="1033" max="1033" width="3.7109375" style="865" customWidth="1"/>
    <col min="1034" max="1034" width="18.7109375" style="865" customWidth="1"/>
    <col min="1035" max="1057" width="6.28515625" style="865" customWidth="1"/>
    <col min="1058" max="1286" width="9.140625" style="865"/>
    <col min="1287" max="1287" width="3.7109375" style="865" customWidth="1"/>
    <col min="1288" max="1288" width="14.42578125" style="865" customWidth="1"/>
    <col min="1289" max="1289" width="3.7109375" style="865" customWidth="1"/>
    <col min="1290" max="1290" width="18.7109375" style="865" customWidth="1"/>
    <col min="1291" max="1313" width="6.28515625" style="865" customWidth="1"/>
    <col min="1314" max="1542" width="9.140625" style="865"/>
    <col min="1543" max="1543" width="3.7109375" style="865" customWidth="1"/>
    <col min="1544" max="1544" width="14.42578125" style="865" customWidth="1"/>
    <col min="1545" max="1545" width="3.7109375" style="865" customWidth="1"/>
    <col min="1546" max="1546" width="18.7109375" style="865" customWidth="1"/>
    <col min="1547" max="1569" width="6.28515625" style="865" customWidth="1"/>
    <col min="1570" max="1798" width="9.140625" style="865"/>
    <col min="1799" max="1799" width="3.7109375" style="865" customWidth="1"/>
    <col min="1800" max="1800" width="14.42578125" style="865" customWidth="1"/>
    <col min="1801" max="1801" width="3.7109375" style="865" customWidth="1"/>
    <col min="1802" max="1802" width="18.7109375" style="865" customWidth="1"/>
    <col min="1803" max="1825" width="6.28515625" style="865" customWidth="1"/>
    <col min="1826" max="2054" width="9.140625" style="865"/>
    <col min="2055" max="2055" width="3.7109375" style="865" customWidth="1"/>
    <col min="2056" max="2056" width="14.42578125" style="865" customWidth="1"/>
    <col min="2057" max="2057" width="3.7109375" style="865" customWidth="1"/>
    <col min="2058" max="2058" width="18.7109375" style="865" customWidth="1"/>
    <col min="2059" max="2081" width="6.28515625" style="865" customWidth="1"/>
    <col min="2082" max="2310" width="9.140625" style="865"/>
    <col min="2311" max="2311" width="3.7109375" style="865" customWidth="1"/>
    <col min="2312" max="2312" width="14.42578125" style="865" customWidth="1"/>
    <col min="2313" max="2313" width="3.7109375" style="865" customWidth="1"/>
    <col min="2314" max="2314" width="18.7109375" style="865" customWidth="1"/>
    <col min="2315" max="2337" width="6.28515625" style="865" customWidth="1"/>
    <col min="2338" max="2566" width="9.140625" style="865"/>
    <col min="2567" max="2567" width="3.7109375" style="865" customWidth="1"/>
    <col min="2568" max="2568" width="14.42578125" style="865" customWidth="1"/>
    <col min="2569" max="2569" width="3.7109375" style="865" customWidth="1"/>
    <col min="2570" max="2570" width="18.7109375" style="865" customWidth="1"/>
    <col min="2571" max="2593" width="6.28515625" style="865" customWidth="1"/>
    <col min="2594" max="2822" width="9.140625" style="865"/>
    <col min="2823" max="2823" width="3.7109375" style="865" customWidth="1"/>
    <col min="2824" max="2824" width="14.42578125" style="865" customWidth="1"/>
    <col min="2825" max="2825" width="3.7109375" style="865" customWidth="1"/>
    <col min="2826" max="2826" width="18.7109375" style="865" customWidth="1"/>
    <col min="2827" max="2849" width="6.28515625" style="865" customWidth="1"/>
    <col min="2850" max="3078" width="9.140625" style="865"/>
    <col min="3079" max="3079" width="3.7109375" style="865" customWidth="1"/>
    <col min="3080" max="3080" width="14.42578125" style="865" customWidth="1"/>
    <col min="3081" max="3081" width="3.7109375" style="865" customWidth="1"/>
    <col min="3082" max="3082" width="18.7109375" style="865" customWidth="1"/>
    <col min="3083" max="3105" width="6.28515625" style="865" customWidth="1"/>
    <col min="3106" max="3334" width="9.140625" style="865"/>
    <col min="3335" max="3335" width="3.7109375" style="865" customWidth="1"/>
    <col min="3336" max="3336" width="14.42578125" style="865" customWidth="1"/>
    <col min="3337" max="3337" width="3.7109375" style="865" customWidth="1"/>
    <col min="3338" max="3338" width="18.7109375" style="865" customWidth="1"/>
    <col min="3339" max="3361" width="6.28515625" style="865" customWidth="1"/>
    <col min="3362" max="3590" width="9.140625" style="865"/>
    <col min="3591" max="3591" width="3.7109375" style="865" customWidth="1"/>
    <col min="3592" max="3592" width="14.42578125" style="865" customWidth="1"/>
    <col min="3593" max="3593" width="3.7109375" style="865" customWidth="1"/>
    <col min="3594" max="3594" width="18.7109375" style="865" customWidth="1"/>
    <col min="3595" max="3617" width="6.28515625" style="865" customWidth="1"/>
    <col min="3618" max="3846" width="9.140625" style="865"/>
    <col min="3847" max="3847" width="3.7109375" style="865" customWidth="1"/>
    <col min="3848" max="3848" width="14.42578125" style="865" customWidth="1"/>
    <col min="3849" max="3849" width="3.7109375" style="865" customWidth="1"/>
    <col min="3850" max="3850" width="18.7109375" style="865" customWidth="1"/>
    <col min="3851" max="3873" width="6.28515625" style="865" customWidth="1"/>
    <col min="3874" max="4102" width="9.140625" style="865"/>
    <col min="4103" max="4103" width="3.7109375" style="865" customWidth="1"/>
    <col min="4104" max="4104" width="14.42578125" style="865" customWidth="1"/>
    <col min="4105" max="4105" width="3.7109375" style="865" customWidth="1"/>
    <col min="4106" max="4106" width="18.7109375" style="865" customWidth="1"/>
    <col min="4107" max="4129" width="6.28515625" style="865" customWidth="1"/>
    <col min="4130" max="4358" width="9.140625" style="865"/>
    <col min="4359" max="4359" width="3.7109375" style="865" customWidth="1"/>
    <col min="4360" max="4360" width="14.42578125" style="865" customWidth="1"/>
    <col min="4361" max="4361" width="3.7109375" style="865" customWidth="1"/>
    <col min="4362" max="4362" width="18.7109375" style="865" customWidth="1"/>
    <col min="4363" max="4385" width="6.28515625" style="865" customWidth="1"/>
    <col min="4386" max="4614" width="9.140625" style="865"/>
    <col min="4615" max="4615" width="3.7109375" style="865" customWidth="1"/>
    <col min="4616" max="4616" width="14.42578125" style="865" customWidth="1"/>
    <col min="4617" max="4617" width="3.7109375" style="865" customWidth="1"/>
    <col min="4618" max="4618" width="18.7109375" style="865" customWidth="1"/>
    <col min="4619" max="4641" width="6.28515625" style="865" customWidth="1"/>
    <col min="4642" max="4870" width="9.140625" style="865"/>
    <col min="4871" max="4871" width="3.7109375" style="865" customWidth="1"/>
    <col min="4872" max="4872" width="14.42578125" style="865" customWidth="1"/>
    <col min="4873" max="4873" width="3.7109375" style="865" customWidth="1"/>
    <col min="4874" max="4874" width="18.7109375" style="865" customWidth="1"/>
    <col min="4875" max="4897" width="6.28515625" style="865" customWidth="1"/>
    <col min="4898" max="5126" width="9.140625" style="865"/>
    <col min="5127" max="5127" width="3.7109375" style="865" customWidth="1"/>
    <col min="5128" max="5128" width="14.42578125" style="865" customWidth="1"/>
    <col min="5129" max="5129" width="3.7109375" style="865" customWidth="1"/>
    <col min="5130" max="5130" width="18.7109375" style="865" customWidth="1"/>
    <col min="5131" max="5153" width="6.28515625" style="865" customWidth="1"/>
    <col min="5154" max="5382" width="9.140625" style="865"/>
    <col min="5383" max="5383" width="3.7109375" style="865" customWidth="1"/>
    <col min="5384" max="5384" width="14.42578125" style="865" customWidth="1"/>
    <col min="5385" max="5385" width="3.7109375" style="865" customWidth="1"/>
    <col min="5386" max="5386" width="18.7109375" style="865" customWidth="1"/>
    <col min="5387" max="5409" width="6.28515625" style="865" customWidth="1"/>
    <col min="5410" max="5638" width="9.140625" style="865"/>
    <col min="5639" max="5639" width="3.7109375" style="865" customWidth="1"/>
    <col min="5640" max="5640" width="14.42578125" style="865" customWidth="1"/>
    <col min="5641" max="5641" width="3.7109375" style="865" customWidth="1"/>
    <col min="5642" max="5642" width="18.7109375" style="865" customWidth="1"/>
    <col min="5643" max="5665" width="6.28515625" style="865" customWidth="1"/>
    <col min="5666" max="5894" width="9.140625" style="865"/>
    <col min="5895" max="5895" width="3.7109375" style="865" customWidth="1"/>
    <col min="5896" max="5896" width="14.42578125" style="865" customWidth="1"/>
    <col min="5897" max="5897" width="3.7109375" style="865" customWidth="1"/>
    <col min="5898" max="5898" width="18.7109375" style="865" customWidth="1"/>
    <col min="5899" max="5921" width="6.28515625" style="865" customWidth="1"/>
    <col min="5922" max="6150" width="9.140625" style="865"/>
    <col min="6151" max="6151" width="3.7109375" style="865" customWidth="1"/>
    <col min="6152" max="6152" width="14.42578125" style="865" customWidth="1"/>
    <col min="6153" max="6153" width="3.7109375" style="865" customWidth="1"/>
    <col min="6154" max="6154" width="18.7109375" style="865" customWidth="1"/>
    <col min="6155" max="6177" width="6.28515625" style="865" customWidth="1"/>
    <col min="6178" max="6406" width="9.140625" style="865"/>
    <col min="6407" max="6407" width="3.7109375" style="865" customWidth="1"/>
    <col min="6408" max="6408" width="14.42578125" style="865" customWidth="1"/>
    <col min="6409" max="6409" width="3.7109375" style="865" customWidth="1"/>
    <col min="6410" max="6410" width="18.7109375" style="865" customWidth="1"/>
    <col min="6411" max="6433" width="6.28515625" style="865" customWidth="1"/>
    <col min="6434" max="6662" width="9.140625" style="865"/>
    <col min="6663" max="6663" width="3.7109375" style="865" customWidth="1"/>
    <col min="6664" max="6664" width="14.42578125" style="865" customWidth="1"/>
    <col min="6665" max="6665" width="3.7109375" style="865" customWidth="1"/>
    <col min="6666" max="6666" width="18.7109375" style="865" customWidth="1"/>
    <col min="6667" max="6689" width="6.28515625" style="865" customWidth="1"/>
    <col min="6690" max="6918" width="9.140625" style="865"/>
    <col min="6919" max="6919" width="3.7109375" style="865" customWidth="1"/>
    <col min="6920" max="6920" width="14.42578125" style="865" customWidth="1"/>
    <col min="6921" max="6921" width="3.7109375" style="865" customWidth="1"/>
    <col min="6922" max="6922" width="18.7109375" style="865" customWidth="1"/>
    <col min="6923" max="6945" width="6.28515625" style="865" customWidth="1"/>
    <col min="6946" max="7174" width="9.140625" style="865"/>
    <col min="7175" max="7175" width="3.7109375" style="865" customWidth="1"/>
    <col min="7176" max="7176" width="14.42578125" style="865" customWidth="1"/>
    <col min="7177" max="7177" width="3.7109375" style="865" customWidth="1"/>
    <col min="7178" max="7178" width="18.7109375" style="865" customWidth="1"/>
    <col min="7179" max="7201" width="6.28515625" style="865" customWidth="1"/>
    <col min="7202" max="7430" width="9.140625" style="865"/>
    <col min="7431" max="7431" width="3.7109375" style="865" customWidth="1"/>
    <col min="7432" max="7432" width="14.42578125" style="865" customWidth="1"/>
    <col min="7433" max="7433" width="3.7109375" style="865" customWidth="1"/>
    <col min="7434" max="7434" width="18.7109375" style="865" customWidth="1"/>
    <col min="7435" max="7457" width="6.28515625" style="865" customWidth="1"/>
    <col min="7458" max="7686" width="9.140625" style="865"/>
    <col min="7687" max="7687" width="3.7109375" style="865" customWidth="1"/>
    <col min="7688" max="7688" width="14.42578125" style="865" customWidth="1"/>
    <col min="7689" max="7689" width="3.7109375" style="865" customWidth="1"/>
    <col min="7690" max="7690" width="18.7109375" style="865" customWidth="1"/>
    <col min="7691" max="7713" width="6.28515625" style="865" customWidth="1"/>
    <col min="7714" max="7942" width="9.140625" style="865"/>
    <col min="7943" max="7943" width="3.7109375" style="865" customWidth="1"/>
    <col min="7944" max="7944" width="14.42578125" style="865" customWidth="1"/>
    <col min="7945" max="7945" width="3.7109375" style="865" customWidth="1"/>
    <col min="7946" max="7946" width="18.7109375" style="865" customWidth="1"/>
    <col min="7947" max="7969" width="6.28515625" style="865" customWidth="1"/>
    <col min="7970" max="8198" width="9.140625" style="865"/>
    <col min="8199" max="8199" width="3.7109375" style="865" customWidth="1"/>
    <col min="8200" max="8200" width="14.42578125" style="865" customWidth="1"/>
    <col min="8201" max="8201" width="3.7109375" style="865" customWidth="1"/>
    <col min="8202" max="8202" width="18.7109375" style="865" customWidth="1"/>
    <col min="8203" max="8225" width="6.28515625" style="865" customWidth="1"/>
    <col min="8226" max="8454" width="9.140625" style="865"/>
    <col min="8455" max="8455" width="3.7109375" style="865" customWidth="1"/>
    <col min="8456" max="8456" width="14.42578125" style="865" customWidth="1"/>
    <col min="8457" max="8457" width="3.7109375" style="865" customWidth="1"/>
    <col min="8458" max="8458" width="18.7109375" style="865" customWidth="1"/>
    <col min="8459" max="8481" width="6.28515625" style="865" customWidth="1"/>
    <col min="8482" max="8710" width="9.140625" style="865"/>
    <col min="8711" max="8711" width="3.7109375" style="865" customWidth="1"/>
    <col min="8712" max="8712" width="14.42578125" style="865" customWidth="1"/>
    <col min="8713" max="8713" width="3.7109375" style="865" customWidth="1"/>
    <col min="8714" max="8714" width="18.7109375" style="865" customWidth="1"/>
    <col min="8715" max="8737" width="6.28515625" style="865" customWidth="1"/>
    <col min="8738" max="8966" width="9.140625" style="865"/>
    <col min="8967" max="8967" width="3.7109375" style="865" customWidth="1"/>
    <col min="8968" max="8968" width="14.42578125" style="865" customWidth="1"/>
    <col min="8969" max="8969" width="3.7109375" style="865" customWidth="1"/>
    <col min="8970" max="8970" width="18.7109375" style="865" customWidth="1"/>
    <col min="8971" max="8993" width="6.28515625" style="865" customWidth="1"/>
    <col min="8994" max="9222" width="9.140625" style="865"/>
    <col min="9223" max="9223" width="3.7109375" style="865" customWidth="1"/>
    <col min="9224" max="9224" width="14.42578125" style="865" customWidth="1"/>
    <col min="9225" max="9225" width="3.7109375" style="865" customWidth="1"/>
    <col min="9226" max="9226" width="18.7109375" style="865" customWidth="1"/>
    <col min="9227" max="9249" width="6.28515625" style="865" customWidth="1"/>
    <col min="9250" max="9478" width="9.140625" style="865"/>
    <col min="9479" max="9479" width="3.7109375" style="865" customWidth="1"/>
    <col min="9480" max="9480" width="14.42578125" style="865" customWidth="1"/>
    <col min="9481" max="9481" width="3.7109375" style="865" customWidth="1"/>
    <col min="9482" max="9482" width="18.7109375" style="865" customWidth="1"/>
    <col min="9483" max="9505" width="6.28515625" style="865" customWidth="1"/>
    <col min="9506" max="9734" width="9.140625" style="865"/>
    <col min="9735" max="9735" width="3.7109375" style="865" customWidth="1"/>
    <col min="9736" max="9736" width="14.42578125" style="865" customWidth="1"/>
    <col min="9737" max="9737" width="3.7109375" style="865" customWidth="1"/>
    <col min="9738" max="9738" width="18.7109375" style="865" customWidth="1"/>
    <col min="9739" max="9761" width="6.28515625" style="865" customWidth="1"/>
    <col min="9762" max="9990" width="9.140625" style="865"/>
    <col min="9991" max="9991" width="3.7109375" style="865" customWidth="1"/>
    <col min="9992" max="9992" width="14.42578125" style="865" customWidth="1"/>
    <col min="9993" max="9993" width="3.7109375" style="865" customWidth="1"/>
    <col min="9994" max="9994" width="18.7109375" style="865" customWidth="1"/>
    <col min="9995" max="10017" width="6.28515625" style="865" customWidth="1"/>
    <col min="10018" max="10246" width="9.140625" style="865"/>
    <col min="10247" max="10247" width="3.7109375" style="865" customWidth="1"/>
    <col min="10248" max="10248" width="14.42578125" style="865" customWidth="1"/>
    <col min="10249" max="10249" width="3.7109375" style="865" customWidth="1"/>
    <col min="10250" max="10250" width="18.7109375" style="865" customWidth="1"/>
    <col min="10251" max="10273" width="6.28515625" style="865" customWidth="1"/>
    <col min="10274" max="10502" width="9.140625" style="865"/>
    <col min="10503" max="10503" width="3.7109375" style="865" customWidth="1"/>
    <col min="10504" max="10504" width="14.42578125" style="865" customWidth="1"/>
    <col min="10505" max="10505" width="3.7109375" style="865" customWidth="1"/>
    <col min="10506" max="10506" width="18.7109375" style="865" customWidth="1"/>
    <col min="10507" max="10529" width="6.28515625" style="865" customWidth="1"/>
    <col min="10530" max="10758" width="9.140625" style="865"/>
    <col min="10759" max="10759" width="3.7109375" style="865" customWidth="1"/>
    <col min="10760" max="10760" width="14.42578125" style="865" customWidth="1"/>
    <col min="10761" max="10761" width="3.7109375" style="865" customWidth="1"/>
    <col min="10762" max="10762" width="18.7109375" style="865" customWidth="1"/>
    <col min="10763" max="10785" width="6.28515625" style="865" customWidth="1"/>
    <col min="10786" max="11014" width="9.140625" style="865"/>
    <col min="11015" max="11015" width="3.7109375" style="865" customWidth="1"/>
    <col min="11016" max="11016" width="14.42578125" style="865" customWidth="1"/>
    <col min="11017" max="11017" width="3.7109375" style="865" customWidth="1"/>
    <col min="11018" max="11018" width="18.7109375" style="865" customWidth="1"/>
    <col min="11019" max="11041" width="6.28515625" style="865" customWidth="1"/>
    <col min="11042" max="11270" width="9.140625" style="865"/>
    <col min="11271" max="11271" width="3.7109375" style="865" customWidth="1"/>
    <col min="11272" max="11272" width="14.42578125" style="865" customWidth="1"/>
    <col min="11273" max="11273" width="3.7109375" style="865" customWidth="1"/>
    <col min="11274" max="11274" width="18.7109375" style="865" customWidth="1"/>
    <col min="11275" max="11297" width="6.28515625" style="865" customWidth="1"/>
    <col min="11298" max="11526" width="9.140625" style="865"/>
    <col min="11527" max="11527" width="3.7109375" style="865" customWidth="1"/>
    <col min="11528" max="11528" width="14.42578125" style="865" customWidth="1"/>
    <col min="11529" max="11529" width="3.7109375" style="865" customWidth="1"/>
    <col min="11530" max="11530" width="18.7109375" style="865" customWidth="1"/>
    <col min="11531" max="11553" width="6.28515625" style="865" customWidth="1"/>
    <col min="11554" max="11782" width="9.140625" style="865"/>
    <col min="11783" max="11783" width="3.7109375" style="865" customWidth="1"/>
    <col min="11784" max="11784" width="14.42578125" style="865" customWidth="1"/>
    <col min="11785" max="11785" width="3.7109375" style="865" customWidth="1"/>
    <col min="11786" max="11786" width="18.7109375" style="865" customWidth="1"/>
    <col min="11787" max="11809" width="6.28515625" style="865" customWidth="1"/>
    <col min="11810" max="12038" width="9.140625" style="865"/>
    <col min="12039" max="12039" width="3.7109375" style="865" customWidth="1"/>
    <col min="12040" max="12040" width="14.42578125" style="865" customWidth="1"/>
    <col min="12041" max="12041" width="3.7109375" style="865" customWidth="1"/>
    <col min="12042" max="12042" width="18.7109375" style="865" customWidth="1"/>
    <col min="12043" max="12065" width="6.28515625" style="865" customWidth="1"/>
    <col min="12066" max="12294" width="9.140625" style="865"/>
    <col min="12295" max="12295" width="3.7109375" style="865" customWidth="1"/>
    <col min="12296" max="12296" width="14.42578125" style="865" customWidth="1"/>
    <col min="12297" max="12297" width="3.7109375" style="865" customWidth="1"/>
    <col min="12298" max="12298" width="18.7109375" style="865" customWidth="1"/>
    <col min="12299" max="12321" width="6.28515625" style="865" customWidth="1"/>
    <col min="12322" max="12550" width="9.140625" style="865"/>
    <col min="12551" max="12551" width="3.7109375" style="865" customWidth="1"/>
    <col min="12552" max="12552" width="14.42578125" style="865" customWidth="1"/>
    <col min="12553" max="12553" width="3.7109375" style="865" customWidth="1"/>
    <col min="12554" max="12554" width="18.7109375" style="865" customWidth="1"/>
    <col min="12555" max="12577" width="6.28515625" style="865" customWidth="1"/>
    <col min="12578" max="12806" width="9.140625" style="865"/>
    <col min="12807" max="12807" width="3.7109375" style="865" customWidth="1"/>
    <col min="12808" max="12808" width="14.42578125" style="865" customWidth="1"/>
    <col min="12809" max="12809" width="3.7109375" style="865" customWidth="1"/>
    <col min="12810" max="12810" width="18.7109375" style="865" customWidth="1"/>
    <col min="12811" max="12833" width="6.28515625" style="865" customWidth="1"/>
    <col min="12834" max="13062" width="9.140625" style="865"/>
    <col min="13063" max="13063" width="3.7109375" style="865" customWidth="1"/>
    <col min="13064" max="13064" width="14.42578125" style="865" customWidth="1"/>
    <col min="13065" max="13065" width="3.7109375" style="865" customWidth="1"/>
    <col min="13066" max="13066" width="18.7109375" style="865" customWidth="1"/>
    <col min="13067" max="13089" width="6.28515625" style="865" customWidth="1"/>
    <col min="13090" max="13318" width="9.140625" style="865"/>
    <col min="13319" max="13319" width="3.7109375" style="865" customWidth="1"/>
    <col min="13320" max="13320" width="14.42578125" style="865" customWidth="1"/>
    <col min="13321" max="13321" width="3.7109375" style="865" customWidth="1"/>
    <col min="13322" max="13322" width="18.7109375" style="865" customWidth="1"/>
    <col min="13323" max="13345" width="6.28515625" style="865" customWidth="1"/>
    <col min="13346" max="13574" width="9.140625" style="865"/>
    <col min="13575" max="13575" width="3.7109375" style="865" customWidth="1"/>
    <col min="13576" max="13576" width="14.42578125" style="865" customWidth="1"/>
    <col min="13577" max="13577" width="3.7109375" style="865" customWidth="1"/>
    <col min="13578" max="13578" width="18.7109375" style="865" customWidth="1"/>
    <col min="13579" max="13601" width="6.28515625" style="865" customWidth="1"/>
    <col min="13602" max="13830" width="9.140625" style="865"/>
    <col min="13831" max="13831" width="3.7109375" style="865" customWidth="1"/>
    <col min="13832" max="13832" width="14.42578125" style="865" customWidth="1"/>
    <col min="13833" max="13833" width="3.7109375" style="865" customWidth="1"/>
    <col min="13834" max="13834" width="18.7109375" style="865" customWidth="1"/>
    <col min="13835" max="13857" width="6.28515625" style="865" customWidth="1"/>
    <col min="13858" max="14086" width="9.140625" style="865"/>
    <col min="14087" max="14087" width="3.7109375" style="865" customWidth="1"/>
    <col min="14088" max="14088" width="14.42578125" style="865" customWidth="1"/>
    <col min="14089" max="14089" width="3.7109375" style="865" customWidth="1"/>
    <col min="14090" max="14090" width="18.7109375" style="865" customWidth="1"/>
    <col min="14091" max="14113" width="6.28515625" style="865" customWidth="1"/>
    <col min="14114" max="14342" width="9.140625" style="865"/>
    <col min="14343" max="14343" width="3.7109375" style="865" customWidth="1"/>
    <col min="14344" max="14344" width="14.42578125" style="865" customWidth="1"/>
    <col min="14345" max="14345" width="3.7109375" style="865" customWidth="1"/>
    <col min="14346" max="14346" width="18.7109375" style="865" customWidth="1"/>
    <col min="14347" max="14369" width="6.28515625" style="865" customWidth="1"/>
    <col min="14370" max="14598" width="9.140625" style="865"/>
    <col min="14599" max="14599" width="3.7109375" style="865" customWidth="1"/>
    <col min="14600" max="14600" width="14.42578125" style="865" customWidth="1"/>
    <col min="14601" max="14601" width="3.7109375" style="865" customWidth="1"/>
    <col min="14602" max="14602" width="18.7109375" style="865" customWidth="1"/>
    <col min="14603" max="14625" width="6.28515625" style="865" customWidth="1"/>
    <col min="14626" max="14854" width="9.140625" style="865"/>
    <col min="14855" max="14855" width="3.7109375" style="865" customWidth="1"/>
    <col min="14856" max="14856" width="14.42578125" style="865" customWidth="1"/>
    <col min="14857" max="14857" width="3.7109375" style="865" customWidth="1"/>
    <col min="14858" max="14858" width="18.7109375" style="865" customWidth="1"/>
    <col min="14859" max="14881" width="6.28515625" style="865" customWidth="1"/>
    <col min="14882" max="15110" width="9.140625" style="865"/>
    <col min="15111" max="15111" width="3.7109375" style="865" customWidth="1"/>
    <col min="15112" max="15112" width="14.42578125" style="865" customWidth="1"/>
    <col min="15113" max="15113" width="3.7109375" style="865" customWidth="1"/>
    <col min="15114" max="15114" width="18.7109375" style="865" customWidth="1"/>
    <col min="15115" max="15137" width="6.28515625" style="865" customWidth="1"/>
    <col min="15138" max="15366" width="9.140625" style="865"/>
    <col min="15367" max="15367" width="3.7109375" style="865" customWidth="1"/>
    <col min="15368" max="15368" width="14.42578125" style="865" customWidth="1"/>
    <col min="15369" max="15369" width="3.7109375" style="865" customWidth="1"/>
    <col min="15370" max="15370" width="18.7109375" style="865" customWidth="1"/>
    <col min="15371" max="15393" width="6.28515625" style="865" customWidth="1"/>
    <col min="15394" max="15622" width="9.140625" style="865"/>
    <col min="15623" max="15623" width="3.7109375" style="865" customWidth="1"/>
    <col min="15624" max="15624" width="14.42578125" style="865" customWidth="1"/>
    <col min="15625" max="15625" width="3.7109375" style="865" customWidth="1"/>
    <col min="15626" max="15626" width="18.7109375" style="865" customWidth="1"/>
    <col min="15627" max="15649" width="6.28515625" style="865" customWidth="1"/>
    <col min="15650" max="15878" width="9.140625" style="865"/>
    <col min="15879" max="15879" width="3.7109375" style="865" customWidth="1"/>
    <col min="15880" max="15880" width="14.42578125" style="865" customWidth="1"/>
    <col min="15881" max="15881" width="3.7109375" style="865" customWidth="1"/>
    <col min="15882" max="15882" width="18.7109375" style="865" customWidth="1"/>
    <col min="15883" max="15905" width="6.28515625" style="865" customWidth="1"/>
    <col min="15906" max="16134" width="9.140625" style="865"/>
    <col min="16135" max="16135" width="3.7109375" style="865" customWidth="1"/>
    <col min="16136" max="16136" width="14.42578125" style="865" customWidth="1"/>
    <col min="16137" max="16137" width="3.7109375" style="865" customWidth="1"/>
    <col min="16138" max="16138" width="18.7109375" style="865" customWidth="1"/>
    <col min="16139" max="16161" width="6.28515625" style="865" customWidth="1"/>
    <col min="16162" max="16384" width="9.140625" style="865"/>
  </cols>
  <sheetData>
    <row r="1" spans="1:38" x14ac:dyDescent="0.2">
      <c r="D1" s="885"/>
      <c r="E1" s="885"/>
      <c r="F1" s="885"/>
      <c r="G1" s="885"/>
      <c r="H1" s="885"/>
      <c r="I1" s="885"/>
      <c r="J1" s="885"/>
      <c r="K1" s="885"/>
      <c r="L1" s="885"/>
      <c r="M1" s="885"/>
      <c r="N1" s="885"/>
      <c r="O1" s="885"/>
      <c r="P1" s="885"/>
      <c r="Q1" s="885"/>
    </row>
    <row r="2" spans="1:38" ht="14.25" customHeight="1" x14ac:dyDescent="0.2">
      <c r="A2" s="453">
        <v>1</v>
      </c>
      <c r="B2" s="453" t="s">
        <v>24</v>
      </c>
      <c r="C2" s="453">
        <f>1+'Women legislative bodies'!C2</f>
        <v>57</v>
      </c>
      <c r="D2" s="3553" t="s">
        <v>1139</v>
      </c>
      <c r="E2" s="3554"/>
      <c r="F2" s="3554"/>
      <c r="G2" s="3554"/>
      <c r="H2" s="3554"/>
      <c r="I2" s="3554"/>
      <c r="J2" s="3554"/>
      <c r="K2" s="3554"/>
      <c r="L2" s="3554"/>
      <c r="M2" s="3554"/>
      <c r="N2" s="3554"/>
      <c r="O2" s="3554"/>
      <c r="P2" s="3554"/>
      <c r="Q2" s="3554"/>
      <c r="R2" s="3554"/>
      <c r="S2" s="3554"/>
      <c r="T2" s="3554"/>
      <c r="U2" s="3554"/>
      <c r="V2" s="3554"/>
      <c r="W2" s="3554"/>
      <c r="X2" s="3554"/>
      <c r="Y2" s="3554"/>
      <c r="Z2" s="3554"/>
      <c r="AA2" s="3554"/>
      <c r="AB2" s="3554"/>
      <c r="AC2" s="3554"/>
      <c r="AD2" s="3554"/>
      <c r="AE2" s="3554"/>
      <c r="AF2" s="3554"/>
      <c r="AG2" s="3554"/>
      <c r="AH2" s="3554"/>
      <c r="AI2" s="3554"/>
      <c r="AJ2" s="3555"/>
      <c r="AK2" s="77"/>
      <c r="AL2" s="77"/>
    </row>
    <row r="3" spans="1:38" ht="14.25" customHeight="1" x14ac:dyDescent="0.2">
      <c r="A3" s="453">
        <v>2</v>
      </c>
      <c r="B3" s="453" t="s">
        <v>26</v>
      </c>
      <c r="C3" s="453"/>
      <c r="D3" s="3553" t="s">
        <v>1144</v>
      </c>
      <c r="E3" s="3554"/>
      <c r="F3" s="3554"/>
      <c r="G3" s="3554"/>
      <c r="H3" s="3554"/>
      <c r="I3" s="3554"/>
      <c r="J3" s="3554"/>
      <c r="K3" s="3554"/>
      <c r="L3" s="3554"/>
      <c r="M3" s="3554"/>
      <c r="N3" s="3554"/>
      <c r="O3" s="3554"/>
      <c r="P3" s="3554"/>
      <c r="Q3" s="3554"/>
      <c r="R3" s="3554"/>
      <c r="S3" s="3554"/>
      <c r="T3" s="3554"/>
      <c r="U3" s="3554"/>
      <c r="V3" s="3554"/>
      <c r="W3" s="3554"/>
      <c r="X3" s="3554"/>
      <c r="Y3" s="3554"/>
      <c r="Z3" s="3554"/>
      <c r="AA3" s="3554"/>
      <c r="AB3" s="3554"/>
      <c r="AC3" s="3554"/>
      <c r="AD3" s="3554"/>
      <c r="AE3" s="3554"/>
      <c r="AF3" s="3554"/>
      <c r="AG3" s="3554"/>
      <c r="AH3" s="3554"/>
      <c r="AI3" s="3554"/>
      <c r="AJ3" s="3555"/>
      <c r="AK3" s="77"/>
      <c r="AL3" s="77"/>
    </row>
    <row r="4" spans="1:38" ht="15" customHeight="1" x14ac:dyDescent="0.2">
      <c r="A4" s="453">
        <v>3</v>
      </c>
      <c r="B4" s="453" t="s">
        <v>28</v>
      </c>
      <c r="C4" s="453"/>
      <c r="D4" s="3553" t="s">
        <v>1143</v>
      </c>
      <c r="E4" s="3554"/>
      <c r="F4" s="3554"/>
      <c r="G4" s="3554"/>
      <c r="H4" s="3554"/>
      <c r="I4" s="3554"/>
      <c r="J4" s="3554"/>
      <c r="K4" s="3554"/>
      <c r="L4" s="3554"/>
      <c r="M4" s="3554"/>
      <c r="N4" s="3554"/>
      <c r="O4" s="3554"/>
      <c r="P4" s="3554"/>
      <c r="Q4" s="3554"/>
      <c r="R4" s="3554"/>
      <c r="S4" s="3554"/>
      <c r="T4" s="3554"/>
      <c r="U4" s="3554"/>
      <c r="V4" s="3554"/>
      <c r="W4" s="3554"/>
      <c r="X4" s="3554"/>
      <c r="Y4" s="3554"/>
      <c r="Z4" s="3554"/>
      <c r="AA4" s="3554"/>
      <c r="AB4" s="3554"/>
      <c r="AC4" s="3554"/>
      <c r="AD4" s="3554"/>
      <c r="AE4" s="3554"/>
      <c r="AF4" s="3554"/>
      <c r="AG4" s="3554"/>
      <c r="AH4" s="3554"/>
      <c r="AI4" s="3554"/>
      <c r="AJ4" s="3555"/>
      <c r="AK4" s="77"/>
      <c r="AL4" s="77"/>
    </row>
    <row r="5" spans="1:38" ht="15" customHeight="1" x14ac:dyDescent="0.2">
      <c r="A5" s="453"/>
      <c r="B5" s="453"/>
      <c r="C5" s="453"/>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row>
    <row r="6" spans="1:38" ht="14.25" x14ac:dyDescent="0.2">
      <c r="A6" s="453">
        <v>4</v>
      </c>
      <c r="B6" s="650" t="s">
        <v>1</v>
      </c>
      <c r="C6" s="650"/>
      <c r="D6" s="1177"/>
      <c r="E6" s="1177"/>
      <c r="F6" s="1177"/>
      <c r="G6" s="1177"/>
      <c r="H6" s="1177"/>
      <c r="I6" s="1177"/>
      <c r="J6" s="1177"/>
      <c r="K6" s="1177"/>
      <c r="L6" s="1177"/>
      <c r="M6" s="1177"/>
      <c r="N6" s="1177"/>
      <c r="O6" s="1177"/>
      <c r="P6" s="1177"/>
      <c r="Q6" s="885"/>
      <c r="V6" s="77"/>
      <c r="W6" s="77"/>
      <c r="X6" s="77"/>
    </row>
    <row r="7" spans="1:38" s="77" customFormat="1" ht="11.25" customHeight="1" x14ac:dyDescent="0.2">
      <c r="A7" s="1174"/>
      <c r="B7" s="1173"/>
      <c r="C7" s="1173"/>
      <c r="D7" s="1176" t="s">
        <v>103</v>
      </c>
      <c r="E7" s="1176" t="s">
        <v>1139</v>
      </c>
      <c r="F7" s="1176"/>
      <c r="G7" s="120"/>
      <c r="H7" s="120"/>
      <c r="I7" s="120"/>
      <c r="J7" s="120"/>
      <c r="K7" s="120"/>
      <c r="L7" s="120"/>
      <c r="M7" s="130"/>
      <c r="N7" s="130"/>
      <c r="O7" s="133"/>
      <c r="P7" s="133"/>
      <c r="Q7" s="133"/>
      <c r="T7" s="186"/>
      <c r="U7" s="186"/>
      <c r="W7" s="1175"/>
      <c r="X7" s="1175"/>
      <c r="Y7" s="186"/>
      <c r="Z7" s="186"/>
      <c r="AA7" s="186"/>
      <c r="AB7" s="186"/>
      <c r="AC7" s="186"/>
      <c r="AE7" s="186"/>
      <c r="AF7" s="186"/>
      <c r="AG7" s="186"/>
    </row>
    <row r="8" spans="1:38" s="77" customFormat="1" ht="11.25" customHeight="1" x14ac:dyDescent="0.2">
      <c r="A8" s="1174"/>
      <c r="B8" s="1173"/>
      <c r="C8" s="1173"/>
      <c r="D8" s="2963"/>
      <c r="E8" s="3902">
        <v>2000</v>
      </c>
      <c r="F8" s="3903"/>
      <c r="G8" s="3904">
        <v>2001</v>
      </c>
      <c r="H8" s="3903"/>
      <c r="I8" s="3904">
        <v>2002</v>
      </c>
      <c r="J8" s="3903"/>
      <c r="K8" s="3904">
        <v>2003</v>
      </c>
      <c r="L8" s="3903"/>
      <c r="M8" s="3904">
        <v>2004</v>
      </c>
      <c r="N8" s="3903"/>
      <c r="O8" s="3904">
        <v>2005</v>
      </c>
      <c r="P8" s="3903"/>
      <c r="Q8" s="3904">
        <v>2006</v>
      </c>
      <c r="R8" s="3903"/>
      <c r="S8" s="3904">
        <v>2007</v>
      </c>
      <c r="T8" s="3903"/>
      <c r="U8" s="3904">
        <v>2008</v>
      </c>
      <c r="V8" s="3903"/>
      <c r="W8" s="3904" t="s">
        <v>48</v>
      </c>
      <c r="X8" s="3903"/>
      <c r="Y8" s="3904">
        <v>2010</v>
      </c>
      <c r="Z8" s="3903"/>
      <c r="AA8" s="3902">
        <v>2011</v>
      </c>
      <c r="AB8" s="3903"/>
      <c r="AC8" s="3902">
        <v>2012</v>
      </c>
      <c r="AD8" s="3903"/>
      <c r="AE8" s="3902">
        <v>2013</v>
      </c>
      <c r="AF8" s="3903"/>
      <c r="AG8" s="3902">
        <v>2014</v>
      </c>
      <c r="AH8" s="3903"/>
      <c r="AI8" s="3902">
        <v>2015</v>
      </c>
      <c r="AJ8" s="3903"/>
    </row>
    <row r="9" spans="1:38" s="77" customFormat="1" ht="15.75" customHeight="1" x14ac:dyDescent="0.2">
      <c r="A9" s="1174"/>
      <c r="B9" s="1173"/>
      <c r="C9" s="1173"/>
      <c r="D9" s="2964"/>
      <c r="E9" s="1961" t="s">
        <v>1142</v>
      </c>
      <c r="F9" s="1710" t="s">
        <v>1140</v>
      </c>
      <c r="G9" s="1437" t="s">
        <v>1142</v>
      </c>
      <c r="H9" s="1710" t="s">
        <v>1140</v>
      </c>
      <c r="I9" s="1437" t="s">
        <v>1142</v>
      </c>
      <c r="J9" s="1710" t="s">
        <v>1140</v>
      </c>
      <c r="K9" s="1437" t="s">
        <v>1142</v>
      </c>
      <c r="L9" s="1962" t="s">
        <v>1140</v>
      </c>
      <c r="M9" s="1437" t="s">
        <v>1142</v>
      </c>
      <c r="N9" s="1710" t="s">
        <v>1140</v>
      </c>
      <c r="O9" s="1437" t="s">
        <v>1142</v>
      </c>
      <c r="P9" s="1710" t="s">
        <v>1140</v>
      </c>
      <c r="Q9" s="1437" t="s">
        <v>1142</v>
      </c>
      <c r="R9" s="1710" t="s">
        <v>1140</v>
      </c>
      <c r="S9" s="1437" t="s">
        <v>1142</v>
      </c>
      <c r="T9" s="1710" t="s">
        <v>1140</v>
      </c>
      <c r="U9" s="770" t="s">
        <v>1141</v>
      </c>
      <c r="V9" s="1710" t="s">
        <v>1140</v>
      </c>
      <c r="W9" s="770" t="s">
        <v>1141</v>
      </c>
      <c r="X9" s="1710" t="s">
        <v>1140</v>
      </c>
      <c r="Y9" s="770" t="s">
        <v>1141</v>
      </c>
      <c r="Z9" s="1710" t="s">
        <v>1140</v>
      </c>
      <c r="AA9" s="770" t="s">
        <v>1141</v>
      </c>
      <c r="AB9" s="1710" t="s">
        <v>1140</v>
      </c>
      <c r="AC9" s="770" t="s">
        <v>1141</v>
      </c>
      <c r="AD9" s="1710" t="s">
        <v>1140</v>
      </c>
      <c r="AE9" s="770" t="s">
        <v>1141</v>
      </c>
      <c r="AF9" s="1710" t="s">
        <v>1140</v>
      </c>
      <c r="AG9" s="770" t="s">
        <v>1141</v>
      </c>
      <c r="AH9" s="1710" t="s">
        <v>1140</v>
      </c>
      <c r="AI9" s="770" t="s">
        <v>1141</v>
      </c>
      <c r="AJ9" s="1710" t="s">
        <v>1140</v>
      </c>
    </row>
    <row r="10" spans="1:38" s="77" customFormat="1" ht="22.5" x14ac:dyDescent="0.2">
      <c r="A10" s="1174"/>
      <c r="B10" s="1173"/>
      <c r="C10" s="1173"/>
      <c r="D10" s="2965" t="s">
        <v>1139</v>
      </c>
      <c r="E10" s="1963">
        <v>74</v>
      </c>
      <c r="F10" s="1082">
        <v>69</v>
      </c>
      <c r="G10" s="1964">
        <v>69</v>
      </c>
      <c r="H10" s="1965">
        <v>71</v>
      </c>
      <c r="I10" s="436">
        <v>70</v>
      </c>
      <c r="J10" s="1965">
        <v>72</v>
      </c>
      <c r="K10" s="1288">
        <v>75.099999999999994</v>
      </c>
      <c r="L10" s="1966">
        <v>77.5</v>
      </c>
      <c r="M10" s="1288">
        <v>85.6</v>
      </c>
      <c r="N10" s="1966">
        <v>85</v>
      </c>
      <c r="O10" s="1373">
        <v>85.7</v>
      </c>
      <c r="P10" s="1966">
        <v>84.2</v>
      </c>
      <c r="Q10" s="1288">
        <v>83.8</v>
      </c>
      <c r="R10" s="1966">
        <v>79.8</v>
      </c>
      <c r="S10" s="1288">
        <v>77.8</v>
      </c>
      <c r="T10" s="1966">
        <v>76.599999999999994</v>
      </c>
      <c r="U10" s="1288">
        <v>62</v>
      </c>
      <c r="V10" s="1966">
        <v>60.1</v>
      </c>
      <c r="W10" s="1288">
        <v>61.7</v>
      </c>
      <c r="X10" s="1966">
        <v>66</v>
      </c>
      <c r="Y10" s="1288">
        <v>67</v>
      </c>
      <c r="Z10" s="1966">
        <v>66</v>
      </c>
      <c r="AA10" s="1288">
        <v>65</v>
      </c>
      <c r="AB10" s="1966">
        <v>62</v>
      </c>
      <c r="AC10" s="1288">
        <v>63.1</v>
      </c>
      <c r="AD10" s="1966">
        <v>53.3</v>
      </c>
      <c r="AE10" s="1288">
        <v>57</v>
      </c>
      <c r="AF10" s="1966">
        <v>53</v>
      </c>
      <c r="AG10" s="1288">
        <v>66</v>
      </c>
      <c r="AH10" s="1966">
        <v>67</v>
      </c>
      <c r="AI10" s="1288">
        <v>66</v>
      </c>
      <c r="AJ10" s="1966">
        <v>68</v>
      </c>
    </row>
    <row r="11" spans="1:38" ht="14.25" x14ac:dyDescent="0.2">
      <c r="A11" s="453"/>
      <c r="B11" s="453"/>
      <c r="C11" s="453"/>
      <c r="D11" s="885"/>
      <c r="E11" s="1172">
        <f>+AVERAGE(E10:F10)</f>
        <v>71.5</v>
      </c>
      <c r="F11" s="1172"/>
      <c r="G11" s="1172">
        <f>+AVERAGE(G10:H10)</f>
        <v>70</v>
      </c>
      <c r="H11" s="1172"/>
      <c r="I11" s="1172">
        <f>+AVERAGE(I10:J10)</f>
        <v>71</v>
      </c>
      <c r="J11" s="1172"/>
      <c r="K11" s="1172">
        <f>+AVERAGE(K10:L10)</f>
        <v>76.3</v>
      </c>
      <c r="L11" s="1172"/>
      <c r="M11" s="1172">
        <f>+AVERAGE(M10:N10)</f>
        <v>85.3</v>
      </c>
      <c r="N11" s="1172"/>
      <c r="O11" s="1172">
        <f>+AVERAGE(O10:P10)</f>
        <v>84.95</v>
      </c>
      <c r="P11" s="1172"/>
      <c r="Q11" s="1172">
        <f>+AVERAGE(Q10:R10)</f>
        <v>81.8</v>
      </c>
      <c r="R11" s="1171"/>
      <c r="S11" s="1172">
        <f>+AVERAGE(S10:T10)</f>
        <v>77.199999999999989</v>
      </c>
      <c r="T11" s="1171"/>
      <c r="U11" s="1172">
        <f>+AVERAGE(U10:V10)</f>
        <v>61.05</v>
      </c>
      <c r="V11" s="1171"/>
      <c r="W11" s="1172">
        <f>+AVERAGE(W10:X10)</f>
        <v>63.85</v>
      </c>
      <c r="X11" s="1171"/>
      <c r="Y11" s="1172">
        <f>+AVERAGE(Y10:Z10)</f>
        <v>66.5</v>
      </c>
      <c r="Z11" s="1171"/>
      <c r="AA11" s="1172">
        <f>+AVERAGE(AA10:AB10)</f>
        <v>63.5</v>
      </c>
      <c r="AB11" s="1171"/>
      <c r="AC11" s="1172">
        <f>+AVERAGE(AC10:AD10)</f>
        <v>58.2</v>
      </c>
      <c r="AD11" s="1171"/>
      <c r="AE11" s="1172">
        <f>+AVERAGE(AE10:AF10)</f>
        <v>55</v>
      </c>
      <c r="AF11" s="1171"/>
      <c r="AG11" s="1172">
        <f>+AVERAGE(AG10:AH10)</f>
        <v>66.5</v>
      </c>
      <c r="AH11" s="1171"/>
      <c r="AJ11" s="1171"/>
    </row>
    <row r="12" spans="1:38" ht="14.25" x14ac:dyDescent="0.2">
      <c r="A12" s="453"/>
      <c r="B12" s="453"/>
      <c r="C12" s="453"/>
      <c r="D12" s="885"/>
      <c r="E12" s="885"/>
      <c r="F12" s="885"/>
      <c r="G12" s="885"/>
      <c r="H12" s="885"/>
      <c r="I12" s="885"/>
      <c r="J12" s="885"/>
      <c r="K12" s="885"/>
      <c r="L12" s="885"/>
      <c r="M12" s="885"/>
      <c r="N12" s="885"/>
      <c r="O12" s="885"/>
      <c r="P12" s="885"/>
      <c r="Q12" s="885"/>
    </row>
    <row r="13" spans="1:38" ht="14.25" x14ac:dyDescent="0.2">
      <c r="A13" s="453"/>
      <c r="B13" s="453"/>
      <c r="C13" s="453"/>
      <c r="D13" s="885"/>
      <c r="E13" s="885"/>
      <c r="F13" s="885"/>
      <c r="G13" s="885"/>
      <c r="H13" s="885"/>
      <c r="I13" s="885"/>
      <c r="J13" s="885"/>
      <c r="K13" s="885"/>
      <c r="L13" s="885"/>
      <c r="M13" s="885"/>
      <c r="N13" s="885"/>
      <c r="O13" s="885"/>
      <c r="P13" s="885"/>
      <c r="Q13" s="885"/>
    </row>
    <row r="14" spans="1:38" x14ac:dyDescent="0.2">
      <c r="D14" s="885"/>
      <c r="E14" s="885"/>
      <c r="F14" s="885"/>
      <c r="G14" s="885"/>
      <c r="H14" s="885"/>
      <c r="I14" s="885"/>
      <c r="J14" s="885"/>
      <c r="K14" s="885"/>
      <c r="L14" s="885"/>
      <c r="M14" s="885"/>
      <c r="N14" s="885"/>
      <c r="O14" s="885"/>
      <c r="P14" s="885"/>
      <c r="Q14" s="885"/>
    </row>
    <row r="15" spans="1:38" x14ac:dyDescent="0.2">
      <c r="D15" s="885"/>
      <c r="E15" s="885"/>
      <c r="F15" s="885"/>
      <c r="G15" s="885"/>
      <c r="H15" s="885"/>
      <c r="I15" s="885"/>
      <c r="J15" s="885"/>
      <c r="K15" s="885"/>
      <c r="L15" s="885"/>
      <c r="M15" s="885"/>
      <c r="N15" s="885"/>
      <c r="O15" s="885"/>
      <c r="P15" s="885"/>
      <c r="Q15" s="885"/>
    </row>
    <row r="16" spans="1:38" x14ac:dyDescent="0.2">
      <c r="D16" s="885"/>
      <c r="E16" s="885"/>
      <c r="F16" s="885"/>
      <c r="G16" s="885"/>
      <c r="H16" s="885"/>
      <c r="I16" s="885"/>
      <c r="J16" s="885"/>
      <c r="K16" s="885"/>
      <c r="L16" s="885"/>
      <c r="M16" s="885"/>
      <c r="N16" s="885"/>
      <c r="O16" s="885"/>
      <c r="P16" s="885"/>
      <c r="Q16" s="885"/>
    </row>
    <row r="17" spans="1:36" x14ac:dyDescent="0.2">
      <c r="D17" s="885"/>
      <c r="E17" s="885"/>
      <c r="F17" s="885"/>
      <c r="G17" s="885"/>
      <c r="H17" s="885"/>
      <c r="I17" s="885"/>
      <c r="J17" s="885"/>
      <c r="K17" s="885"/>
      <c r="L17" s="885"/>
      <c r="M17" s="885"/>
      <c r="N17" s="885"/>
      <c r="O17" s="885"/>
      <c r="P17" s="885"/>
      <c r="Q17" s="885"/>
    </row>
    <row r="18" spans="1:36" x14ac:dyDescent="0.2">
      <c r="D18" s="885"/>
      <c r="E18" s="885"/>
      <c r="F18" s="885"/>
      <c r="G18" s="885"/>
      <c r="H18" s="885"/>
      <c r="I18" s="885"/>
      <c r="J18" s="885"/>
      <c r="K18" s="885"/>
      <c r="L18" s="885"/>
      <c r="M18" s="885"/>
      <c r="N18" s="885"/>
      <c r="O18" s="885"/>
      <c r="P18" s="885"/>
      <c r="Q18" s="885"/>
    </row>
    <row r="19" spans="1:36" x14ac:dyDescent="0.2">
      <c r="D19" s="885"/>
      <c r="E19" s="885"/>
      <c r="F19" s="885"/>
      <c r="G19" s="885"/>
      <c r="H19" s="885"/>
      <c r="I19" s="885"/>
      <c r="J19" s="885"/>
      <c r="K19" s="885"/>
      <c r="L19" s="885"/>
      <c r="M19" s="885"/>
      <c r="N19" s="885"/>
      <c r="O19" s="885"/>
      <c r="P19" s="885"/>
      <c r="Q19" s="885"/>
    </row>
    <row r="20" spans="1:36" x14ac:dyDescent="0.2">
      <c r="D20" s="885"/>
      <c r="E20" s="885"/>
      <c r="F20" s="885"/>
      <c r="G20" s="885"/>
      <c r="H20" s="885"/>
      <c r="I20" s="885"/>
      <c r="J20" s="885"/>
      <c r="K20" s="885"/>
      <c r="L20" s="885"/>
      <c r="M20" s="885"/>
      <c r="N20" s="885"/>
      <c r="O20" s="885"/>
      <c r="P20" s="885"/>
      <c r="Q20" s="885"/>
    </row>
    <row r="21" spans="1:36" x14ac:dyDescent="0.2">
      <c r="D21" s="885"/>
      <c r="E21" s="885"/>
      <c r="F21" s="885"/>
      <c r="G21" s="885"/>
      <c r="H21" s="885"/>
      <c r="I21" s="885"/>
      <c r="J21" s="885"/>
      <c r="K21" s="885"/>
      <c r="L21" s="885"/>
      <c r="M21" s="885"/>
      <c r="N21" s="885"/>
      <c r="O21" s="885"/>
      <c r="P21" s="885"/>
      <c r="Q21" s="885"/>
    </row>
    <row r="22" spans="1:36" x14ac:dyDescent="0.2">
      <c r="D22" s="885"/>
      <c r="E22" s="885"/>
      <c r="F22" s="885"/>
      <c r="G22" s="885"/>
      <c r="H22" s="885"/>
      <c r="I22" s="885"/>
      <c r="J22" s="885"/>
      <c r="K22" s="885"/>
      <c r="L22" s="885"/>
      <c r="M22" s="885"/>
      <c r="N22" s="885"/>
      <c r="O22" s="885"/>
      <c r="P22" s="885"/>
      <c r="Q22" s="885"/>
    </row>
    <row r="23" spans="1:36" x14ac:dyDescent="0.2">
      <c r="D23" s="885"/>
      <c r="E23" s="885"/>
      <c r="F23" s="885"/>
      <c r="G23" s="885"/>
      <c r="H23" s="885"/>
      <c r="I23" s="885"/>
      <c r="J23" s="885"/>
      <c r="K23" s="885"/>
      <c r="L23" s="885"/>
      <c r="M23" s="885"/>
      <c r="N23" s="885"/>
      <c r="O23" s="885"/>
      <c r="P23" s="885"/>
      <c r="Q23" s="885"/>
    </row>
    <row r="24" spans="1:36" x14ac:dyDescent="0.2">
      <c r="D24" s="885"/>
      <c r="E24" s="885"/>
      <c r="F24" s="885"/>
      <c r="G24" s="885"/>
      <c r="H24" s="885"/>
      <c r="I24" s="885"/>
      <c r="J24" s="885"/>
      <c r="K24" s="885"/>
      <c r="L24" s="885"/>
      <c r="M24" s="885"/>
      <c r="N24" s="885"/>
      <c r="O24" s="885"/>
      <c r="P24" s="885"/>
      <c r="Q24" s="885"/>
    </row>
    <row r="25" spans="1:36" x14ac:dyDescent="0.2">
      <c r="D25" s="885"/>
      <c r="E25" s="885"/>
      <c r="F25" s="885"/>
      <c r="G25" s="885"/>
      <c r="H25" s="885"/>
      <c r="I25" s="885"/>
      <c r="J25" s="885"/>
      <c r="K25" s="885"/>
      <c r="L25" s="885"/>
      <c r="M25" s="885"/>
      <c r="N25" s="885"/>
      <c r="O25" s="885"/>
      <c r="P25" s="885"/>
      <c r="Q25" s="885"/>
    </row>
    <row r="26" spans="1:36" x14ac:dyDescent="0.2">
      <c r="D26" s="885"/>
      <c r="E26" s="885"/>
      <c r="F26" s="885"/>
      <c r="G26" s="885"/>
      <c r="H26" s="885"/>
      <c r="I26" s="885"/>
      <c r="J26" s="885"/>
      <c r="K26" s="885"/>
      <c r="L26" s="885"/>
      <c r="M26" s="885"/>
      <c r="N26" s="885"/>
      <c r="O26" s="885"/>
      <c r="P26" s="885"/>
      <c r="Q26" s="885"/>
    </row>
    <row r="27" spans="1:36" x14ac:dyDescent="0.2">
      <c r="D27" s="885"/>
      <c r="E27" s="885"/>
      <c r="F27" s="885"/>
      <c r="G27" s="885"/>
      <c r="H27" s="885"/>
      <c r="I27" s="885"/>
      <c r="J27" s="885"/>
      <c r="K27" s="885"/>
      <c r="L27" s="885"/>
      <c r="M27" s="885"/>
      <c r="N27" s="885"/>
      <c r="O27" s="885"/>
      <c r="P27" s="885"/>
      <c r="Q27" s="885"/>
    </row>
    <row r="28" spans="1:36" ht="15" customHeight="1" x14ac:dyDescent="0.2">
      <c r="A28" s="453">
        <v>5</v>
      </c>
      <c r="B28" s="453" t="s">
        <v>78</v>
      </c>
      <c r="C28" s="453"/>
      <c r="D28" s="3553" t="s">
        <v>398</v>
      </c>
      <c r="E28" s="3554"/>
      <c r="F28" s="3554"/>
      <c r="G28" s="3554"/>
      <c r="H28" s="3554"/>
      <c r="I28" s="3554"/>
      <c r="J28" s="3554"/>
      <c r="K28" s="3554"/>
      <c r="L28" s="3554"/>
      <c r="M28" s="3554"/>
      <c r="N28" s="3554"/>
      <c r="O28" s="3554"/>
      <c r="P28" s="3554"/>
      <c r="Q28" s="3554"/>
      <c r="R28" s="3554"/>
      <c r="S28" s="3554"/>
      <c r="T28" s="3554"/>
      <c r="U28" s="3554"/>
      <c r="V28" s="3554"/>
      <c r="W28" s="3554"/>
      <c r="X28" s="3554"/>
      <c r="Y28" s="3554"/>
      <c r="Z28" s="3554"/>
      <c r="AA28" s="3554"/>
      <c r="AB28" s="3554"/>
      <c r="AC28" s="3554"/>
      <c r="AD28" s="3554"/>
      <c r="AE28" s="3554"/>
      <c r="AF28" s="3554"/>
      <c r="AG28" s="3554"/>
      <c r="AH28" s="3554"/>
      <c r="AI28" s="3554"/>
      <c r="AJ28" s="3555"/>
    </row>
    <row r="29" spans="1:36" ht="14.25" customHeight="1" x14ac:dyDescent="0.2">
      <c r="A29" s="472">
        <v>6</v>
      </c>
      <c r="B29" s="472" t="s">
        <v>80</v>
      </c>
      <c r="C29" s="472"/>
      <c r="D29" s="3553" t="s">
        <v>1138</v>
      </c>
      <c r="E29" s="3554"/>
      <c r="F29" s="3554"/>
      <c r="G29" s="3554"/>
      <c r="H29" s="3554"/>
      <c r="I29" s="3554"/>
      <c r="J29" s="3554"/>
      <c r="K29" s="3554"/>
      <c r="L29" s="3554"/>
      <c r="M29" s="3554"/>
      <c r="N29" s="3554"/>
      <c r="O29" s="3554"/>
      <c r="P29" s="3554"/>
      <c r="Q29" s="3554"/>
      <c r="R29" s="3554"/>
      <c r="S29" s="3554"/>
      <c r="T29" s="3554"/>
      <c r="U29" s="3554"/>
      <c r="V29" s="3554"/>
      <c r="W29" s="3554"/>
      <c r="X29" s="3554"/>
      <c r="Y29" s="3554"/>
      <c r="Z29" s="3554"/>
      <c r="AA29" s="3554"/>
      <c r="AB29" s="3554"/>
      <c r="AC29" s="3554"/>
      <c r="AD29" s="3554"/>
      <c r="AE29" s="3554"/>
      <c r="AF29" s="3554"/>
      <c r="AG29" s="3554"/>
      <c r="AH29" s="3554"/>
      <c r="AI29" s="3554"/>
      <c r="AJ29" s="3555"/>
    </row>
    <row r="30" spans="1:36" ht="21" customHeight="1" x14ac:dyDescent="0.2">
      <c r="A30" s="453">
        <v>7</v>
      </c>
      <c r="B30" s="453" t="s">
        <v>20</v>
      </c>
      <c r="C30" s="453"/>
      <c r="D30" s="3553" t="s">
        <v>1137</v>
      </c>
      <c r="E30" s="3554"/>
      <c r="F30" s="3554"/>
      <c r="G30" s="3554"/>
      <c r="H30" s="3554"/>
      <c r="I30" s="3554"/>
      <c r="J30" s="3554"/>
      <c r="K30" s="3554"/>
      <c r="L30" s="3554"/>
      <c r="M30" s="3554"/>
      <c r="N30" s="3554"/>
      <c r="O30" s="3554"/>
      <c r="P30" s="3554"/>
      <c r="Q30" s="3554"/>
      <c r="R30" s="3554"/>
      <c r="S30" s="3554"/>
      <c r="T30" s="3554"/>
      <c r="U30" s="3554"/>
      <c r="V30" s="3554"/>
      <c r="W30" s="3554"/>
      <c r="X30" s="3554"/>
      <c r="Y30" s="3554"/>
      <c r="Z30" s="3554"/>
      <c r="AA30" s="3554"/>
      <c r="AB30" s="3554"/>
      <c r="AC30" s="3554"/>
      <c r="AD30" s="3554"/>
      <c r="AE30" s="3554"/>
      <c r="AF30" s="3554"/>
      <c r="AG30" s="3554"/>
      <c r="AH30" s="3554"/>
      <c r="AI30" s="3554"/>
      <c r="AJ30" s="3555"/>
    </row>
    <row r="31" spans="1:36" ht="42.75" customHeight="1" x14ac:dyDescent="0.2">
      <c r="A31" s="453">
        <v>8</v>
      </c>
      <c r="B31" s="453" t="s">
        <v>22</v>
      </c>
      <c r="D31" s="3553" t="s">
        <v>1136</v>
      </c>
      <c r="E31" s="3554"/>
      <c r="F31" s="3554"/>
      <c r="G31" s="3554"/>
      <c r="H31" s="3554"/>
      <c r="I31" s="3554"/>
      <c r="J31" s="3554"/>
      <c r="K31" s="3554"/>
      <c r="L31" s="3554"/>
      <c r="M31" s="3554"/>
      <c r="N31" s="3554"/>
      <c r="O31" s="3554"/>
      <c r="P31" s="3554"/>
      <c r="Q31" s="3554"/>
      <c r="R31" s="3554"/>
      <c r="S31" s="3554"/>
      <c r="T31" s="3554"/>
      <c r="U31" s="3554"/>
      <c r="V31" s="3554"/>
      <c r="W31" s="3554"/>
      <c r="X31" s="3554"/>
      <c r="Y31" s="3554"/>
      <c r="Z31" s="3554"/>
      <c r="AA31" s="3554"/>
      <c r="AB31" s="3554"/>
      <c r="AC31" s="3554"/>
      <c r="AD31" s="3554"/>
      <c r="AE31" s="3554"/>
      <c r="AF31" s="3554"/>
      <c r="AG31" s="3554"/>
      <c r="AH31" s="3554"/>
      <c r="AI31" s="3554"/>
      <c r="AJ31" s="3555"/>
    </row>
    <row r="33" spans="5:17" hidden="1" x14ac:dyDescent="0.2">
      <c r="E33" s="865">
        <v>2000</v>
      </c>
      <c r="F33" s="865">
        <v>2001</v>
      </c>
      <c r="G33" s="865">
        <v>2002</v>
      </c>
      <c r="H33" s="865">
        <v>2003</v>
      </c>
      <c r="I33" s="865">
        <v>2004</v>
      </c>
      <c r="J33" s="865">
        <v>2005</v>
      </c>
      <c r="K33" s="865">
        <v>2006</v>
      </c>
      <c r="L33" s="865">
        <v>2007</v>
      </c>
      <c r="M33" s="865">
        <v>2008</v>
      </c>
      <c r="N33" s="865">
        <v>2009</v>
      </c>
      <c r="O33" s="865">
        <v>2010</v>
      </c>
      <c r="P33" s="865">
        <v>2011</v>
      </c>
      <c r="Q33" s="865">
        <v>2012</v>
      </c>
    </row>
    <row r="34" spans="5:17" hidden="1" x14ac:dyDescent="0.2">
      <c r="E34" s="865">
        <v>72</v>
      </c>
      <c r="F34" s="865">
        <v>70</v>
      </c>
      <c r="G34" s="865">
        <v>71</v>
      </c>
      <c r="H34" s="865">
        <v>76</v>
      </c>
      <c r="I34" s="865">
        <v>85</v>
      </c>
      <c r="J34" s="865">
        <v>85</v>
      </c>
      <c r="K34" s="865">
        <v>82</v>
      </c>
      <c r="L34" s="865">
        <v>77</v>
      </c>
      <c r="M34" s="865">
        <v>61</v>
      </c>
      <c r="N34" s="865">
        <v>64</v>
      </c>
      <c r="O34" s="865">
        <v>67</v>
      </c>
      <c r="P34" s="865">
        <v>64</v>
      </c>
      <c r="Q34" s="865">
        <v>58</v>
      </c>
    </row>
  </sheetData>
  <mergeCells count="23">
    <mergeCell ref="I8:J8"/>
    <mergeCell ref="K8:L8"/>
    <mergeCell ref="M8:N8"/>
    <mergeCell ref="O8:P8"/>
    <mergeCell ref="D2:AJ2"/>
    <mergeCell ref="D3:AJ3"/>
    <mergeCell ref="D4:AJ4"/>
    <mergeCell ref="D30:AJ30"/>
    <mergeCell ref="D31:AJ31"/>
    <mergeCell ref="AC8:AD8"/>
    <mergeCell ref="AE8:AF8"/>
    <mergeCell ref="AI8:AJ8"/>
    <mergeCell ref="Q8:R8"/>
    <mergeCell ref="S8:T8"/>
    <mergeCell ref="U8:V8"/>
    <mergeCell ref="W8:X8"/>
    <mergeCell ref="Y8:Z8"/>
    <mergeCell ref="AA8:AB8"/>
    <mergeCell ref="AG8:AH8"/>
    <mergeCell ref="D28:AJ28"/>
    <mergeCell ref="D29:AJ29"/>
    <mergeCell ref="E8:F8"/>
    <mergeCell ref="G8:H8"/>
  </mergeCells>
  <pageMargins left="0.74803149606299213" right="0.74803149606299213" top="0.98425196850393704" bottom="0.98425196850393704" header="0.51181102362204722" footer="0.51181102362204722"/>
  <pageSetup paperSize="9" scale="5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D42"/>
  <sheetViews>
    <sheetView showGridLines="0" view="pageBreakPreview" topLeftCell="M1" zoomScaleNormal="100" zoomScaleSheetLayoutView="100" workbookViewId="0">
      <selection activeCell="D29" sqref="D29:AJ32"/>
    </sheetView>
  </sheetViews>
  <sheetFormatPr defaultColWidth="9.140625" defaultRowHeight="15" x14ac:dyDescent="0.25"/>
  <cols>
    <col min="1" max="1" width="3.7109375" style="670" customWidth="1"/>
    <col min="2" max="2" width="14.42578125" style="670" customWidth="1"/>
    <col min="3" max="3" width="3.7109375" style="670" customWidth="1"/>
    <col min="4" max="4" width="18.7109375" style="229" customWidth="1"/>
    <col min="5" max="24" width="6.7109375" style="229" customWidth="1"/>
    <col min="25" max="29" width="6.28515625" style="229" customWidth="1"/>
    <col min="30" max="30" width="5.140625" style="229" customWidth="1"/>
    <col min="31" max="33" width="6.28515625" style="229" customWidth="1"/>
    <col min="34" max="34" width="5.140625" style="229" customWidth="1"/>
    <col min="35" max="35" width="6.28515625" style="229" customWidth="1"/>
    <col min="36" max="36" width="5.140625" style="229" customWidth="1"/>
    <col min="37" max="262" width="9.140625" style="229"/>
    <col min="263" max="263" width="3.7109375" style="229" customWidth="1"/>
    <col min="264" max="264" width="14.42578125" style="229" customWidth="1"/>
    <col min="265" max="265" width="3.7109375" style="229" customWidth="1"/>
    <col min="266" max="266" width="18.7109375" style="229" customWidth="1"/>
    <col min="267" max="286" width="6.7109375" style="229" customWidth="1"/>
    <col min="287" max="289" width="6.28515625" style="229" customWidth="1"/>
    <col min="290" max="518" width="9.140625" style="229"/>
    <col min="519" max="519" width="3.7109375" style="229" customWidth="1"/>
    <col min="520" max="520" width="14.42578125" style="229" customWidth="1"/>
    <col min="521" max="521" width="3.7109375" style="229" customWidth="1"/>
    <col min="522" max="522" width="18.7109375" style="229" customWidth="1"/>
    <col min="523" max="542" width="6.7109375" style="229" customWidth="1"/>
    <col min="543" max="545" width="6.28515625" style="229" customWidth="1"/>
    <col min="546" max="774" width="9.140625" style="229"/>
    <col min="775" max="775" width="3.7109375" style="229" customWidth="1"/>
    <col min="776" max="776" width="14.42578125" style="229" customWidth="1"/>
    <col min="777" max="777" width="3.7109375" style="229" customWidth="1"/>
    <col min="778" max="778" width="18.7109375" style="229" customWidth="1"/>
    <col min="779" max="798" width="6.7109375" style="229" customWidth="1"/>
    <col min="799" max="801" width="6.28515625" style="229" customWidth="1"/>
    <col min="802" max="1030" width="9.140625" style="229"/>
    <col min="1031" max="1031" width="3.7109375" style="229" customWidth="1"/>
    <col min="1032" max="1032" width="14.42578125" style="229" customWidth="1"/>
    <col min="1033" max="1033" width="3.7109375" style="229" customWidth="1"/>
    <col min="1034" max="1034" width="18.7109375" style="229" customWidth="1"/>
    <col min="1035" max="1054" width="6.7109375" style="229" customWidth="1"/>
    <col min="1055" max="1057" width="6.28515625" style="229" customWidth="1"/>
    <col min="1058" max="1286" width="9.140625" style="229"/>
    <col min="1287" max="1287" width="3.7109375" style="229" customWidth="1"/>
    <col min="1288" max="1288" width="14.42578125" style="229" customWidth="1"/>
    <col min="1289" max="1289" width="3.7109375" style="229" customWidth="1"/>
    <col min="1290" max="1290" width="18.7109375" style="229" customWidth="1"/>
    <col min="1291" max="1310" width="6.7109375" style="229" customWidth="1"/>
    <col min="1311" max="1313" width="6.28515625" style="229" customWidth="1"/>
    <col min="1314" max="1542" width="9.140625" style="229"/>
    <col min="1543" max="1543" width="3.7109375" style="229" customWidth="1"/>
    <col min="1544" max="1544" width="14.42578125" style="229" customWidth="1"/>
    <col min="1545" max="1545" width="3.7109375" style="229" customWidth="1"/>
    <col min="1546" max="1546" width="18.7109375" style="229" customWidth="1"/>
    <col min="1547" max="1566" width="6.7109375" style="229" customWidth="1"/>
    <col min="1567" max="1569" width="6.28515625" style="229" customWidth="1"/>
    <col min="1570" max="1798" width="9.140625" style="229"/>
    <col min="1799" max="1799" width="3.7109375" style="229" customWidth="1"/>
    <col min="1800" max="1800" width="14.42578125" style="229" customWidth="1"/>
    <col min="1801" max="1801" width="3.7109375" style="229" customWidth="1"/>
    <col min="1802" max="1802" width="18.7109375" style="229" customWidth="1"/>
    <col min="1803" max="1822" width="6.7109375" style="229" customWidth="1"/>
    <col min="1823" max="1825" width="6.28515625" style="229" customWidth="1"/>
    <col min="1826" max="2054" width="9.140625" style="229"/>
    <col min="2055" max="2055" width="3.7109375" style="229" customWidth="1"/>
    <col min="2056" max="2056" width="14.42578125" style="229" customWidth="1"/>
    <col min="2057" max="2057" width="3.7109375" style="229" customWidth="1"/>
    <col min="2058" max="2058" width="18.7109375" style="229" customWidth="1"/>
    <col min="2059" max="2078" width="6.7109375" style="229" customWidth="1"/>
    <col min="2079" max="2081" width="6.28515625" style="229" customWidth="1"/>
    <col min="2082" max="2310" width="9.140625" style="229"/>
    <col min="2311" max="2311" width="3.7109375" style="229" customWidth="1"/>
    <col min="2312" max="2312" width="14.42578125" style="229" customWidth="1"/>
    <col min="2313" max="2313" width="3.7109375" style="229" customWidth="1"/>
    <col min="2314" max="2314" width="18.7109375" style="229" customWidth="1"/>
    <col min="2315" max="2334" width="6.7109375" style="229" customWidth="1"/>
    <col min="2335" max="2337" width="6.28515625" style="229" customWidth="1"/>
    <col min="2338" max="2566" width="9.140625" style="229"/>
    <col min="2567" max="2567" width="3.7109375" style="229" customWidth="1"/>
    <col min="2568" max="2568" width="14.42578125" style="229" customWidth="1"/>
    <col min="2569" max="2569" width="3.7109375" style="229" customWidth="1"/>
    <col min="2570" max="2570" width="18.7109375" style="229" customWidth="1"/>
    <col min="2571" max="2590" width="6.7109375" style="229" customWidth="1"/>
    <col min="2591" max="2593" width="6.28515625" style="229" customWidth="1"/>
    <col min="2594" max="2822" width="9.140625" style="229"/>
    <col min="2823" max="2823" width="3.7109375" style="229" customWidth="1"/>
    <col min="2824" max="2824" width="14.42578125" style="229" customWidth="1"/>
    <col min="2825" max="2825" width="3.7109375" style="229" customWidth="1"/>
    <col min="2826" max="2826" width="18.7109375" style="229" customWidth="1"/>
    <col min="2827" max="2846" width="6.7109375" style="229" customWidth="1"/>
    <col min="2847" max="2849" width="6.28515625" style="229" customWidth="1"/>
    <col min="2850" max="3078" width="9.140625" style="229"/>
    <col min="3079" max="3079" width="3.7109375" style="229" customWidth="1"/>
    <col min="3080" max="3080" width="14.42578125" style="229" customWidth="1"/>
    <col min="3081" max="3081" width="3.7109375" style="229" customWidth="1"/>
    <col min="3082" max="3082" width="18.7109375" style="229" customWidth="1"/>
    <col min="3083" max="3102" width="6.7109375" style="229" customWidth="1"/>
    <col min="3103" max="3105" width="6.28515625" style="229" customWidth="1"/>
    <col min="3106" max="3334" width="9.140625" style="229"/>
    <col min="3335" max="3335" width="3.7109375" style="229" customWidth="1"/>
    <col min="3336" max="3336" width="14.42578125" style="229" customWidth="1"/>
    <col min="3337" max="3337" width="3.7109375" style="229" customWidth="1"/>
    <col min="3338" max="3338" width="18.7109375" style="229" customWidth="1"/>
    <col min="3339" max="3358" width="6.7109375" style="229" customWidth="1"/>
    <col min="3359" max="3361" width="6.28515625" style="229" customWidth="1"/>
    <col min="3362" max="3590" width="9.140625" style="229"/>
    <col min="3591" max="3591" width="3.7109375" style="229" customWidth="1"/>
    <col min="3592" max="3592" width="14.42578125" style="229" customWidth="1"/>
    <col min="3593" max="3593" width="3.7109375" style="229" customWidth="1"/>
    <col min="3594" max="3594" width="18.7109375" style="229" customWidth="1"/>
    <col min="3595" max="3614" width="6.7109375" style="229" customWidth="1"/>
    <col min="3615" max="3617" width="6.28515625" style="229" customWidth="1"/>
    <col min="3618" max="3846" width="9.140625" style="229"/>
    <col min="3847" max="3847" width="3.7109375" style="229" customWidth="1"/>
    <col min="3848" max="3848" width="14.42578125" style="229" customWidth="1"/>
    <col min="3849" max="3849" width="3.7109375" style="229" customWidth="1"/>
    <col min="3850" max="3850" width="18.7109375" style="229" customWidth="1"/>
    <col min="3851" max="3870" width="6.7109375" style="229" customWidth="1"/>
    <col min="3871" max="3873" width="6.28515625" style="229" customWidth="1"/>
    <col min="3874" max="4102" width="9.140625" style="229"/>
    <col min="4103" max="4103" width="3.7109375" style="229" customWidth="1"/>
    <col min="4104" max="4104" width="14.42578125" style="229" customWidth="1"/>
    <col min="4105" max="4105" width="3.7109375" style="229" customWidth="1"/>
    <col min="4106" max="4106" width="18.7109375" style="229" customWidth="1"/>
    <col min="4107" max="4126" width="6.7109375" style="229" customWidth="1"/>
    <col min="4127" max="4129" width="6.28515625" style="229" customWidth="1"/>
    <col min="4130" max="4358" width="9.140625" style="229"/>
    <col min="4359" max="4359" width="3.7109375" style="229" customWidth="1"/>
    <col min="4360" max="4360" width="14.42578125" style="229" customWidth="1"/>
    <col min="4361" max="4361" width="3.7109375" style="229" customWidth="1"/>
    <col min="4362" max="4362" width="18.7109375" style="229" customWidth="1"/>
    <col min="4363" max="4382" width="6.7109375" style="229" customWidth="1"/>
    <col min="4383" max="4385" width="6.28515625" style="229" customWidth="1"/>
    <col min="4386" max="4614" width="9.140625" style="229"/>
    <col min="4615" max="4615" width="3.7109375" style="229" customWidth="1"/>
    <col min="4616" max="4616" width="14.42578125" style="229" customWidth="1"/>
    <col min="4617" max="4617" width="3.7109375" style="229" customWidth="1"/>
    <col min="4618" max="4618" width="18.7109375" style="229" customWidth="1"/>
    <col min="4619" max="4638" width="6.7109375" style="229" customWidth="1"/>
    <col min="4639" max="4641" width="6.28515625" style="229" customWidth="1"/>
    <col min="4642" max="4870" width="9.140625" style="229"/>
    <col min="4871" max="4871" width="3.7109375" style="229" customWidth="1"/>
    <col min="4872" max="4872" width="14.42578125" style="229" customWidth="1"/>
    <col min="4873" max="4873" width="3.7109375" style="229" customWidth="1"/>
    <col min="4874" max="4874" width="18.7109375" style="229" customWidth="1"/>
    <col min="4875" max="4894" width="6.7109375" style="229" customWidth="1"/>
    <col min="4895" max="4897" width="6.28515625" style="229" customWidth="1"/>
    <col min="4898" max="5126" width="9.140625" style="229"/>
    <col min="5127" max="5127" width="3.7109375" style="229" customWidth="1"/>
    <col min="5128" max="5128" width="14.42578125" style="229" customWidth="1"/>
    <col min="5129" max="5129" width="3.7109375" style="229" customWidth="1"/>
    <col min="5130" max="5130" width="18.7109375" style="229" customWidth="1"/>
    <col min="5131" max="5150" width="6.7109375" style="229" customWidth="1"/>
    <col min="5151" max="5153" width="6.28515625" style="229" customWidth="1"/>
    <col min="5154" max="5382" width="9.140625" style="229"/>
    <col min="5383" max="5383" width="3.7109375" style="229" customWidth="1"/>
    <col min="5384" max="5384" width="14.42578125" style="229" customWidth="1"/>
    <col min="5385" max="5385" width="3.7109375" style="229" customWidth="1"/>
    <col min="5386" max="5386" width="18.7109375" style="229" customWidth="1"/>
    <col min="5387" max="5406" width="6.7109375" style="229" customWidth="1"/>
    <col min="5407" max="5409" width="6.28515625" style="229" customWidth="1"/>
    <col min="5410" max="5638" width="9.140625" style="229"/>
    <col min="5639" max="5639" width="3.7109375" style="229" customWidth="1"/>
    <col min="5640" max="5640" width="14.42578125" style="229" customWidth="1"/>
    <col min="5641" max="5641" width="3.7109375" style="229" customWidth="1"/>
    <col min="5642" max="5642" width="18.7109375" style="229" customWidth="1"/>
    <col min="5643" max="5662" width="6.7109375" style="229" customWidth="1"/>
    <col min="5663" max="5665" width="6.28515625" style="229" customWidth="1"/>
    <col min="5666" max="5894" width="9.140625" style="229"/>
    <col min="5895" max="5895" width="3.7109375" style="229" customWidth="1"/>
    <col min="5896" max="5896" width="14.42578125" style="229" customWidth="1"/>
    <col min="5897" max="5897" width="3.7109375" style="229" customWidth="1"/>
    <col min="5898" max="5898" width="18.7109375" style="229" customWidth="1"/>
    <col min="5899" max="5918" width="6.7109375" style="229" customWidth="1"/>
    <col min="5919" max="5921" width="6.28515625" style="229" customWidth="1"/>
    <col min="5922" max="6150" width="9.140625" style="229"/>
    <col min="6151" max="6151" width="3.7109375" style="229" customWidth="1"/>
    <col min="6152" max="6152" width="14.42578125" style="229" customWidth="1"/>
    <col min="6153" max="6153" width="3.7109375" style="229" customWidth="1"/>
    <col min="6154" max="6154" width="18.7109375" style="229" customWidth="1"/>
    <col min="6155" max="6174" width="6.7109375" style="229" customWidth="1"/>
    <col min="6175" max="6177" width="6.28515625" style="229" customWidth="1"/>
    <col min="6178" max="6406" width="9.140625" style="229"/>
    <col min="6407" max="6407" width="3.7109375" style="229" customWidth="1"/>
    <col min="6408" max="6408" width="14.42578125" style="229" customWidth="1"/>
    <col min="6409" max="6409" width="3.7109375" style="229" customWidth="1"/>
    <col min="6410" max="6410" width="18.7109375" style="229" customWidth="1"/>
    <col min="6411" max="6430" width="6.7109375" style="229" customWidth="1"/>
    <col min="6431" max="6433" width="6.28515625" style="229" customWidth="1"/>
    <col min="6434" max="6662" width="9.140625" style="229"/>
    <col min="6663" max="6663" width="3.7109375" style="229" customWidth="1"/>
    <col min="6664" max="6664" width="14.42578125" style="229" customWidth="1"/>
    <col min="6665" max="6665" width="3.7109375" style="229" customWidth="1"/>
    <col min="6666" max="6666" width="18.7109375" style="229" customWidth="1"/>
    <col min="6667" max="6686" width="6.7109375" style="229" customWidth="1"/>
    <col min="6687" max="6689" width="6.28515625" style="229" customWidth="1"/>
    <col min="6690" max="6918" width="9.140625" style="229"/>
    <col min="6919" max="6919" width="3.7109375" style="229" customWidth="1"/>
    <col min="6920" max="6920" width="14.42578125" style="229" customWidth="1"/>
    <col min="6921" max="6921" width="3.7109375" style="229" customWidth="1"/>
    <col min="6922" max="6922" width="18.7109375" style="229" customWidth="1"/>
    <col min="6923" max="6942" width="6.7109375" style="229" customWidth="1"/>
    <col min="6943" max="6945" width="6.28515625" style="229" customWidth="1"/>
    <col min="6946" max="7174" width="9.140625" style="229"/>
    <col min="7175" max="7175" width="3.7109375" style="229" customWidth="1"/>
    <col min="7176" max="7176" width="14.42578125" style="229" customWidth="1"/>
    <col min="7177" max="7177" width="3.7109375" style="229" customWidth="1"/>
    <col min="7178" max="7178" width="18.7109375" style="229" customWidth="1"/>
    <col min="7179" max="7198" width="6.7109375" style="229" customWidth="1"/>
    <col min="7199" max="7201" width="6.28515625" style="229" customWidth="1"/>
    <col min="7202" max="7430" width="9.140625" style="229"/>
    <col min="7431" max="7431" width="3.7109375" style="229" customWidth="1"/>
    <col min="7432" max="7432" width="14.42578125" style="229" customWidth="1"/>
    <col min="7433" max="7433" width="3.7109375" style="229" customWidth="1"/>
    <col min="7434" max="7434" width="18.7109375" style="229" customWidth="1"/>
    <col min="7435" max="7454" width="6.7109375" style="229" customWidth="1"/>
    <col min="7455" max="7457" width="6.28515625" style="229" customWidth="1"/>
    <col min="7458" max="7686" width="9.140625" style="229"/>
    <col min="7687" max="7687" width="3.7109375" style="229" customWidth="1"/>
    <col min="7688" max="7688" width="14.42578125" style="229" customWidth="1"/>
    <col min="7689" max="7689" width="3.7109375" style="229" customWidth="1"/>
    <col min="7690" max="7690" width="18.7109375" style="229" customWidth="1"/>
    <col min="7691" max="7710" width="6.7109375" style="229" customWidth="1"/>
    <col min="7711" max="7713" width="6.28515625" style="229" customWidth="1"/>
    <col min="7714" max="7942" width="9.140625" style="229"/>
    <col min="7943" max="7943" width="3.7109375" style="229" customWidth="1"/>
    <col min="7944" max="7944" width="14.42578125" style="229" customWidth="1"/>
    <col min="7945" max="7945" width="3.7109375" style="229" customWidth="1"/>
    <col min="7946" max="7946" width="18.7109375" style="229" customWidth="1"/>
    <col min="7947" max="7966" width="6.7109375" style="229" customWidth="1"/>
    <col min="7967" max="7969" width="6.28515625" style="229" customWidth="1"/>
    <col min="7970" max="8198" width="9.140625" style="229"/>
    <col min="8199" max="8199" width="3.7109375" style="229" customWidth="1"/>
    <col min="8200" max="8200" width="14.42578125" style="229" customWidth="1"/>
    <col min="8201" max="8201" width="3.7109375" style="229" customWidth="1"/>
    <col min="8202" max="8202" width="18.7109375" style="229" customWidth="1"/>
    <col min="8203" max="8222" width="6.7109375" style="229" customWidth="1"/>
    <col min="8223" max="8225" width="6.28515625" style="229" customWidth="1"/>
    <col min="8226" max="8454" width="9.140625" style="229"/>
    <col min="8455" max="8455" width="3.7109375" style="229" customWidth="1"/>
    <col min="8456" max="8456" width="14.42578125" style="229" customWidth="1"/>
    <col min="8457" max="8457" width="3.7109375" style="229" customWidth="1"/>
    <col min="8458" max="8458" width="18.7109375" style="229" customWidth="1"/>
    <col min="8459" max="8478" width="6.7109375" style="229" customWidth="1"/>
    <col min="8479" max="8481" width="6.28515625" style="229" customWidth="1"/>
    <col min="8482" max="8710" width="9.140625" style="229"/>
    <col min="8711" max="8711" width="3.7109375" style="229" customWidth="1"/>
    <col min="8712" max="8712" width="14.42578125" style="229" customWidth="1"/>
    <col min="8713" max="8713" width="3.7109375" style="229" customWidth="1"/>
    <col min="8714" max="8714" width="18.7109375" style="229" customWidth="1"/>
    <col min="8715" max="8734" width="6.7109375" style="229" customWidth="1"/>
    <col min="8735" max="8737" width="6.28515625" style="229" customWidth="1"/>
    <col min="8738" max="8966" width="9.140625" style="229"/>
    <col min="8967" max="8967" width="3.7109375" style="229" customWidth="1"/>
    <col min="8968" max="8968" width="14.42578125" style="229" customWidth="1"/>
    <col min="8969" max="8969" width="3.7109375" style="229" customWidth="1"/>
    <col min="8970" max="8970" width="18.7109375" style="229" customWidth="1"/>
    <col min="8971" max="8990" width="6.7109375" style="229" customWidth="1"/>
    <col min="8991" max="8993" width="6.28515625" style="229" customWidth="1"/>
    <col min="8994" max="9222" width="9.140625" style="229"/>
    <col min="9223" max="9223" width="3.7109375" style="229" customWidth="1"/>
    <col min="9224" max="9224" width="14.42578125" style="229" customWidth="1"/>
    <col min="9225" max="9225" width="3.7109375" style="229" customWidth="1"/>
    <col min="9226" max="9226" width="18.7109375" style="229" customWidth="1"/>
    <col min="9227" max="9246" width="6.7109375" style="229" customWidth="1"/>
    <col min="9247" max="9249" width="6.28515625" style="229" customWidth="1"/>
    <col min="9250" max="9478" width="9.140625" style="229"/>
    <col min="9479" max="9479" width="3.7109375" style="229" customWidth="1"/>
    <col min="9480" max="9480" width="14.42578125" style="229" customWidth="1"/>
    <col min="9481" max="9481" width="3.7109375" style="229" customWidth="1"/>
    <col min="9482" max="9482" width="18.7109375" style="229" customWidth="1"/>
    <col min="9483" max="9502" width="6.7109375" style="229" customWidth="1"/>
    <col min="9503" max="9505" width="6.28515625" style="229" customWidth="1"/>
    <col min="9506" max="9734" width="9.140625" style="229"/>
    <col min="9735" max="9735" width="3.7109375" style="229" customWidth="1"/>
    <col min="9736" max="9736" width="14.42578125" style="229" customWidth="1"/>
    <col min="9737" max="9737" width="3.7109375" style="229" customWidth="1"/>
    <col min="9738" max="9738" width="18.7109375" style="229" customWidth="1"/>
    <col min="9739" max="9758" width="6.7109375" style="229" customWidth="1"/>
    <col min="9759" max="9761" width="6.28515625" style="229" customWidth="1"/>
    <col min="9762" max="9990" width="9.140625" style="229"/>
    <col min="9991" max="9991" width="3.7109375" style="229" customWidth="1"/>
    <col min="9992" max="9992" width="14.42578125" style="229" customWidth="1"/>
    <col min="9993" max="9993" width="3.7109375" style="229" customWidth="1"/>
    <col min="9994" max="9994" width="18.7109375" style="229" customWidth="1"/>
    <col min="9995" max="10014" width="6.7109375" style="229" customWidth="1"/>
    <col min="10015" max="10017" width="6.28515625" style="229" customWidth="1"/>
    <col min="10018" max="10246" width="9.140625" style="229"/>
    <col min="10247" max="10247" width="3.7109375" style="229" customWidth="1"/>
    <col min="10248" max="10248" width="14.42578125" style="229" customWidth="1"/>
    <col min="10249" max="10249" width="3.7109375" style="229" customWidth="1"/>
    <col min="10250" max="10250" width="18.7109375" style="229" customWidth="1"/>
    <col min="10251" max="10270" width="6.7109375" style="229" customWidth="1"/>
    <col min="10271" max="10273" width="6.28515625" style="229" customWidth="1"/>
    <col min="10274" max="10502" width="9.140625" style="229"/>
    <col min="10503" max="10503" width="3.7109375" style="229" customWidth="1"/>
    <col min="10504" max="10504" width="14.42578125" style="229" customWidth="1"/>
    <col min="10505" max="10505" width="3.7109375" style="229" customWidth="1"/>
    <col min="10506" max="10506" width="18.7109375" style="229" customWidth="1"/>
    <col min="10507" max="10526" width="6.7109375" style="229" customWidth="1"/>
    <col min="10527" max="10529" width="6.28515625" style="229" customWidth="1"/>
    <col min="10530" max="10758" width="9.140625" style="229"/>
    <col min="10759" max="10759" width="3.7109375" style="229" customWidth="1"/>
    <col min="10760" max="10760" width="14.42578125" style="229" customWidth="1"/>
    <col min="10761" max="10761" width="3.7109375" style="229" customWidth="1"/>
    <col min="10762" max="10762" width="18.7109375" style="229" customWidth="1"/>
    <col min="10763" max="10782" width="6.7109375" style="229" customWidth="1"/>
    <col min="10783" max="10785" width="6.28515625" style="229" customWidth="1"/>
    <col min="10786" max="11014" width="9.140625" style="229"/>
    <col min="11015" max="11015" width="3.7109375" style="229" customWidth="1"/>
    <col min="11016" max="11016" width="14.42578125" style="229" customWidth="1"/>
    <col min="11017" max="11017" width="3.7109375" style="229" customWidth="1"/>
    <col min="11018" max="11018" width="18.7109375" style="229" customWidth="1"/>
    <col min="11019" max="11038" width="6.7109375" style="229" customWidth="1"/>
    <col min="11039" max="11041" width="6.28515625" style="229" customWidth="1"/>
    <col min="11042" max="11270" width="9.140625" style="229"/>
    <col min="11271" max="11271" width="3.7109375" style="229" customWidth="1"/>
    <col min="11272" max="11272" width="14.42578125" style="229" customWidth="1"/>
    <col min="11273" max="11273" width="3.7109375" style="229" customWidth="1"/>
    <col min="11274" max="11274" width="18.7109375" style="229" customWidth="1"/>
    <col min="11275" max="11294" width="6.7109375" style="229" customWidth="1"/>
    <col min="11295" max="11297" width="6.28515625" style="229" customWidth="1"/>
    <col min="11298" max="11526" width="9.140625" style="229"/>
    <col min="11527" max="11527" width="3.7109375" style="229" customWidth="1"/>
    <col min="11528" max="11528" width="14.42578125" style="229" customWidth="1"/>
    <col min="11529" max="11529" width="3.7109375" style="229" customWidth="1"/>
    <col min="11530" max="11530" width="18.7109375" style="229" customWidth="1"/>
    <col min="11531" max="11550" width="6.7109375" style="229" customWidth="1"/>
    <col min="11551" max="11553" width="6.28515625" style="229" customWidth="1"/>
    <col min="11554" max="11782" width="9.140625" style="229"/>
    <col min="11783" max="11783" width="3.7109375" style="229" customWidth="1"/>
    <col min="11784" max="11784" width="14.42578125" style="229" customWidth="1"/>
    <col min="11785" max="11785" width="3.7109375" style="229" customWidth="1"/>
    <col min="11786" max="11786" width="18.7109375" style="229" customWidth="1"/>
    <col min="11787" max="11806" width="6.7109375" style="229" customWidth="1"/>
    <col min="11807" max="11809" width="6.28515625" style="229" customWidth="1"/>
    <col min="11810" max="12038" width="9.140625" style="229"/>
    <col min="12039" max="12039" width="3.7109375" style="229" customWidth="1"/>
    <col min="12040" max="12040" width="14.42578125" style="229" customWidth="1"/>
    <col min="12041" max="12041" width="3.7109375" style="229" customWidth="1"/>
    <col min="12042" max="12042" width="18.7109375" style="229" customWidth="1"/>
    <col min="12043" max="12062" width="6.7109375" style="229" customWidth="1"/>
    <col min="12063" max="12065" width="6.28515625" style="229" customWidth="1"/>
    <col min="12066" max="12294" width="9.140625" style="229"/>
    <col min="12295" max="12295" width="3.7109375" style="229" customWidth="1"/>
    <col min="12296" max="12296" width="14.42578125" style="229" customWidth="1"/>
    <col min="12297" max="12297" width="3.7109375" style="229" customWidth="1"/>
    <col min="12298" max="12298" width="18.7109375" style="229" customWidth="1"/>
    <col min="12299" max="12318" width="6.7109375" style="229" customWidth="1"/>
    <col min="12319" max="12321" width="6.28515625" style="229" customWidth="1"/>
    <col min="12322" max="12550" width="9.140625" style="229"/>
    <col min="12551" max="12551" width="3.7109375" style="229" customWidth="1"/>
    <col min="12552" max="12552" width="14.42578125" style="229" customWidth="1"/>
    <col min="12553" max="12553" width="3.7109375" style="229" customWidth="1"/>
    <col min="12554" max="12554" width="18.7109375" style="229" customWidth="1"/>
    <col min="12555" max="12574" width="6.7109375" style="229" customWidth="1"/>
    <col min="12575" max="12577" width="6.28515625" style="229" customWidth="1"/>
    <col min="12578" max="12806" width="9.140625" style="229"/>
    <col min="12807" max="12807" width="3.7109375" style="229" customWidth="1"/>
    <col min="12808" max="12808" width="14.42578125" style="229" customWidth="1"/>
    <col min="12809" max="12809" width="3.7109375" style="229" customWidth="1"/>
    <col min="12810" max="12810" width="18.7109375" style="229" customWidth="1"/>
    <col min="12811" max="12830" width="6.7109375" style="229" customWidth="1"/>
    <col min="12831" max="12833" width="6.28515625" style="229" customWidth="1"/>
    <col min="12834" max="13062" width="9.140625" style="229"/>
    <col min="13063" max="13063" width="3.7109375" style="229" customWidth="1"/>
    <col min="13064" max="13064" width="14.42578125" style="229" customWidth="1"/>
    <col min="13065" max="13065" width="3.7109375" style="229" customWidth="1"/>
    <col min="13066" max="13066" width="18.7109375" style="229" customWidth="1"/>
    <col min="13067" max="13086" width="6.7109375" style="229" customWidth="1"/>
    <col min="13087" max="13089" width="6.28515625" style="229" customWidth="1"/>
    <col min="13090" max="13318" width="9.140625" style="229"/>
    <col min="13319" max="13319" width="3.7109375" style="229" customWidth="1"/>
    <col min="13320" max="13320" width="14.42578125" style="229" customWidth="1"/>
    <col min="13321" max="13321" width="3.7109375" style="229" customWidth="1"/>
    <col min="13322" max="13322" width="18.7109375" style="229" customWidth="1"/>
    <col min="13323" max="13342" width="6.7109375" style="229" customWidth="1"/>
    <col min="13343" max="13345" width="6.28515625" style="229" customWidth="1"/>
    <col min="13346" max="13574" width="9.140625" style="229"/>
    <col min="13575" max="13575" width="3.7109375" style="229" customWidth="1"/>
    <col min="13576" max="13576" width="14.42578125" style="229" customWidth="1"/>
    <col min="13577" max="13577" width="3.7109375" style="229" customWidth="1"/>
    <col min="13578" max="13578" width="18.7109375" style="229" customWidth="1"/>
    <col min="13579" max="13598" width="6.7109375" style="229" customWidth="1"/>
    <col min="13599" max="13601" width="6.28515625" style="229" customWidth="1"/>
    <col min="13602" max="13830" width="9.140625" style="229"/>
    <col min="13831" max="13831" width="3.7109375" style="229" customWidth="1"/>
    <col min="13832" max="13832" width="14.42578125" style="229" customWidth="1"/>
    <col min="13833" max="13833" width="3.7109375" style="229" customWidth="1"/>
    <col min="13834" max="13834" width="18.7109375" style="229" customWidth="1"/>
    <col min="13835" max="13854" width="6.7109375" style="229" customWidth="1"/>
    <col min="13855" max="13857" width="6.28515625" style="229" customWidth="1"/>
    <col min="13858" max="14086" width="9.140625" style="229"/>
    <col min="14087" max="14087" width="3.7109375" style="229" customWidth="1"/>
    <col min="14088" max="14088" width="14.42578125" style="229" customWidth="1"/>
    <col min="14089" max="14089" width="3.7109375" style="229" customWidth="1"/>
    <col min="14090" max="14090" width="18.7109375" style="229" customWidth="1"/>
    <col min="14091" max="14110" width="6.7109375" style="229" customWidth="1"/>
    <col min="14111" max="14113" width="6.28515625" style="229" customWidth="1"/>
    <col min="14114" max="14342" width="9.140625" style="229"/>
    <col min="14343" max="14343" width="3.7109375" style="229" customWidth="1"/>
    <col min="14344" max="14344" width="14.42578125" style="229" customWidth="1"/>
    <col min="14345" max="14345" width="3.7109375" style="229" customWidth="1"/>
    <col min="14346" max="14346" width="18.7109375" style="229" customWidth="1"/>
    <col min="14347" max="14366" width="6.7109375" style="229" customWidth="1"/>
    <col min="14367" max="14369" width="6.28515625" style="229" customWidth="1"/>
    <col min="14370" max="14598" width="9.140625" style="229"/>
    <col min="14599" max="14599" width="3.7109375" style="229" customWidth="1"/>
    <col min="14600" max="14600" width="14.42578125" style="229" customWidth="1"/>
    <col min="14601" max="14601" width="3.7109375" style="229" customWidth="1"/>
    <col min="14602" max="14602" width="18.7109375" style="229" customWidth="1"/>
    <col min="14603" max="14622" width="6.7109375" style="229" customWidth="1"/>
    <col min="14623" max="14625" width="6.28515625" style="229" customWidth="1"/>
    <col min="14626" max="14854" width="9.140625" style="229"/>
    <col min="14855" max="14855" width="3.7109375" style="229" customWidth="1"/>
    <col min="14856" max="14856" width="14.42578125" style="229" customWidth="1"/>
    <col min="14857" max="14857" width="3.7109375" style="229" customWidth="1"/>
    <col min="14858" max="14858" width="18.7109375" style="229" customWidth="1"/>
    <col min="14859" max="14878" width="6.7109375" style="229" customWidth="1"/>
    <col min="14879" max="14881" width="6.28515625" style="229" customWidth="1"/>
    <col min="14882" max="15110" width="9.140625" style="229"/>
    <col min="15111" max="15111" width="3.7109375" style="229" customWidth="1"/>
    <col min="15112" max="15112" width="14.42578125" style="229" customWidth="1"/>
    <col min="15113" max="15113" width="3.7109375" style="229" customWidth="1"/>
    <col min="15114" max="15114" width="18.7109375" style="229" customWidth="1"/>
    <col min="15115" max="15134" width="6.7109375" style="229" customWidth="1"/>
    <col min="15135" max="15137" width="6.28515625" style="229" customWidth="1"/>
    <col min="15138" max="15366" width="9.140625" style="229"/>
    <col min="15367" max="15367" width="3.7109375" style="229" customWidth="1"/>
    <col min="15368" max="15368" width="14.42578125" style="229" customWidth="1"/>
    <col min="15369" max="15369" width="3.7109375" style="229" customWidth="1"/>
    <col min="15370" max="15370" width="18.7109375" style="229" customWidth="1"/>
    <col min="15371" max="15390" width="6.7109375" style="229" customWidth="1"/>
    <col min="15391" max="15393" width="6.28515625" style="229" customWidth="1"/>
    <col min="15394" max="15622" width="9.140625" style="229"/>
    <col min="15623" max="15623" width="3.7109375" style="229" customWidth="1"/>
    <col min="15624" max="15624" width="14.42578125" style="229" customWidth="1"/>
    <col min="15625" max="15625" width="3.7109375" style="229" customWidth="1"/>
    <col min="15626" max="15626" width="18.7109375" style="229" customWidth="1"/>
    <col min="15627" max="15646" width="6.7109375" style="229" customWidth="1"/>
    <col min="15647" max="15649" width="6.28515625" style="229" customWidth="1"/>
    <col min="15650" max="15878" width="9.140625" style="229"/>
    <col min="15879" max="15879" width="3.7109375" style="229" customWidth="1"/>
    <col min="15880" max="15880" width="14.42578125" style="229" customWidth="1"/>
    <col min="15881" max="15881" width="3.7109375" style="229" customWidth="1"/>
    <col min="15882" max="15882" width="18.7109375" style="229" customWidth="1"/>
    <col min="15883" max="15902" width="6.7109375" style="229" customWidth="1"/>
    <col min="15903" max="15905" width="6.28515625" style="229" customWidth="1"/>
    <col min="15906" max="16134" width="9.140625" style="229"/>
    <col min="16135" max="16135" width="3.7109375" style="229" customWidth="1"/>
    <col min="16136" max="16136" width="14.42578125" style="229" customWidth="1"/>
    <col min="16137" max="16137" width="3.7109375" style="229" customWidth="1"/>
    <col min="16138" max="16138" width="18.7109375" style="229" customWidth="1"/>
    <col min="16139" max="16158" width="6.7109375" style="229" customWidth="1"/>
    <col min="16159" max="16161" width="6.28515625" style="229" customWidth="1"/>
    <col min="16162" max="16384" width="9.140625" style="229"/>
  </cols>
  <sheetData>
    <row r="1" spans="1:56" x14ac:dyDescent="0.25">
      <c r="A1" s="1170"/>
      <c r="B1" s="886"/>
      <c r="C1" s="886"/>
      <c r="D1" s="885"/>
      <c r="E1" s="885"/>
      <c r="F1" s="885"/>
      <c r="G1" s="885"/>
      <c r="H1" s="885"/>
      <c r="I1" s="885"/>
      <c r="J1" s="885"/>
      <c r="K1" s="885"/>
      <c r="L1" s="885"/>
      <c r="M1" s="885"/>
      <c r="N1" s="885"/>
      <c r="O1" s="885"/>
      <c r="P1" s="885"/>
      <c r="Q1" s="885"/>
      <c r="R1" s="865"/>
      <c r="S1" s="865"/>
      <c r="T1" s="865"/>
      <c r="U1" s="865"/>
      <c r="V1" s="865"/>
      <c r="W1" s="865"/>
      <c r="X1" s="865"/>
    </row>
    <row r="2" spans="1:56" ht="12.75" customHeight="1" x14ac:dyDescent="0.25">
      <c r="A2" s="453">
        <v>1</v>
      </c>
      <c r="B2" s="453" t="s">
        <v>24</v>
      </c>
      <c r="C2" s="453">
        <f>1+'Confident in happy future'!C2</f>
        <v>58</v>
      </c>
      <c r="D2" s="3553" t="s">
        <v>1150</v>
      </c>
      <c r="E2" s="3554"/>
      <c r="F2" s="3554"/>
      <c r="G2" s="3554"/>
      <c r="H2" s="3554"/>
      <c r="I2" s="3554"/>
      <c r="J2" s="3554"/>
      <c r="K2" s="3554"/>
      <c r="L2" s="3554"/>
      <c r="M2" s="3554"/>
      <c r="N2" s="3554"/>
      <c r="O2" s="3554"/>
      <c r="P2" s="3554"/>
      <c r="Q2" s="3554"/>
      <c r="R2" s="3554"/>
      <c r="S2" s="3554"/>
      <c r="T2" s="3554"/>
      <c r="U2" s="3554"/>
      <c r="V2" s="3554"/>
      <c r="W2" s="3554"/>
      <c r="X2" s="3554"/>
      <c r="Y2" s="3554"/>
      <c r="Z2" s="3554"/>
      <c r="AA2" s="3554"/>
      <c r="AB2" s="3554"/>
      <c r="AC2" s="3554"/>
      <c r="AD2" s="3554"/>
      <c r="AE2" s="3554"/>
      <c r="AF2" s="3554"/>
      <c r="AG2" s="3554"/>
      <c r="AH2" s="3554"/>
      <c r="AI2" s="3554"/>
      <c r="AJ2" s="3555"/>
    </row>
    <row r="3" spans="1:56" ht="12.75" customHeight="1" x14ac:dyDescent="0.25">
      <c r="A3" s="453">
        <v>2</v>
      </c>
      <c r="B3" s="453" t="s">
        <v>26</v>
      </c>
      <c r="C3" s="453"/>
      <c r="D3" s="3553" t="s">
        <v>1144</v>
      </c>
      <c r="E3" s="3554"/>
      <c r="F3" s="3554"/>
      <c r="G3" s="3554"/>
      <c r="H3" s="3554"/>
      <c r="I3" s="3554"/>
      <c r="J3" s="3554"/>
      <c r="K3" s="3554"/>
      <c r="L3" s="3554"/>
      <c r="M3" s="3554"/>
      <c r="N3" s="3554"/>
      <c r="O3" s="3554"/>
      <c r="P3" s="3554"/>
      <c r="Q3" s="3554"/>
      <c r="R3" s="3554"/>
      <c r="S3" s="3554"/>
      <c r="T3" s="3554"/>
      <c r="U3" s="3554"/>
      <c r="V3" s="3554"/>
      <c r="W3" s="3554"/>
      <c r="X3" s="3554"/>
      <c r="Y3" s="3554"/>
      <c r="Z3" s="3554"/>
      <c r="AA3" s="3554"/>
      <c r="AB3" s="3554"/>
      <c r="AC3" s="3554"/>
      <c r="AD3" s="3554"/>
      <c r="AE3" s="3554"/>
      <c r="AF3" s="3554"/>
      <c r="AG3" s="3554"/>
      <c r="AH3" s="3554"/>
      <c r="AI3" s="3554"/>
      <c r="AJ3" s="3555"/>
    </row>
    <row r="4" spans="1:56" ht="12.75" customHeight="1" x14ac:dyDescent="0.25">
      <c r="A4" s="453">
        <v>3</v>
      </c>
      <c r="B4" s="453" t="s">
        <v>28</v>
      </c>
      <c r="C4" s="453"/>
      <c r="D4" s="3553" t="s">
        <v>1149</v>
      </c>
      <c r="E4" s="3554"/>
      <c r="F4" s="3554"/>
      <c r="G4" s="3554"/>
      <c r="H4" s="3554"/>
      <c r="I4" s="3554"/>
      <c r="J4" s="3554"/>
      <c r="K4" s="3554"/>
      <c r="L4" s="3554"/>
      <c r="M4" s="3554"/>
      <c r="N4" s="3554"/>
      <c r="O4" s="3554"/>
      <c r="P4" s="3554"/>
      <c r="Q4" s="3554"/>
      <c r="R4" s="3554"/>
      <c r="S4" s="3554"/>
      <c r="T4" s="3554"/>
      <c r="U4" s="3554"/>
      <c r="V4" s="3554"/>
      <c r="W4" s="3554"/>
      <c r="X4" s="3554"/>
      <c r="Y4" s="3554"/>
      <c r="Z4" s="3554"/>
      <c r="AA4" s="3554"/>
      <c r="AB4" s="3554"/>
      <c r="AC4" s="3554"/>
      <c r="AD4" s="3554"/>
      <c r="AE4" s="3554"/>
      <c r="AF4" s="3554"/>
      <c r="AG4" s="3554"/>
      <c r="AH4" s="3554"/>
      <c r="AI4" s="3554"/>
      <c r="AJ4" s="3555"/>
    </row>
    <row r="5" spans="1:56" ht="12.75" customHeight="1" x14ac:dyDescent="0.25">
      <c r="A5" s="453"/>
      <c r="B5" s="453"/>
      <c r="C5" s="453"/>
      <c r="D5" s="3553"/>
      <c r="E5" s="3554"/>
      <c r="F5" s="3554"/>
      <c r="G5" s="3554"/>
      <c r="H5" s="3554"/>
      <c r="I5" s="3554"/>
      <c r="J5" s="3554"/>
      <c r="K5" s="3554"/>
      <c r="L5" s="3554"/>
      <c r="M5" s="3554"/>
      <c r="N5" s="3554"/>
      <c r="O5" s="3554"/>
      <c r="P5" s="3554"/>
      <c r="Q5" s="3554"/>
      <c r="R5" s="3554"/>
      <c r="S5" s="3554"/>
      <c r="T5" s="3554"/>
      <c r="U5" s="3554"/>
      <c r="V5" s="3554"/>
      <c r="W5" s="3554"/>
      <c r="X5" s="3554"/>
      <c r="Y5" s="3554"/>
      <c r="Z5" s="3554"/>
      <c r="AA5" s="3554"/>
      <c r="AB5" s="3554"/>
      <c r="AC5" s="3554"/>
      <c r="AD5" s="3554"/>
      <c r="AE5" s="3554"/>
      <c r="AF5" s="3554"/>
      <c r="AG5" s="3554"/>
      <c r="AH5" s="3554"/>
      <c r="AI5" s="3554"/>
      <c r="AJ5" s="3555"/>
    </row>
    <row r="6" spans="1:56" x14ac:dyDescent="0.25">
      <c r="A6" s="453">
        <v>4</v>
      </c>
      <c r="B6" s="650" t="s">
        <v>1</v>
      </c>
      <c r="C6" s="650"/>
      <c r="D6" s="1177"/>
      <c r="E6" s="1177"/>
      <c r="F6" s="1177"/>
      <c r="G6" s="1177"/>
      <c r="H6" s="1177"/>
      <c r="I6" s="1177"/>
      <c r="J6" s="1177"/>
      <c r="K6" s="1177"/>
      <c r="L6" s="1177"/>
      <c r="M6" s="1177"/>
      <c r="N6" s="1177"/>
      <c r="O6" s="1177"/>
      <c r="P6" s="1177"/>
      <c r="Q6" s="885"/>
      <c r="R6" s="865"/>
      <c r="S6" s="865"/>
      <c r="T6" s="865"/>
      <c r="U6" s="865"/>
      <c r="V6" s="77"/>
      <c r="W6" s="77"/>
      <c r="X6" s="77"/>
    </row>
    <row r="7" spans="1:56" x14ac:dyDescent="0.25">
      <c r="A7" s="1174"/>
      <c r="B7" s="1173"/>
      <c r="C7" s="1173"/>
      <c r="D7" s="1176" t="s">
        <v>103</v>
      </c>
      <c r="E7" s="1176" t="str">
        <f>D2</f>
        <v>Public opinion on race relations</v>
      </c>
      <c r="F7" s="1176"/>
      <c r="G7" s="120"/>
      <c r="H7" s="120"/>
      <c r="I7" s="120"/>
      <c r="J7" s="120"/>
      <c r="K7" s="120"/>
      <c r="L7" s="120"/>
      <c r="M7" s="130"/>
      <c r="N7" s="130"/>
      <c r="O7" s="133"/>
      <c r="P7" s="133"/>
      <c r="Q7" s="133"/>
      <c r="R7" s="77"/>
      <c r="S7" s="77"/>
      <c r="T7" s="186"/>
      <c r="U7" s="186"/>
      <c r="V7" s="77"/>
      <c r="W7" s="186"/>
      <c r="X7" s="186"/>
      <c r="Y7" s="1657"/>
      <c r="Z7" s="1657"/>
      <c r="AA7" s="1657"/>
      <c r="AB7" s="1657"/>
      <c r="AC7" s="1657"/>
      <c r="AE7" s="1657"/>
      <c r="AF7" s="1657"/>
      <c r="AG7" s="1657"/>
    </row>
    <row r="8" spans="1:56" x14ac:dyDescent="0.25">
      <c r="A8" s="1174"/>
      <c r="B8" s="1173"/>
      <c r="C8" s="1173"/>
      <c r="D8" s="2963"/>
      <c r="E8" s="3902">
        <v>2000</v>
      </c>
      <c r="F8" s="3903"/>
      <c r="G8" s="3904">
        <v>2001</v>
      </c>
      <c r="H8" s="3903"/>
      <c r="I8" s="3904">
        <v>2002</v>
      </c>
      <c r="J8" s="3903"/>
      <c r="K8" s="3904">
        <v>2003</v>
      </c>
      <c r="L8" s="3903"/>
      <c r="M8" s="3904">
        <v>2004</v>
      </c>
      <c r="N8" s="3903"/>
      <c r="O8" s="3904">
        <v>2005</v>
      </c>
      <c r="P8" s="3903"/>
      <c r="Q8" s="3904">
        <v>2006</v>
      </c>
      <c r="R8" s="3903"/>
      <c r="S8" s="3904">
        <v>2007</v>
      </c>
      <c r="T8" s="3903"/>
      <c r="U8" s="3904">
        <v>2008</v>
      </c>
      <c r="V8" s="3903"/>
      <c r="W8" s="3904" t="s">
        <v>48</v>
      </c>
      <c r="X8" s="3903"/>
      <c r="Y8" s="3904">
        <v>2010</v>
      </c>
      <c r="Z8" s="3903"/>
      <c r="AA8" s="3904">
        <v>2011</v>
      </c>
      <c r="AB8" s="3903"/>
      <c r="AC8" s="3904">
        <v>2012</v>
      </c>
      <c r="AD8" s="3903"/>
      <c r="AE8" s="3904">
        <v>2013</v>
      </c>
      <c r="AF8" s="3903"/>
      <c r="AG8" s="3904">
        <v>2014</v>
      </c>
      <c r="AH8" s="3903"/>
      <c r="AI8" s="3902">
        <v>2015</v>
      </c>
      <c r="AJ8" s="3905"/>
      <c r="AK8" s="723"/>
      <c r="AL8" s="723"/>
      <c r="AM8" s="723"/>
      <c r="AN8" s="723"/>
      <c r="AO8" s="723"/>
      <c r="AP8" s="723"/>
      <c r="AQ8" s="723"/>
      <c r="AR8" s="723"/>
      <c r="AS8" s="723"/>
      <c r="AT8" s="723"/>
      <c r="AU8" s="723"/>
      <c r="AV8" s="723"/>
      <c r="AW8" s="723"/>
      <c r="AX8" s="723"/>
      <c r="AY8" s="723"/>
      <c r="AZ8" s="723"/>
      <c r="BA8" s="723"/>
      <c r="BB8" s="723"/>
      <c r="BC8" s="723"/>
      <c r="BD8" s="723"/>
    </row>
    <row r="9" spans="1:56" x14ac:dyDescent="0.25">
      <c r="A9" s="1174"/>
      <c r="B9" s="1173"/>
      <c r="C9" s="1173"/>
      <c r="D9" s="2964"/>
      <c r="E9" s="1961" t="s">
        <v>1142</v>
      </c>
      <c r="F9" s="1710" t="s">
        <v>1140</v>
      </c>
      <c r="G9" s="1437" t="s">
        <v>1142</v>
      </c>
      <c r="H9" s="1710" t="s">
        <v>1140</v>
      </c>
      <c r="I9" s="1437" t="s">
        <v>1142</v>
      </c>
      <c r="J9" s="1710" t="s">
        <v>1140</v>
      </c>
      <c r="K9" s="1437" t="s">
        <v>1142</v>
      </c>
      <c r="L9" s="1962" t="s">
        <v>1140</v>
      </c>
      <c r="M9" s="1437" t="s">
        <v>1142</v>
      </c>
      <c r="N9" s="1710" t="s">
        <v>1140</v>
      </c>
      <c r="O9" s="1437" t="s">
        <v>1142</v>
      </c>
      <c r="P9" s="1710" t="s">
        <v>1140</v>
      </c>
      <c r="Q9" s="1437" t="s">
        <v>1142</v>
      </c>
      <c r="R9" s="1710" t="s">
        <v>1140</v>
      </c>
      <c r="S9" s="1437" t="s">
        <v>1142</v>
      </c>
      <c r="T9" s="1710" t="s">
        <v>1140</v>
      </c>
      <c r="U9" s="770" t="s">
        <v>1141</v>
      </c>
      <c r="V9" s="1710" t="s">
        <v>1140</v>
      </c>
      <c r="W9" s="770" t="s">
        <v>1141</v>
      </c>
      <c r="X9" s="1710" t="s">
        <v>1148</v>
      </c>
      <c r="Y9" s="770" t="s">
        <v>1142</v>
      </c>
      <c r="Z9" s="1710" t="s">
        <v>1140</v>
      </c>
      <c r="AA9" s="770" t="s">
        <v>1141</v>
      </c>
      <c r="AB9" s="1710" t="s">
        <v>1148</v>
      </c>
      <c r="AC9" s="770" t="s">
        <v>1141</v>
      </c>
      <c r="AD9" s="1710" t="s">
        <v>1148</v>
      </c>
      <c r="AE9" s="770" t="s">
        <v>1141</v>
      </c>
      <c r="AF9" s="1710" t="s">
        <v>1148</v>
      </c>
      <c r="AG9" s="770" t="s">
        <v>1141</v>
      </c>
      <c r="AH9" s="1710" t="s">
        <v>1148</v>
      </c>
      <c r="AI9" s="2966" t="s">
        <v>1141</v>
      </c>
      <c r="AJ9" s="2967" t="s">
        <v>1148</v>
      </c>
    </row>
    <row r="10" spans="1:56" x14ac:dyDescent="0.25">
      <c r="A10" s="1174"/>
      <c r="B10" s="1173"/>
      <c r="C10" s="1173"/>
      <c r="D10" s="2965" t="s">
        <v>1147</v>
      </c>
      <c r="E10" s="1963">
        <v>74</v>
      </c>
      <c r="F10" s="1082">
        <v>69</v>
      </c>
      <c r="G10" s="1964">
        <v>40</v>
      </c>
      <c r="H10" s="1965">
        <v>40</v>
      </c>
      <c r="I10" s="436">
        <v>43</v>
      </c>
      <c r="J10" s="1965">
        <v>44</v>
      </c>
      <c r="K10" s="1288">
        <v>47.9</v>
      </c>
      <c r="L10" s="1966">
        <v>50.8</v>
      </c>
      <c r="M10" s="1288">
        <v>60.4</v>
      </c>
      <c r="N10" s="1966">
        <v>59.4</v>
      </c>
      <c r="O10" s="1373">
        <v>59.7</v>
      </c>
      <c r="P10" s="1966">
        <v>58.6</v>
      </c>
      <c r="Q10" s="1288">
        <v>60.3</v>
      </c>
      <c r="R10" s="1966">
        <v>58.1</v>
      </c>
      <c r="S10" s="1288">
        <v>57</v>
      </c>
      <c r="T10" s="1966">
        <v>54.9</v>
      </c>
      <c r="U10" s="1288">
        <v>48.5</v>
      </c>
      <c r="V10" s="1966">
        <v>50</v>
      </c>
      <c r="W10" s="1288">
        <v>48.5</v>
      </c>
      <c r="X10" s="1966">
        <v>57</v>
      </c>
      <c r="Y10" s="1288">
        <v>46</v>
      </c>
      <c r="Z10" s="1966">
        <v>54</v>
      </c>
      <c r="AA10" s="1288">
        <v>48</v>
      </c>
      <c r="AB10" s="1966">
        <v>40.200000000000003</v>
      </c>
      <c r="AC10" s="1288">
        <v>42</v>
      </c>
      <c r="AD10" s="1966">
        <v>35.799999999999997</v>
      </c>
      <c r="AE10" s="1288">
        <v>37</v>
      </c>
      <c r="AF10" s="1966">
        <v>34</v>
      </c>
      <c r="AG10" s="1288">
        <v>43</v>
      </c>
      <c r="AH10" s="1966">
        <v>46</v>
      </c>
      <c r="AI10" s="2968">
        <v>40</v>
      </c>
      <c r="AJ10" s="2783">
        <v>37</v>
      </c>
    </row>
    <row r="11" spans="1:56" x14ac:dyDescent="0.25">
      <c r="A11" s="453"/>
      <c r="B11" s="453"/>
      <c r="C11" s="453"/>
      <c r="D11" s="885"/>
      <c r="E11" s="1172">
        <f>+AVERAGE(E10:F10)</f>
        <v>71.5</v>
      </c>
      <c r="F11" s="1172"/>
      <c r="G11" s="1172">
        <f>+AVERAGE(G10:H10)</f>
        <v>40</v>
      </c>
      <c r="H11" s="1172"/>
      <c r="I11" s="1172">
        <f>+AVERAGE(I10:J10)</f>
        <v>43.5</v>
      </c>
      <c r="J11" s="1172"/>
      <c r="K11" s="1172">
        <f>+AVERAGE(K10:L10)</f>
        <v>49.349999999999994</v>
      </c>
      <c r="L11" s="1172"/>
      <c r="M11" s="1172">
        <f>+AVERAGE(M10:N10)</f>
        <v>59.9</v>
      </c>
      <c r="N11" s="1172"/>
      <c r="O11" s="1172">
        <f>+AVERAGE(O10:P10)</f>
        <v>59.150000000000006</v>
      </c>
      <c r="P11" s="1172"/>
      <c r="Q11" s="1172">
        <f>+AVERAGE(Q10:R10)</f>
        <v>59.2</v>
      </c>
      <c r="R11" s="1171"/>
      <c r="S11" s="1172">
        <f>+AVERAGE(S10:T10)</f>
        <v>55.95</v>
      </c>
      <c r="T11" s="1171"/>
      <c r="U11" s="1172">
        <f>+AVERAGE(U10:V10)</f>
        <v>49.25</v>
      </c>
      <c r="V11" s="1171"/>
      <c r="W11" s="1172">
        <f>+AVERAGE(W10:X10)</f>
        <v>52.75</v>
      </c>
      <c r="X11" s="1171"/>
      <c r="Y11" s="1172">
        <f>+AVERAGE(Y10:Z10)</f>
        <v>50</v>
      </c>
      <c r="Z11" s="1967"/>
      <c r="AA11" s="1172">
        <f>+AVERAGE(AA10:AB10)</f>
        <v>44.1</v>
      </c>
      <c r="AB11" s="1967"/>
      <c r="AC11" s="1172">
        <f>+AVERAGE(AC10:AD10)</f>
        <v>38.9</v>
      </c>
      <c r="AE11" s="1172">
        <f>+AVERAGE(AE10:AF10)</f>
        <v>35.5</v>
      </c>
      <c r="AF11" s="1967"/>
      <c r="AG11" s="1172">
        <f>+AVERAGE(AG10:AH10)</f>
        <v>44.5</v>
      </c>
    </row>
    <row r="12" spans="1:56" x14ac:dyDescent="0.25">
      <c r="A12" s="453">
        <v>5</v>
      </c>
      <c r="B12" s="453" t="s">
        <v>77</v>
      </c>
      <c r="C12" s="453"/>
      <c r="D12" s="885"/>
      <c r="E12" s="885"/>
      <c r="F12" s="885"/>
      <c r="G12" s="885"/>
      <c r="H12" s="885"/>
      <c r="I12" s="885"/>
      <c r="J12" s="885"/>
      <c r="K12" s="885"/>
      <c r="L12" s="885"/>
      <c r="M12" s="885"/>
      <c r="N12" s="885"/>
      <c r="O12" s="885"/>
      <c r="P12" s="885"/>
      <c r="Q12" s="885"/>
      <c r="R12" s="865"/>
      <c r="S12" s="865"/>
      <c r="T12" s="865"/>
      <c r="U12" s="865"/>
      <c r="V12" s="865"/>
      <c r="W12" s="865"/>
      <c r="X12" s="865"/>
    </row>
    <row r="13" spans="1:56" x14ac:dyDescent="0.25">
      <c r="A13" s="453"/>
      <c r="B13" s="453"/>
      <c r="C13" s="453"/>
      <c r="D13" s="885"/>
      <c r="E13" s="885"/>
      <c r="F13" s="885"/>
      <c r="G13" s="885"/>
      <c r="H13" s="885"/>
      <c r="I13" s="885"/>
      <c r="J13" s="885"/>
      <c r="K13" s="885"/>
      <c r="L13" s="885"/>
      <c r="M13" s="885"/>
      <c r="N13" s="885"/>
      <c r="O13" s="885"/>
      <c r="P13" s="885"/>
      <c r="Q13" s="885"/>
      <c r="R13" s="865"/>
      <c r="S13" s="865"/>
      <c r="T13" s="865"/>
      <c r="U13" s="865"/>
      <c r="V13" s="865"/>
      <c r="W13" s="865"/>
      <c r="X13" s="865"/>
      <c r="AI13" s="1967"/>
    </row>
    <row r="14" spans="1:56" x14ac:dyDescent="0.25">
      <c r="A14" s="1170"/>
      <c r="B14" s="886"/>
      <c r="C14" s="886"/>
      <c r="D14" s="885"/>
      <c r="E14" s="885"/>
      <c r="F14" s="885"/>
      <c r="G14" s="885"/>
      <c r="H14" s="885"/>
      <c r="I14" s="885"/>
      <c r="J14" s="885"/>
      <c r="K14" s="885"/>
      <c r="L14" s="885"/>
      <c r="M14" s="885"/>
      <c r="N14" s="885"/>
      <c r="O14" s="885"/>
      <c r="P14" s="885"/>
      <c r="Q14" s="885"/>
      <c r="R14" s="865"/>
      <c r="S14" s="865"/>
      <c r="T14" s="865"/>
      <c r="U14" s="865"/>
      <c r="V14" s="865"/>
      <c r="W14" s="865"/>
      <c r="X14" s="865"/>
      <c r="AJ14" s="1967"/>
    </row>
    <row r="15" spans="1:56" x14ac:dyDescent="0.25">
      <c r="A15" s="1170"/>
      <c r="B15" s="886"/>
      <c r="C15" s="886"/>
      <c r="D15" s="885"/>
      <c r="E15" s="885"/>
      <c r="F15" s="885"/>
      <c r="G15" s="885"/>
      <c r="H15" s="885"/>
      <c r="I15" s="885"/>
      <c r="J15" s="885"/>
      <c r="K15" s="885"/>
      <c r="L15" s="885"/>
      <c r="M15" s="885"/>
      <c r="N15" s="885"/>
      <c r="O15" s="885"/>
      <c r="P15" s="885"/>
      <c r="Q15" s="885"/>
      <c r="R15" s="865"/>
      <c r="S15" s="865"/>
      <c r="T15" s="865"/>
      <c r="U15" s="865"/>
      <c r="V15" s="865"/>
      <c r="W15" s="865"/>
      <c r="X15" s="865"/>
    </row>
    <row r="16" spans="1:56" x14ac:dyDescent="0.25">
      <c r="A16" s="1170"/>
      <c r="B16" s="886"/>
      <c r="C16" s="886"/>
      <c r="D16" s="885"/>
      <c r="E16" s="885"/>
      <c r="F16" s="885"/>
      <c r="G16" s="885"/>
      <c r="H16" s="885"/>
      <c r="I16" s="885"/>
      <c r="J16" s="885"/>
      <c r="K16" s="885"/>
      <c r="L16" s="885"/>
      <c r="M16" s="885"/>
      <c r="N16" s="885"/>
      <c r="O16" s="885"/>
      <c r="P16" s="885"/>
      <c r="Q16" s="885"/>
      <c r="R16" s="865"/>
      <c r="S16" s="865"/>
      <c r="T16" s="865"/>
      <c r="U16" s="865"/>
      <c r="V16" s="865"/>
      <c r="W16" s="865"/>
      <c r="X16" s="865"/>
    </row>
    <row r="17" spans="1:36" x14ac:dyDescent="0.25">
      <c r="A17" s="1170"/>
      <c r="B17" s="886"/>
      <c r="C17" s="886"/>
      <c r="D17" s="885"/>
      <c r="E17" s="885"/>
      <c r="F17" s="885"/>
      <c r="G17" s="885"/>
      <c r="H17" s="885"/>
      <c r="I17" s="885"/>
      <c r="J17" s="885"/>
      <c r="K17" s="885"/>
      <c r="L17" s="885"/>
      <c r="M17" s="885"/>
      <c r="N17" s="885"/>
      <c r="O17" s="885"/>
      <c r="P17" s="885"/>
      <c r="Q17" s="885"/>
      <c r="R17" s="865"/>
      <c r="S17" s="865"/>
      <c r="T17" s="865"/>
      <c r="U17" s="865"/>
      <c r="V17" s="865"/>
      <c r="W17" s="865"/>
      <c r="X17" s="865"/>
    </row>
    <row r="18" spans="1:36" x14ac:dyDescent="0.25">
      <c r="A18" s="1170"/>
      <c r="B18" s="886"/>
      <c r="C18" s="886"/>
      <c r="D18" s="885"/>
      <c r="E18" s="885"/>
      <c r="F18" s="885"/>
      <c r="G18" s="885"/>
      <c r="H18" s="885"/>
      <c r="I18" s="885"/>
      <c r="J18" s="885"/>
      <c r="K18" s="885"/>
      <c r="L18" s="885"/>
      <c r="M18" s="885"/>
      <c r="N18" s="885"/>
      <c r="O18" s="885"/>
      <c r="P18" s="885"/>
      <c r="Q18" s="885"/>
      <c r="R18" s="865"/>
      <c r="S18" s="865"/>
      <c r="T18" s="865"/>
      <c r="U18" s="865"/>
      <c r="V18" s="865"/>
      <c r="W18" s="865"/>
      <c r="X18" s="865"/>
    </row>
    <row r="19" spans="1:36" x14ac:dyDescent="0.25">
      <c r="A19" s="1170"/>
      <c r="B19" s="886"/>
      <c r="C19" s="886"/>
      <c r="D19" s="885"/>
      <c r="E19" s="885"/>
      <c r="F19" s="885"/>
      <c r="G19" s="885"/>
      <c r="H19" s="885"/>
      <c r="I19" s="885"/>
      <c r="J19" s="885"/>
      <c r="K19" s="885"/>
      <c r="L19" s="885"/>
      <c r="M19" s="885"/>
      <c r="N19" s="885"/>
      <c r="O19" s="885"/>
      <c r="P19" s="885"/>
      <c r="Q19" s="885"/>
      <c r="R19" s="865"/>
      <c r="S19" s="865"/>
      <c r="T19" s="865"/>
      <c r="U19" s="865"/>
      <c r="V19" s="865"/>
      <c r="W19" s="865"/>
      <c r="X19" s="865"/>
    </row>
    <row r="20" spans="1:36" x14ac:dyDescent="0.25">
      <c r="A20" s="1170"/>
      <c r="B20" s="886"/>
      <c r="C20" s="886"/>
      <c r="D20" s="885"/>
      <c r="E20" s="885"/>
      <c r="F20" s="885"/>
      <c r="G20" s="885"/>
      <c r="H20" s="885"/>
      <c r="I20" s="885"/>
      <c r="J20" s="885"/>
      <c r="K20" s="885"/>
      <c r="L20" s="885"/>
      <c r="M20" s="885"/>
      <c r="N20" s="885"/>
      <c r="O20" s="885"/>
      <c r="P20" s="885"/>
      <c r="Q20" s="885"/>
      <c r="R20" s="865"/>
      <c r="S20" s="865"/>
      <c r="T20" s="865"/>
      <c r="U20" s="865"/>
      <c r="V20" s="865"/>
      <c r="W20" s="865"/>
      <c r="X20" s="865"/>
    </row>
    <row r="21" spans="1:36" x14ac:dyDescent="0.25">
      <c r="A21" s="1170"/>
      <c r="B21" s="886"/>
      <c r="C21" s="886"/>
      <c r="D21" s="885"/>
      <c r="E21" s="885"/>
      <c r="F21" s="885"/>
      <c r="G21" s="885"/>
      <c r="H21" s="885"/>
      <c r="I21" s="885"/>
      <c r="J21" s="885"/>
      <c r="K21" s="885"/>
      <c r="L21" s="885"/>
      <c r="M21" s="885"/>
      <c r="N21" s="885"/>
      <c r="O21" s="885"/>
      <c r="P21" s="885"/>
      <c r="Q21" s="885"/>
      <c r="R21" s="865"/>
      <c r="S21" s="865"/>
      <c r="T21" s="865"/>
      <c r="U21" s="865"/>
      <c r="V21" s="865"/>
      <c r="W21" s="865"/>
      <c r="X21" s="865"/>
    </row>
    <row r="22" spans="1:36" x14ac:dyDescent="0.25">
      <c r="A22" s="1170"/>
      <c r="B22" s="886"/>
      <c r="C22" s="886"/>
      <c r="D22" s="885"/>
      <c r="E22" s="885"/>
      <c r="F22" s="885"/>
      <c r="G22" s="885"/>
      <c r="H22" s="885"/>
      <c r="I22" s="885"/>
      <c r="J22" s="885"/>
      <c r="K22" s="885"/>
      <c r="L22" s="885"/>
      <c r="M22" s="885"/>
      <c r="N22" s="885"/>
      <c r="O22" s="885"/>
      <c r="P22" s="885"/>
      <c r="Q22" s="885"/>
      <c r="R22" s="865"/>
      <c r="S22" s="865"/>
      <c r="T22" s="865"/>
      <c r="U22" s="865"/>
      <c r="V22" s="865"/>
      <c r="W22" s="865"/>
      <c r="X22" s="865"/>
    </row>
    <row r="23" spans="1:36" x14ac:dyDescent="0.25">
      <c r="A23" s="1170"/>
      <c r="B23" s="886"/>
      <c r="C23" s="886"/>
      <c r="D23" s="885"/>
      <c r="E23" s="885"/>
      <c r="F23" s="885"/>
      <c r="G23" s="885"/>
      <c r="H23" s="885"/>
      <c r="I23" s="885"/>
      <c r="J23" s="885"/>
      <c r="K23" s="885"/>
      <c r="L23" s="885"/>
      <c r="M23" s="885"/>
      <c r="N23" s="885"/>
      <c r="O23" s="885"/>
      <c r="P23" s="885"/>
      <c r="Q23" s="885"/>
      <c r="R23" s="865"/>
      <c r="S23" s="865"/>
      <c r="T23" s="865"/>
      <c r="U23" s="865"/>
      <c r="V23" s="865"/>
      <c r="W23" s="865"/>
      <c r="X23" s="865"/>
    </row>
    <row r="24" spans="1:36" x14ac:dyDescent="0.25">
      <c r="A24" s="1170"/>
      <c r="B24" s="886"/>
      <c r="C24" s="886"/>
      <c r="D24" s="885"/>
      <c r="E24" s="885"/>
      <c r="F24" s="885"/>
      <c r="G24" s="885"/>
      <c r="H24" s="885"/>
      <c r="I24" s="885"/>
      <c r="J24" s="885"/>
      <c r="K24" s="885"/>
      <c r="L24" s="885"/>
      <c r="M24" s="885"/>
      <c r="N24" s="885"/>
      <c r="O24" s="885"/>
      <c r="P24" s="885"/>
      <c r="Q24" s="885"/>
      <c r="R24" s="865"/>
      <c r="S24" s="865"/>
      <c r="T24" s="865"/>
      <c r="U24" s="865"/>
      <c r="V24" s="865"/>
      <c r="W24" s="865"/>
      <c r="X24" s="865"/>
    </row>
    <row r="25" spans="1:36" x14ac:dyDescent="0.25">
      <c r="A25" s="1170"/>
      <c r="B25" s="886"/>
      <c r="C25" s="886"/>
      <c r="D25" s="885"/>
      <c r="E25" s="885"/>
      <c r="F25" s="885"/>
      <c r="G25" s="885"/>
      <c r="H25" s="885"/>
      <c r="I25" s="885"/>
      <c r="J25" s="885"/>
      <c r="K25" s="885"/>
      <c r="L25" s="885"/>
      <c r="M25" s="885"/>
      <c r="N25" s="885"/>
      <c r="O25" s="885"/>
      <c r="P25" s="885"/>
      <c r="Q25" s="885"/>
      <c r="R25" s="865"/>
      <c r="S25" s="865"/>
      <c r="T25" s="865"/>
      <c r="U25" s="865"/>
      <c r="V25" s="865"/>
      <c r="W25" s="865"/>
      <c r="X25" s="865"/>
    </row>
    <row r="26" spans="1:36" x14ac:dyDescent="0.25">
      <c r="A26" s="1170"/>
      <c r="B26" s="886"/>
      <c r="C26" s="886"/>
      <c r="D26" s="885"/>
      <c r="E26" s="885"/>
      <c r="F26" s="885"/>
      <c r="G26" s="885"/>
      <c r="H26" s="885"/>
      <c r="I26" s="885"/>
      <c r="J26" s="885"/>
      <c r="K26" s="885"/>
      <c r="L26" s="885"/>
      <c r="M26" s="885"/>
      <c r="N26" s="885"/>
      <c r="O26" s="885"/>
      <c r="P26" s="885"/>
      <c r="Q26" s="885"/>
      <c r="R26" s="865"/>
      <c r="S26" s="865"/>
      <c r="T26" s="865"/>
      <c r="U26" s="865"/>
      <c r="V26" s="865"/>
      <c r="W26" s="865"/>
      <c r="X26" s="865"/>
    </row>
    <row r="27" spans="1:36" x14ac:dyDescent="0.25">
      <c r="A27" s="1170"/>
      <c r="B27" s="886"/>
      <c r="C27" s="886"/>
      <c r="D27" s="885"/>
      <c r="E27" s="885"/>
      <c r="F27" s="885"/>
      <c r="G27" s="885"/>
      <c r="H27" s="885"/>
      <c r="I27" s="885"/>
      <c r="J27" s="885"/>
      <c r="K27" s="885"/>
      <c r="L27" s="885"/>
      <c r="M27" s="885"/>
      <c r="N27" s="885"/>
      <c r="O27" s="885"/>
      <c r="P27" s="885"/>
      <c r="Q27" s="885"/>
      <c r="R27" s="865"/>
      <c r="S27" s="865"/>
      <c r="T27" s="865"/>
      <c r="U27" s="865"/>
      <c r="V27" s="865"/>
      <c r="W27" s="865"/>
      <c r="X27" s="865"/>
    </row>
    <row r="28" spans="1:36" x14ac:dyDescent="0.25">
      <c r="A28" s="1170"/>
      <c r="B28" s="886"/>
      <c r="C28" s="886"/>
      <c r="D28" s="885"/>
      <c r="E28" s="885"/>
      <c r="F28" s="885"/>
      <c r="G28" s="885"/>
      <c r="H28" s="885"/>
      <c r="I28" s="885"/>
      <c r="J28" s="885"/>
      <c r="K28" s="885"/>
      <c r="L28" s="885"/>
      <c r="M28" s="885"/>
      <c r="N28" s="885"/>
      <c r="O28" s="885"/>
      <c r="P28" s="885"/>
      <c r="Q28" s="885"/>
      <c r="R28" s="865"/>
      <c r="S28" s="865"/>
      <c r="T28" s="865"/>
      <c r="U28" s="865"/>
      <c r="V28" s="865"/>
      <c r="W28" s="865"/>
      <c r="X28" s="865"/>
    </row>
    <row r="29" spans="1:36" x14ac:dyDescent="0.25">
      <c r="A29" s="472">
        <v>6</v>
      </c>
      <c r="B29" s="472" t="s">
        <v>78</v>
      </c>
      <c r="C29" s="472"/>
      <c r="D29" s="3553" t="s">
        <v>398</v>
      </c>
      <c r="E29" s="3554"/>
      <c r="F29" s="3554"/>
      <c r="G29" s="3554"/>
      <c r="H29" s="3554"/>
      <c r="I29" s="3554"/>
      <c r="J29" s="3554"/>
      <c r="K29" s="3554"/>
      <c r="L29" s="3554"/>
      <c r="M29" s="3554"/>
      <c r="N29" s="3554"/>
      <c r="O29" s="3554"/>
      <c r="P29" s="3554"/>
      <c r="Q29" s="3554"/>
      <c r="R29" s="3554"/>
      <c r="S29" s="3554"/>
      <c r="T29" s="3554"/>
      <c r="U29" s="3554"/>
      <c r="V29" s="3554"/>
      <c r="W29" s="3554"/>
      <c r="X29" s="3554"/>
      <c r="Y29" s="3554"/>
      <c r="Z29" s="3554"/>
      <c r="AA29" s="3554"/>
      <c r="AB29" s="3554"/>
      <c r="AC29" s="3554"/>
      <c r="AD29" s="3554"/>
      <c r="AE29" s="3554"/>
      <c r="AF29" s="3554"/>
      <c r="AG29" s="3554"/>
      <c r="AH29" s="3554"/>
      <c r="AI29" s="3554"/>
      <c r="AJ29" s="3555"/>
    </row>
    <row r="30" spans="1:36" ht="12.75" customHeight="1" x14ac:dyDescent="0.25">
      <c r="A30" s="453">
        <v>7</v>
      </c>
      <c r="B30" s="453" t="s">
        <v>80</v>
      </c>
      <c r="C30" s="453"/>
      <c r="D30" s="3553" t="s">
        <v>1146</v>
      </c>
      <c r="E30" s="3554"/>
      <c r="F30" s="3554"/>
      <c r="G30" s="3554"/>
      <c r="H30" s="3554"/>
      <c r="I30" s="3554"/>
      <c r="J30" s="3554"/>
      <c r="K30" s="3554"/>
      <c r="L30" s="3554"/>
      <c r="M30" s="3554"/>
      <c r="N30" s="3554"/>
      <c r="O30" s="3554"/>
      <c r="P30" s="3554"/>
      <c r="Q30" s="3554"/>
      <c r="R30" s="3554"/>
      <c r="S30" s="3554"/>
      <c r="T30" s="3554"/>
      <c r="U30" s="3554"/>
      <c r="V30" s="3554"/>
      <c r="W30" s="3554"/>
      <c r="X30" s="3554"/>
      <c r="Y30" s="3554"/>
      <c r="Z30" s="3554"/>
      <c r="AA30" s="3554"/>
      <c r="AB30" s="3554"/>
      <c r="AC30" s="3554"/>
      <c r="AD30" s="3554"/>
      <c r="AE30" s="3554"/>
      <c r="AF30" s="3554"/>
      <c r="AG30" s="3554"/>
      <c r="AH30" s="3554"/>
      <c r="AI30" s="3554"/>
      <c r="AJ30" s="3555"/>
    </row>
    <row r="31" spans="1:36" ht="16.5" customHeight="1" x14ac:dyDescent="0.25">
      <c r="A31" s="453">
        <v>8</v>
      </c>
      <c r="B31" s="453" t="s">
        <v>20</v>
      </c>
      <c r="C31" s="886"/>
      <c r="D31" s="3553" t="s">
        <v>1137</v>
      </c>
      <c r="E31" s="3554"/>
      <c r="F31" s="3554"/>
      <c r="G31" s="3554"/>
      <c r="H31" s="3554"/>
      <c r="I31" s="3554"/>
      <c r="J31" s="3554"/>
      <c r="K31" s="3554"/>
      <c r="L31" s="3554"/>
      <c r="M31" s="3554"/>
      <c r="N31" s="3554"/>
      <c r="O31" s="3554"/>
      <c r="P31" s="3554"/>
      <c r="Q31" s="3554"/>
      <c r="R31" s="3554"/>
      <c r="S31" s="3554"/>
      <c r="T31" s="3554"/>
      <c r="U31" s="3554"/>
      <c r="V31" s="3554"/>
      <c r="W31" s="3554"/>
      <c r="X31" s="3554"/>
      <c r="Y31" s="3554"/>
      <c r="Z31" s="3554"/>
      <c r="AA31" s="3554"/>
      <c r="AB31" s="3554"/>
      <c r="AC31" s="3554"/>
      <c r="AD31" s="3554"/>
      <c r="AE31" s="3554"/>
      <c r="AF31" s="3554"/>
      <c r="AG31" s="3554"/>
      <c r="AH31" s="3554"/>
      <c r="AI31" s="3554"/>
      <c r="AJ31" s="3555"/>
    </row>
    <row r="32" spans="1:36" ht="40.5" customHeight="1" x14ac:dyDescent="0.25">
      <c r="A32" s="453">
        <v>9</v>
      </c>
      <c r="B32" s="453" t="s">
        <v>22</v>
      </c>
      <c r="D32" s="3553" t="s">
        <v>1145</v>
      </c>
      <c r="E32" s="3554"/>
      <c r="F32" s="3554"/>
      <c r="G32" s="3554"/>
      <c r="H32" s="3554"/>
      <c r="I32" s="3554"/>
      <c r="J32" s="3554"/>
      <c r="K32" s="3554"/>
      <c r="L32" s="3554"/>
      <c r="M32" s="3554"/>
      <c r="N32" s="3554"/>
      <c r="O32" s="3554"/>
      <c r="P32" s="3554"/>
      <c r="Q32" s="3554"/>
      <c r="R32" s="3554"/>
      <c r="S32" s="3554"/>
      <c r="T32" s="3554"/>
      <c r="U32" s="3554"/>
      <c r="V32" s="3554"/>
      <c r="W32" s="3554"/>
      <c r="X32" s="3554"/>
      <c r="Y32" s="3554"/>
      <c r="Z32" s="3554"/>
      <c r="AA32" s="3554"/>
      <c r="AB32" s="3554"/>
      <c r="AC32" s="3554"/>
      <c r="AD32" s="3554"/>
      <c r="AE32" s="3554"/>
      <c r="AF32" s="3554"/>
      <c r="AG32" s="3554"/>
      <c r="AH32" s="3554"/>
      <c r="AI32" s="3554"/>
      <c r="AJ32" s="3555"/>
    </row>
    <row r="42" spans="7:7" x14ac:dyDescent="0.25">
      <c r="G42" s="267"/>
    </row>
  </sheetData>
  <mergeCells count="24">
    <mergeCell ref="I8:J8"/>
    <mergeCell ref="K8:L8"/>
    <mergeCell ref="M8:N8"/>
    <mergeCell ref="O8:P8"/>
    <mergeCell ref="D2:AJ2"/>
    <mergeCell ref="D3:AJ3"/>
    <mergeCell ref="D4:AJ4"/>
    <mergeCell ref="D5:AJ5"/>
    <mergeCell ref="D31:AJ31"/>
    <mergeCell ref="D32:AJ32"/>
    <mergeCell ref="AC8:AD8"/>
    <mergeCell ref="AE8:AF8"/>
    <mergeCell ref="AI8:AJ8"/>
    <mergeCell ref="Q8:R8"/>
    <mergeCell ref="S8:T8"/>
    <mergeCell ref="U8:V8"/>
    <mergeCell ref="W8:X8"/>
    <mergeCell ref="Y8:Z8"/>
    <mergeCell ref="AA8:AB8"/>
    <mergeCell ref="AG8:AH8"/>
    <mergeCell ref="D29:AJ29"/>
    <mergeCell ref="D30:AJ30"/>
    <mergeCell ref="E8:F8"/>
    <mergeCell ref="G8:H8"/>
  </mergeCells>
  <pageMargins left="0.74803149606299213" right="0.74803149606299213" top="0.98425196850393704" bottom="0.98425196850393704" header="0.51181102362204722" footer="0.51181102362204722"/>
  <pageSetup paperSize="9" scale="5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D40"/>
  <sheetViews>
    <sheetView showGridLines="0" view="pageBreakPreview" topLeftCell="M1" zoomScaleNormal="100" zoomScaleSheetLayoutView="100" workbookViewId="0">
      <selection activeCell="AA8" sqref="AA8:AA9"/>
    </sheetView>
  </sheetViews>
  <sheetFormatPr defaultColWidth="9.140625" defaultRowHeight="15" x14ac:dyDescent="0.25"/>
  <cols>
    <col min="1" max="1" width="3.7109375" style="113" customWidth="1"/>
    <col min="2" max="2" width="12.7109375" style="110" customWidth="1"/>
    <col min="3" max="3" width="3.7109375" style="111" customWidth="1"/>
    <col min="4" max="4" width="8.85546875" style="51" customWidth="1"/>
    <col min="5" max="5" width="4.28515625" style="51" customWidth="1"/>
    <col min="6" max="23" width="8.28515625" style="51" customWidth="1"/>
    <col min="24" max="16384" width="9.140625" style="51"/>
  </cols>
  <sheetData>
    <row r="1" spans="1:28" x14ac:dyDescent="0.25">
      <c r="A1" s="109"/>
      <c r="D1" s="112"/>
      <c r="E1" s="112"/>
      <c r="F1" s="112"/>
      <c r="G1" s="112"/>
      <c r="H1" s="112"/>
      <c r="I1" s="112"/>
      <c r="J1" s="112"/>
      <c r="K1" s="112"/>
      <c r="L1" s="112"/>
      <c r="M1" s="112"/>
      <c r="N1" s="112"/>
      <c r="O1" s="112"/>
      <c r="P1" s="112"/>
      <c r="Q1" s="112"/>
      <c r="R1" s="112"/>
      <c r="S1" s="112"/>
      <c r="T1" s="112"/>
      <c r="U1" s="112"/>
      <c r="V1" s="112"/>
      <c r="W1" s="112"/>
    </row>
    <row r="2" spans="1:28" ht="12.75" customHeight="1" x14ac:dyDescent="0.25">
      <c r="A2" s="113">
        <v>1</v>
      </c>
      <c r="B2" s="114" t="s">
        <v>24</v>
      </c>
      <c r="C2" s="113">
        <f>[3]GFCF!C2+1</f>
        <v>5</v>
      </c>
      <c r="D2" s="3581" t="s">
        <v>1849</v>
      </c>
      <c r="E2" s="3582"/>
      <c r="F2" s="3582"/>
      <c r="G2" s="3582"/>
      <c r="H2" s="3582"/>
      <c r="I2" s="3582"/>
      <c r="J2" s="3582"/>
      <c r="K2" s="3582"/>
      <c r="L2" s="3582"/>
      <c r="M2" s="3582"/>
      <c r="N2" s="3582"/>
      <c r="O2" s="3582"/>
      <c r="P2" s="3582"/>
      <c r="Q2" s="3582"/>
      <c r="R2" s="3582"/>
      <c r="S2" s="3582"/>
      <c r="T2" s="3582"/>
      <c r="U2" s="3582"/>
      <c r="V2" s="3582"/>
      <c r="W2" s="3582"/>
      <c r="X2" s="3582"/>
      <c r="Y2" s="3582"/>
      <c r="Z2" s="3582"/>
      <c r="AA2" s="3583"/>
    </row>
    <row r="3" spans="1:28" ht="12.75" customHeight="1" x14ac:dyDescent="0.25">
      <c r="A3" s="113">
        <v>2</v>
      </c>
      <c r="B3" s="114" t="s">
        <v>26</v>
      </c>
      <c r="C3" s="113"/>
      <c r="D3" s="3565" t="s">
        <v>121</v>
      </c>
      <c r="E3" s="3566"/>
      <c r="F3" s="3566"/>
      <c r="G3" s="3566"/>
      <c r="H3" s="3566"/>
      <c r="I3" s="3566"/>
      <c r="J3" s="3566"/>
      <c r="K3" s="3566"/>
      <c r="L3" s="3566"/>
      <c r="M3" s="3566"/>
      <c r="N3" s="3566"/>
      <c r="O3" s="3566"/>
      <c r="P3" s="3566"/>
      <c r="Q3" s="3566"/>
      <c r="R3" s="3566"/>
      <c r="S3" s="3566"/>
      <c r="T3" s="3566"/>
      <c r="U3" s="3566"/>
      <c r="V3" s="3566"/>
      <c r="W3" s="3566"/>
      <c r="X3" s="3566"/>
      <c r="Y3" s="3566"/>
      <c r="Z3" s="3566"/>
      <c r="AA3" s="3567"/>
    </row>
    <row r="4" spans="1:28" ht="12.75" customHeight="1" x14ac:dyDescent="0.25">
      <c r="A4" s="113">
        <v>3</v>
      </c>
      <c r="B4" s="114" t="s">
        <v>28</v>
      </c>
      <c r="C4" s="113"/>
      <c r="D4" s="3565" t="s">
        <v>122</v>
      </c>
      <c r="E4" s="3566"/>
      <c r="F4" s="3566"/>
      <c r="G4" s="3566"/>
      <c r="H4" s="3566"/>
      <c r="I4" s="3566"/>
      <c r="J4" s="3566"/>
      <c r="K4" s="3566"/>
      <c r="L4" s="3566"/>
      <c r="M4" s="3566"/>
      <c r="N4" s="3566"/>
      <c r="O4" s="3566"/>
      <c r="P4" s="3566"/>
      <c r="Q4" s="3566"/>
      <c r="R4" s="3566"/>
      <c r="S4" s="3566"/>
      <c r="T4" s="3566"/>
      <c r="U4" s="3566"/>
      <c r="V4" s="3566"/>
      <c r="W4" s="3566"/>
      <c r="X4" s="3566"/>
      <c r="Y4" s="3566"/>
      <c r="Z4" s="3566"/>
      <c r="AA4" s="3567"/>
    </row>
    <row r="5" spans="1:28" ht="12" customHeight="1" x14ac:dyDescent="0.25">
      <c r="B5" s="114"/>
      <c r="C5" s="113"/>
      <c r="D5" s="138"/>
      <c r="E5" s="138"/>
      <c r="F5" s="195"/>
      <c r="G5" s="195"/>
      <c r="H5" s="195"/>
      <c r="I5" s="195"/>
      <c r="J5" s="195"/>
      <c r="K5" s="195"/>
      <c r="L5" s="195"/>
      <c r="M5" s="195"/>
      <c r="N5" s="195"/>
      <c r="O5" s="195"/>
      <c r="P5" s="195"/>
      <c r="Q5" s="195"/>
      <c r="R5" s="117"/>
      <c r="S5" s="112"/>
      <c r="T5" s="112"/>
      <c r="U5" s="112"/>
      <c r="V5" s="112"/>
      <c r="W5" s="112"/>
    </row>
    <row r="6" spans="1:28" x14ac:dyDescent="0.25">
      <c r="C6" s="113"/>
      <c r="D6" s="112"/>
      <c r="E6" s="112"/>
      <c r="F6" s="112"/>
      <c r="G6" s="112"/>
      <c r="H6" s="112"/>
      <c r="I6" s="112"/>
      <c r="J6" s="112"/>
      <c r="K6" s="112"/>
      <c r="L6" s="112"/>
      <c r="M6" s="112"/>
      <c r="N6" s="112"/>
      <c r="O6" s="112"/>
      <c r="P6" s="112"/>
      <c r="Q6" s="112"/>
      <c r="R6" s="117"/>
      <c r="S6" s="112"/>
      <c r="T6" s="112"/>
      <c r="U6" s="112"/>
      <c r="V6" s="112"/>
      <c r="W6" s="112"/>
    </row>
    <row r="7" spans="1:28" x14ac:dyDescent="0.25">
      <c r="A7" s="113">
        <v>4</v>
      </c>
      <c r="B7" s="114" t="s">
        <v>1</v>
      </c>
      <c r="D7" s="120" t="s">
        <v>103</v>
      </c>
      <c r="E7" s="120"/>
      <c r="F7" s="120" t="s">
        <v>123</v>
      </c>
      <c r="G7" s="120"/>
      <c r="H7" s="120"/>
      <c r="I7" s="120"/>
      <c r="J7" s="120"/>
      <c r="K7" s="120"/>
      <c r="L7" s="120"/>
      <c r="M7" s="120"/>
      <c r="N7" s="130"/>
      <c r="O7" s="130"/>
      <c r="P7" s="130"/>
      <c r="Q7" s="130"/>
      <c r="R7" s="130"/>
      <c r="S7" s="121"/>
      <c r="T7" s="121"/>
      <c r="U7" s="121"/>
      <c r="V7" s="121"/>
      <c r="W7" s="121"/>
      <c r="X7" s="185"/>
      <c r="Y7" s="185"/>
      <c r="Z7" s="185"/>
    </row>
    <row r="8" spans="1:28" s="201" customFormat="1" ht="12.75" x14ac:dyDescent="0.2">
      <c r="A8" s="113"/>
      <c r="B8" s="196"/>
      <c r="C8" s="197"/>
      <c r="D8" s="2975"/>
      <c r="E8" s="170"/>
      <c r="F8" s="198" t="s">
        <v>124</v>
      </c>
      <c r="G8" s="198" t="s">
        <v>125</v>
      </c>
      <c r="H8" s="198" t="s">
        <v>126</v>
      </c>
      <c r="I8" s="198" t="s">
        <v>127</v>
      </c>
      <c r="J8" s="198" t="s">
        <v>128</v>
      </c>
      <c r="K8" s="198" t="s">
        <v>129</v>
      </c>
      <c r="L8" s="198" t="s">
        <v>130</v>
      </c>
      <c r="M8" s="198" t="s">
        <v>131</v>
      </c>
      <c r="N8" s="198" t="s">
        <v>132</v>
      </c>
      <c r="O8" s="198" t="s">
        <v>133</v>
      </c>
      <c r="P8" s="198" t="s">
        <v>134</v>
      </c>
      <c r="Q8" s="199" t="s">
        <v>135</v>
      </c>
      <c r="R8" s="199" t="s">
        <v>136</v>
      </c>
      <c r="S8" s="199" t="s">
        <v>137</v>
      </c>
      <c r="T8" s="199" t="s">
        <v>138</v>
      </c>
      <c r="U8" s="199" t="s">
        <v>139</v>
      </c>
      <c r="V8" s="200" t="s">
        <v>140</v>
      </c>
      <c r="W8" s="200" t="s">
        <v>141</v>
      </c>
      <c r="X8" s="200" t="s">
        <v>142</v>
      </c>
      <c r="Y8" s="200" t="s">
        <v>143</v>
      </c>
      <c r="Z8" s="200" t="s">
        <v>144</v>
      </c>
      <c r="AA8" s="3178" t="s">
        <v>145</v>
      </c>
    </row>
    <row r="9" spans="1:28" ht="23.25" x14ac:dyDescent="0.25">
      <c r="D9" s="2983" t="s">
        <v>146</v>
      </c>
      <c r="E9" s="146" t="s">
        <v>54</v>
      </c>
      <c r="F9" s="2754">
        <v>-5.4</v>
      </c>
      <c r="G9" s="2754">
        <v>-4.5</v>
      </c>
      <c r="H9" s="2754">
        <v>-5</v>
      </c>
      <c r="I9" s="2754">
        <v>-4.8</v>
      </c>
      <c r="J9" s="2754">
        <v>-3.6</v>
      </c>
      <c r="K9" s="2754">
        <v>-2.7</v>
      </c>
      <c r="L9" s="2754">
        <v>-2.1</v>
      </c>
      <c r="M9" s="2754">
        <v>-1.9</v>
      </c>
      <c r="N9" s="2754">
        <v>-1.4</v>
      </c>
      <c r="O9" s="2754">
        <v>-1</v>
      </c>
      <c r="P9" s="2754">
        <v>-2.2000000000000002</v>
      </c>
      <c r="Q9" s="2754">
        <v>-1.4</v>
      </c>
      <c r="R9" s="2754">
        <v>-0.3</v>
      </c>
      <c r="S9" s="2754">
        <v>0.7</v>
      </c>
      <c r="T9" s="2754">
        <v>0.9</v>
      </c>
      <c r="U9" s="2754">
        <v>-0.7</v>
      </c>
      <c r="V9" s="1532">
        <v>-6.3</v>
      </c>
      <c r="W9" s="1532">
        <v>-4.7</v>
      </c>
      <c r="X9" s="1532">
        <v>-4.7</v>
      </c>
      <c r="Y9" s="1532">
        <v>-5</v>
      </c>
      <c r="Z9" s="1531">
        <v>-4.4000000000000004</v>
      </c>
      <c r="AA9" s="3179">
        <v>-4.3</v>
      </c>
    </row>
    <row r="10" spans="1:28" x14ac:dyDescent="0.25">
      <c r="D10" s="132"/>
      <c r="E10" s="176"/>
      <c r="F10" s="2755"/>
      <c r="G10" s="2755"/>
      <c r="H10" s="2755"/>
      <c r="I10" s="2755"/>
      <c r="J10" s="2755"/>
      <c r="K10" s="2755"/>
      <c r="L10" s="2755"/>
      <c r="M10" s="2755"/>
      <c r="N10" s="2755"/>
      <c r="O10" s="2755"/>
      <c r="P10" s="2755"/>
      <c r="Q10" s="2755"/>
      <c r="R10" s="2755"/>
      <c r="S10" s="2755"/>
      <c r="T10" s="2755"/>
      <c r="U10" s="2755"/>
      <c r="V10" s="2755"/>
      <c r="W10" s="2755"/>
      <c r="X10" s="2755"/>
      <c r="Y10" s="2755"/>
      <c r="Z10" s="202"/>
    </row>
    <row r="11" spans="1:28" x14ac:dyDescent="0.25">
      <c r="D11" s="132"/>
      <c r="E11" s="176"/>
      <c r="F11" s="2755"/>
      <c r="G11" s="2755"/>
      <c r="H11" s="2755"/>
      <c r="I11" s="2755"/>
      <c r="J11" s="2755"/>
      <c r="K11" s="2755"/>
      <c r="L11" s="2755"/>
      <c r="M11" s="2755"/>
      <c r="N11" s="2755"/>
      <c r="O11" s="2755"/>
      <c r="P11" s="2755"/>
      <c r="Q11" s="2755"/>
      <c r="R11" s="2755"/>
      <c r="S11" s="2755"/>
      <c r="T11" s="2755"/>
      <c r="U11" s="2755"/>
      <c r="V11" s="2755"/>
      <c r="W11" s="2755"/>
      <c r="X11" s="2755"/>
      <c r="Y11" s="2755"/>
      <c r="Z11" s="202"/>
    </row>
    <row r="12" spans="1:28" x14ac:dyDescent="0.25">
      <c r="D12" s="112"/>
      <c r="E12" s="112"/>
      <c r="F12" s="117"/>
      <c r="G12" s="117"/>
      <c r="H12" s="117"/>
      <c r="I12" s="117"/>
      <c r="J12" s="117"/>
      <c r="K12" s="117"/>
      <c r="L12" s="117"/>
      <c r="M12" s="117"/>
      <c r="N12" s="117"/>
      <c r="O12" s="117"/>
      <c r="P12" s="117"/>
      <c r="Q12" s="117"/>
      <c r="R12" s="117"/>
      <c r="S12" s="112"/>
      <c r="T12" s="112"/>
      <c r="U12" s="112"/>
      <c r="V12" s="112"/>
      <c r="W12" s="112"/>
    </row>
    <row r="13" spans="1:28" x14ac:dyDescent="0.25">
      <c r="A13" s="113">
        <v>5</v>
      </c>
      <c r="B13" s="114" t="s">
        <v>77</v>
      </c>
      <c r="C13" s="113"/>
      <c r="D13" s="112"/>
      <c r="E13" s="112"/>
      <c r="F13" s="117"/>
      <c r="G13" s="117"/>
      <c r="H13" s="117"/>
      <c r="I13" s="117"/>
      <c r="J13" s="117"/>
      <c r="K13" s="117"/>
      <c r="L13" s="117"/>
      <c r="M13" s="117"/>
      <c r="N13" s="117"/>
      <c r="O13" s="117"/>
      <c r="P13" s="117"/>
      <c r="Q13" s="117"/>
      <c r="R13" s="117"/>
      <c r="S13" s="112"/>
      <c r="T13" s="112"/>
      <c r="U13" s="112"/>
      <c r="V13" s="112"/>
      <c r="W13" s="112"/>
      <c r="AB13" s="152"/>
    </row>
    <row r="14" spans="1:28" x14ac:dyDescent="0.25">
      <c r="D14" s="112"/>
      <c r="E14" s="112"/>
      <c r="F14" s="117"/>
      <c r="G14" s="117"/>
      <c r="H14" s="117"/>
      <c r="I14" s="117"/>
      <c r="J14" s="117"/>
      <c r="K14" s="117"/>
      <c r="L14" s="117"/>
      <c r="M14" s="117"/>
      <c r="N14" s="117"/>
      <c r="O14" s="117"/>
      <c r="P14" s="117"/>
      <c r="Q14" s="117"/>
      <c r="R14" s="117"/>
      <c r="S14" s="112"/>
      <c r="T14" s="112"/>
      <c r="U14" s="112"/>
      <c r="V14" s="112"/>
      <c r="W14" s="112"/>
      <c r="AB14" s="152"/>
    </row>
    <row r="15" spans="1:28" x14ac:dyDescent="0.25">
      <c r="D15" s="112"/>
      <c r="E15" s="112"/>
      <c r="F15" s="117"/>
      <c r="G15" s="117"/>
      <c r="H15" s="117"/>
      <c r="I15" s="117"/>
      <c r="J15" s="117"/>
      <c r="K15" s="117"/>
      <c r="L15" s="117"/>
      <c r="M15" s="117"/>
      <c r="N15" s="117"/>
      <c r="O15" s="117"/>
      <c r="P15" s="117"/>
      <c r="Q15" s="117"/>
      <c r="R15" s="117"/>
      <c r="S15" s="112"/>
      <c r="T15" s="112"/>
      <c r="U15" s="112"/>
      <c r="V15" s="112"/>
      <c r="W15" s="112"/>
      <c r="AB15" s="152"/>
    </row>
    <row r="16" spans="1:28" x14ac:dyDescent="0.25">
      <c r="D16" s="112"/>
      <c r="E16" s="112"/>
      <c r="F16" s="117"/>
      <c r="G16" s="117"/>
      <c r="H16" s="117"/>
      <c r="I16" s="117"/>
      <c r="J16" s="117"/>
      <c r="K16" s="117"/>
      <c r="L16" s="117"/>
      <c r="M16" s="117"/>
      <c r="N16" s="117"/>
      <c r="O16" s="117"/>
      <c r="P16" s="117"/>
      <c r="Q16" s="117"/>
      <c r="R16" s="117"/>
      <c r="S16" s="112"/>
      <c r="T16" s="112"/>
      <c r="U16" s="112"/>
      <c r="V16" s="112"/>
      <c r="W16" s="112"/>
      <c r="AB16" s="152"/>
    </row>
    <row r="17" spans="1:28" x14ac:dyDescent="0.25">
      <c r="D17" s="112"/>
      <c r="E17" s="112"/>
      <c r="F17" s="117"/>
      <c r="G17" s="117"/>
      <c r="H17" s="117"/>
      <c r="I17" s="117"/>
      <c r="J17" s="117"/>
      <c r="K17" s="117"/>
      <c r="L17" s="117"/>
      <c r="M17" s="117"/>
      <c r="N17" s="117"/>
      <c r="O17" s="117"/>
      <c r="P17" s="117"/>
      <c r="Q17" s="117"/>
      <c r="R17" s="117"/>
      <c r="S17" s="112"/>
      <c r="T17" s="112"/>
      <c r="U17" s="112"/>
      <c r="V17" s="112"/>
      <c r="W17" s="112"/>
      <c r="AB17" s="152"/>
    </row>
    <row r="18" spans="1:28" x14ac:dyDescent="0.25">
      <c r="D18" s="112"/>
      <c r="E18" s="112"/>
      <c r="F18" s="117"/>
      <c r="G18" s="117"/>
      <c r="H18" s="117"/>
      <c r="I18" s="117"/>
      <c r="J18" s="117"/>
      <c r="K18" s="117"/>
      <c r="L18" s="117"/>
      <c r="M18" s="117"/>
      <c r="N18" s="117"/>
      <c r="O18" s="117"/>
      <c r="P18" s="117"/>
      <c r="Q18" s="117"/>
      <c r="R18" s="117"/>
      <c r="S18" s="112"/>
      <c r="T18" s="112"/>
      <c r="U18" s="112"/>
      <c r="V18" s="112"/>
      <c r="W18" s="112"/>
      <c r="AB18" s="152"/>
    </row>
    <row r="19" spans="1:28" x14ac:dyDescent="0.25">
      <c r="D19" s="112"/>
      <c r="E19" s="112"/>
      <c r="F19" s="117"/>
      <c r="G19" s="117"/>
      <c r="H19" s="117"/>
      <c r="I19" s="117"/>
      <c r="J19" s="117"/>
      <c r="K19" s="117"/>
      <c r="L19" s="117"/>
      <c r="M19" s="117"/>
      <c r="N19" s="117"/>
      <c r="O19" s="117"/>
      <c r="P19" s="117"/>
      <c r="Q19" s="117"/>
      <c r="R19" s="117"/>
      <c r="S19" s="112"/>
      <c r="T19" s="112"/>
      <c r="U19" s="112"/>
      <c r="V19" s="112"/>
      <c r="W19" s="112"/>
      <c r="AB19" s="152"/>
    </row>
    <row r="20" spans="1:28" x14ac:dyDescent="0.25">
      <c r="D20" s="112"/>
      <c r="E20" s="112"/>
      <c r="F20" s="117"/>
      <c r="G20" s="117"/>
      <c r="H20" s="117"/>
      <c r="I20" s="117"/>
      <c r="J20" s="117"/>
      <c r="K20" s="117"/>
      <c r="L20" s="117"/>
      <c r="M20" s="117"/>
      <c r="N20" s="117"/>
      <c r="O20" s="117"/>
      <c r="P20" s="117"/>
      <c r="Q20" s="117"/>
      <c r="R20" s="117"/>
      <c r="S20" s="112"/>
      <c r="T20" s="112"/>
      <c r="U20" s="112"/>
      <c r="V20" s="112"/>
      <c r="W20" s="112"/>
      <c r="AB20" s="152"/>
    </row>
    <row r="21" spans="1:28" x14ac:dyDescent="0.25">
      <c r="D21" s="112"/>
      <c r="E21" s="112"/>
      <c r="F21" s="117"/>
      <c r="G21" s="117"/>
      <c r="H21" s="117"/>
      <c r="I21" s="117"/>
      <c r="J21" s="117"/>
      <c r="K21" s="117"/>
      <c r="L21" s="117"/>
      <c r="M21" s="117"/>
      <c r="N21" s="117"/>
      <c r="O21" s="117"/>
      <c r="P21" s="117"/>
      <c r="Q21" s="117"/>
      <c r="R21" s="117"/>
      <c r="S21" s="112"/>
      <c r="T21" s="112"/>
      <c r="U21" s="112"/>
      <c r="V21" s="112"/>
      <c r="W21" s="112"/>
      <c r="AB21" s="152"/>
    </row>
    <row r="22" spans="1:28" x14ac:dyDescent="0.25">
      <c r="D22" s="112"/>
      <c r="E22" s="112"/>
      <c r="F22" s="117"/>
      <c r="G22" s="117"/>
      <c r="H22" s="117"/>
      <c r="I22" s="117"/>
      <c r="J22" s="117"/>
      <c r="K22" s="117"/>
      <c r="L22" s="117"/>
      <c r="M22" s="117"/>
      <c r="N22" s="117"/>
      <c r="O22" s="117"/>
      <c r="P22" s="117"/>
      <c r="Q22" s="117"/>
      <c r="R22" s="117"/>
      <c r="S22" s="112"/>
      <c r="T22" s="112"/>
      <c r="U22" s="112"/>
      <c r="V22" s="112"/>
      <c r="W22" s="112"/>
      <c r="AB22" s="152"/>
    </row>
    <row r="23" spans="1:28" x14ac:dyDescent="0.25">
      <c r="D23" s="112"/>
      <c r="E23" s="112"/>
      <c r="F23" s="112"/>
      <c r="G23" s="112"/>
      <c r="H23" s="112"/>
      <c r="I23" s="112"/>
      <c r="J23" s="112"/>
      <c r="K23" s="112"/>
      <c r="L23" s="112"/>
      <c r="M23" s="112"/>
      <c r="N23" s="112"/>
      <c r="O23" s="112"/>
      <c r="P23" s="112"/>
      <c r="Q23" s="112"/>
      <c r="R23" s="112"/>
      <c r="S23" s="112"/>
      <c r="T23" s="112"/>
      <c r="U23" s="112"/>
      <c r="V23" s="112"/>
      <c r="W23" s="112"/>
      <c r="AB23" s="152"/>
    </row>
    <row r="24" spans="1:28" x14ac:dyDescent="0.25">
      <c r="D24" s="112"/>
      <c r="E24" s="112"/>
      <c r="F24" s="112"/>
      <c r="G24" s="112"/>
      <c r="H24" s="112"/>
      <c r="I24" s="112"/>
      <c r="J24" s="112"/>
      <c r="K24" s="112"/>
      <c r="L24" s="112"/>
      <c r="M24" s="112"/>
      <c r="N24" s="112"/>
      <c r="O24" s="112"/>
      <c r="P24" s="112"/>
      <c r="Q24" s="112"/>
      <c r="R24" s="112"/>
      <c r="S24" s="112"/>
      <c r="T24" s="112"/>
      <c r="U24" s="112"/>
      <c r="V24" s="112"/>
      <c r="W24" s="112"/>
      <c r="AB24" s="152"/>
    </row>
    <row r="25" spans="1:28" x14ac:dyDescent="0.25">
      <c r="D25" s="112"/>
      <c r="E25" s="112"/>
      <c r="F25" s="112"/>
      <c r="G25" s="112"/>
      <c r="H25" s="112"/>
      <c r="I25" s="112"/>
      <c r="J25" s="112"/>
      <c r="K25" s="112"/>
      <c r="L25" s="112"/>
      <c r="M25" s="112"/>
      <c r="N25" s="112"/>
      <c r="O25" s="112"/>
      <c r="P25" s="112"/>
      <c r="Q25" s="112"/>
      <c r="R25" s="112"/>
      <c r="S25" s="112"/>
      <c r="T25" s="112"/>
      <c r="U25" s="112"/>
      <c r="V25" s="112"/>
      <c r="W25" s="112"/>
      <c r="AB25" s="152"/>
    </row>
    <row r="26" spans="1:28" x14ac:dyDescent="0.25">
      <c r="D26" s="112"/>
      <c r="E26" s="112"/>
      <c r="F26" s="112"/>
      <c r="G26" s="112"/>
      <c r="H26" s="112"/>
      <c r="I26" s="112"/>
      <c r="J26" s="112"/>
      <c r="K26" s="112"/>
      <c r="L26" s="112"/>
      <c r="M26" s="112"/>
      <c r="N26" s="112"/>
      <c r="O26" s="112"/>
      <c r="P26" s="112"/>
      <c r="Q26" s="112"/>
      <c r="R26" s="112"/>
      <c r="S26" s="112"/>
      <c r="T26" s="112"/>
      <c r="U26" s="112"/>
      <c r="V26" s="112"/>
      <c r="W26" s="112"/>
      <c r="AB26" s="152"/>
    </row>
    <row r="27" spans="1:28" x14ac:dyDescent="0.25">
      <c r="D27" s="112"/>
      <c r="E27" s="112"/>
      <c r="F27" s="112"/>
      <c r="G27" s="112"/>
      <c r="H27" s="112"/>
      <c r="I27" s="112"/>
      <c r="J27" s="112"/>
      <c r="K27" s="112"/>
      <c r="L27" s="112"/>
      <c r="M27" s="112"/>
      <c r="N27" s="112"/>
      <c r="O27" s="112"/>
      <c r="P27" s="112"/>
      <c r="Q27" s="112"/>
      <c r="R27" s="112"/>
      <c r="S27" s="112"/>
      <c r="T27" s="112"/>
      <c r="U27" s="112"/>
      <c r="V27" s="112"/>
      <c r="W27" s="112"/>
      <c r="AB27" s="152"/>
    </row>
    <row r="28" spans="1:28" x14ac:dyDescent="0.25">
      <c r="D28" s="112"/>
      <c r="E28" s="112"/>
      <c r="F28" s="112"/>
      <c r="G28" s="112"/>
      <c r="H28" s="112"/>
      <c r="I28" s="112"/>
      <c r="J28" s="112"/>
      <c r="K28" s="112"/>
      <c r="L28" s="112"/>
      <c r="M28" s="112"/>
      <c r="N28" s="112"/>
      <c r="O28" s="112"/>
      <c r="P28" s="112"/>
      <c r="Q28" s="112"/>
      <c r="R28" s="112"/>
      <c r="S28" s="112"/>
      <c r="T28" s="112"/>
      <c r="U28" s="112"/>
      <c r="V28" s="112"/>
      <c r="W28" s="112"/>
      <c r="AB28" s="152"/>
    </row>
    <row r="29" spans="1:28" x14ac:dyDescent="0.25">
      <c r="D29" s="112"/>
      <c r="E29" s="112"/>
      <c r="F29" s="112"/>
      <c r="G29" s="112"/>
      <c r="H29" s="112"/>
      <c r="I29" s="112"/>
      <c r="J29" s="112"/>
      <c r="K29" s="112"/>
      <c r="L29" s="112"/>
      <c r="M29" s="112"/>
      <c r="N29" s="112"/>
      <c r="O29" s="112"/>
      <c r="P29" s="112"/>
      <c r="Q29" s="112"/>
      <c r="R29" s="112"/>
      <c r="S29" s="112"/>
      <c r="T29" s="112"/>
      <c r="U29" s="112"/>
      <c r="V29" s="112"/>
      <c r="W29" s="112"/>
      <c r="AB29" s="152"/>
    </row>
    <row r="30" spans="1:28" x14ac:dyDescent="0.25">
      <c r="D30" s="112"/>
      <c r="E30" s="112"/>
      <c r="F30" s="112"/>
      <c r="G30" s="112"/>
      <c r="H30" s="112"/>
      <c r="I30" s="112"/>
      <c r="J30" s="112"/>
      <c r="K30" s="112"/>
      <c r="L30" s="112"/>
      <c r="M30" s="112"/>
      <c r="N30" s="112"/>
      <c r="O30" s="112"/>
      <c r="P30" s="112"/>
      <c r="Q30" s="112"/>
      <c r="R30" s="112"/>
      <c r="S30" s="112"/>
      <c r="T30" s="112"/>
      <c r="U30" s="112"/>
      <c r="V30" s="112"/>
      <c r="W30" s="112"/>
      <c r="AB30" s="152"/>
    </row>
    <row r="31" spans="1:28" x14ac:dyDescent="0.25">
      <c r="D31" s="112"/>
      <c r="E31" s="112"/>
      <c r="F31" s="112"/>
      <c r="G31" s="112"/>
      <c r="H31" s="112"/>
      <c r="I31" s="112"/>
      <c r="J31" s="112"/>
      <c r="K31" s="112"/>
      <c r="L31" s="112"/>
      <c r="M31" s="112"/>
      <c r="N31" s="112"/>
      <c r="O31" s="112"/>
      <c r="P31" s="112"/>
      <c r="Q31" s="112"/>
      <c r="R31" s="112"/>
      <c r="S31" s="112"/>
      <c r="T31" s="112"/>
      <c r="U31" s="112"/>
      <c r="V31" s="112"/>
      <c r="W31" s="112"/>
      <c r="AB31" s="152"/>
    </row>
    <row r="32" spans="1:28" ht="12.75" customHeight="1" x14ac:dyDescent="0.25">
      <c r="A32" s="113">
        <v>6</v>
      </c>
      <c r="B32" s="114" t="s">
        <v>78</v>
      </c>
      <c r="C32" s="113"/>
      <c r="D32" s="3556" t="s">
        <v>147</v>
      </c>
      <c r="E32" s="3557"/>
      <c r="F32" s="3557"/>
      <c r="G32" s="3557"/>
      <c r="H32" s="3557"/>
      <c r="I32" s="3557"/>
      <c r="J32" s="3557"/>
      <c r="K32" s="3557"/>
      <c r="L32" s="3557"/>
      <c r="M32" s="3557"/>
      <c r="N32" s="3557"/>
      <c r="O32" s="3557"/>
      <c r="P32" s="3557"/>
      <c r="Q32" s="3557"/>
      <c r="R32" s="3557"/>
      <c r="S32" s="3557"/>
      <c r="T32" s="3557"/>
      <c r="U32" s="3557"/>
      <c r="V32" s="3557"/>
      <c r="W32" s="3557"/>
      <c r="X32" s="3557"/>
      <c r="Y32" s="3557"/>
      <c r="Z32" s="3557"/>
      <c r="AA32" s="3558"/>
      <c r="AB32" s="152"/>
    </row>
    <row r="33" spans="1:30" ht="14.25" customHeight="1" x14ac:dyDescent="0.25">
      <c r="A33" s="136">
        <v>7</v>
      </c>
      <c r="B33" s="137" t="s">
        <v>80</v>
      </c>
      <c r="C33" s="136"/>
      <c r="D33" s="3568" t="s">
        <v>148</v>
      </c>
      <c r="E33" s="3569"/>
      <c r="F33" s="3569"/>
      <c r="G33" s="3569"/>
      <c r="H33" s="3569"/>
      <c r="I33" s="3569"/>
      <c r="J33" s="3569"/>
      <c r="K33" s="3569"/>
      <c r="L33" s="3569"/>
      <c r="M33" s="3569"/>
      <c r="N33" s="3569"/>
      <c r="O33" s="3569"/>
      <c r="P33" s="3569"/>
      <c r="Q33" s="3569"/>
      <c r="R33" s="3569"/>
      <c r="S33" s="3569"/>
      <c r="T33" s="3569"/>
      <c r="U33" s="3569"/>
      <c r="V33" s="3569"/>
      <c r="W33" s="3569"/>
      <c r="X33" s="3569"/>
      <c r="Y33" s="3569"/>
      <c r="Z33" s="3569"/>
      <c r="AA33" s="3570"/>
      <c r="AB33" s="152"/>
    </row>
    <row r="34" spans="1:30" ht="12.75" customHeight="1" x14ac:dyDescent="0.25">
      <c r="A34" s="113">
        <v>8</v>
      </c>
      <c r="B34" s="114" t="s">
        <v>20</v>
      </c>
      <c r="C34" s="113"/>
      <c r="D34" s="3556" t="s">
        <v>149</v>
      </c>
      <c r="E34" s="3557"/>
      <c r="F34" s="3557"/>
      <c r="G34" s="3557"/>
      <c r="H34" s="3557"/>
      <c r="I34" s="3557"/>
      <c r="J34" s="3557"/>
      <c r="K34" s="3557"/>
      <c r="L34" s="3557"/>
      <c r="M34" s="3557"/>
      <c r="N34" s="3557"/>
      <c r="O34" s="3557"/>
      <c r="P34" s="3557"/>
      <c r="Q34" s="3557"/>
      <c r="R34" s="3557"/>
      <c r="S34" s="3557"/>
      <c r="T34" s="3557"/>
      <c r="U34" s="3557"/>
      <c r="V34" s="3557"/>
      <c r="W34" s="3557"/>
      <c r="X34" s="3557"/>
      <c r="Y34" s="3557"/>
      <c r="Z34" s="3557"/>
      <c r="AA34" s="3558"/>
    </row>
    <row r="36" spans="1:30" x14ac:dyDescent="0.25">
      <c r="F36" s="203"/>
      <c r="G36" s="203"/>
      <c r="H36" s="203"/>
      <c r="I36" s="204"/>
      <c r="J36" s="204"/>
      <c r="K36" s="204"/>
      <c r="L36" s="204"/>
      <c r="M36" s="204"/>
      <c r="N36" s="204"/>
      <c r="O36" s="204"/>
      <c r="P36" s="205"/>
      <c r="Q36" s="205"/>
      <c r="R36" s="205"/>
      <c r="S36" s="205"/>
      <c r="T36" s="206"/>
      <c r="U36" s="206"/>
      <c r="V36" s="206"/>
      <c r="W36" s="206"/>
      <c r="X36" s="206"/>
      <c r="Y36" s="207"/>
      <c r="Z36" s="207"/>
      <c r="AA36" s="207"/>
      <c r="AB36" s="207"/>
      <c r="AC36" s="207"/>
    </row>
    <row r="37" spans="1:30" x14ac:dyDescent="0.25">
      <c r="F37" s="152"/>
      <c r="G37" s="152"/>
      <c r="H37" s="152"/>
      <c r="I37" s="152"/>
      <c r="J37" s="152"/>
      <c r="K37" s="152"/>
      <c r="L37" s="152"/>
      <c r="M37" s="152"/>
      <c r="N37" s="152"/>
      <c r="O37" s="152"/>
      <c r="P37" s="152"/>
      <c r="Q37" s="152"/>
      <c r="R37" s="152"/>
      <c r="S37" s="152"/>
      <c r="T37" s="152"/>
      <c r="U37" s="152"/>
      <c r="V37" s="152"/>
      <c r="W37" s="152"/>
      <c r="X37" s="152"/>
      <c r="Y37" s="152"/>
      <c r="Z37" s="152"/>
      <c r="AA37" s="152"/>
      <c r="AB37" s="152"/>
      <c r="AC37" s="152"/>
      <c r="AD37" s="152"/>
    </row>
    <row r="38" spans="1:30" x14ac:dyDescent="0.25">
      <c r="D38" s="58"/>
      <c r="E38" s="58"/>
      <c r="F38" s="208"/>
      <c r="G38" s="208"/>
      <c r="H38" s="208">
        <v>-4.5999999999999996</v>
      </c>
      <c r="I38" s="208">
        <v>-4.7</v>
      </c>
      <c r="J38" s="208">
        <v>-4.8</v>
      </c>
      <c r="K38" s="208">
        <v>-4.5</v>
      </c>
      <c r="L38" s="208">
        <v>-3.2</v>
      </c>
      <c r="M38" s="209">
        <v>-2.1</v>
      </c>
      <c r="N38" s="209">
        <v>-1.9</v>
      </c>
      <c r="O38" s="209">
        <v>-0.7</v>
      </c>
      <c r="P38" s="209">
        <v>-0.7</v>
      </c>
      <c r="Q38" s="64">
        <v>-2.4</v>
      </c>
      <c r="R38" s="64">
        <v>-1.9</v>
      </c>
      <c r="S38" s="64">
        <v>-0.5</v>
      </c>
      <c r="T38" s="64">
        <v>0.3</v>
      </c>
      <c r="U38" s="64">
        <v>0.7</v>
      </c>
      <c r="V38" s="64">
        <v>-0.4</v>
      </c>
      <c r="W38" s="64">
        <v>-4.5999999999999996</v>
      </c>
      <c r="X38" s="51">
        <v>-4.5999999999999996</v>
      </c>
      <c r="Y38" s="51">
        <v>-4</v>
      </c>
      <c r="Z38" s="51">
        <v>-5.0999999999999996</v>
      </c>
      <c r="AA38" s="51">
        <v>-4.5999999999999996</v>
      </c>
      <c r="AB38" s="51">
        <v>-4.5999999999999996</v>
      </c>
    </row>
    <row r="39" spans="1:30" x14ac:dyDescent="0.25">
      <c r="D39" s="210"/>
      <c r="E39" s="210"/>
      <c r="F39" s="68"/>
      <c r="G39" s="68"/>
      <c r="H39" s="68"/>
      <c r="I39" s="68"/>
      <c r="J39" s="68"/>
      <c r="K39" s="68"/>
      <c r="L39" s="68"/>
      <c r="M39" s="68"/>
      <c r="N39" s="68"/>
      <c r="O39" s="68"/>
      <c r="P39" s="68"/>
      <c r="Q39" s="68"/>
      <c r="R39" s="68"/>
      <c r="S39" s="211"/>
      <c r="T39" s="211"/>
      <c r="U39" s="211"/>
      <c r="V39" s="211"/>
      <c r="W39" s="211"/>
    </row>
    <row r="40" spans="1:30" x14ac:dyDescent="0.25">
      <c r="F40" s="212"/>
    </row>
  </sheetData>
  <mergeCells count="6">
    <mergeCell ref="D2:AA2"/>
    <mergeCell ref="D3:AA3"/>
    <mergeCell ref="D4:AA4"/>
    <mergeCell ref="D34:AA34"/>
    <mergeCell ref="D32:AA32"/>
    <mergeCell ref="D33:AA33"/>
  </mergeCells>
  <pageMargins left="0.74803149606299213" right="0.74803149606299213" top="0.98425196850393704" bottom="0.98425196850393704" header="0.51181102362204722" footer="0.51181102362204722"/>
  <pageSetup paperSize="9" scale="5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44"/>
  <sheetViews>
    <sheetView showGridLines="0" view="pageBreakPreview" zoomScaleNormal="100" zoomScaleSheetLayoutView="100" workbookViewId="0">
      <selection activeCell="Q18" sqref="Q18"/>
    </sheetView>
  </sheetViews>
  <sheetFormatPr defaultColWidth="9.140625" defaultRowHeight="15" x14ac:dyDescent="0.25"/>
  <cols>
    <col min="1" max="1" width="3.7109375" style="1950" customWidth="1"/>
    <col min="2" max="2" width="14.42578125" style="1950" customWidth="1"/>
    <col min="3" max="3" width="3.7109375" style="1950" customWidth="1"/>
    <col min="4" max="4" width="14.7109375" style="229" customWidth="1"/>
    <col min="5" max="10" width="6.7109375" style="229" customWidth="1"/>
    <col min="11" max="15" width="6.7109375" style="723" customWidth="1"/>
    <col min="16" max="16" width="9.28515625" style="723" bestFit="1" customWidth="1"/>
    <col min="17" max="17" width="14" style="723" bestFit="1" customWidth="1"/>
    <col min="18" max="28" width="9.140625" style="723"/>
    <col min="29" max="256" width="9.140625" style="229"/>
    <col min="257" max="257" width="3.7109375" style="229" customWidth="1"/>
    <col min="258" max="258" width="14.42578125" style="229" customWidth="1"/>
    <col min="259" max="259" width="3.7109375" style="229" customWidth="1"/>
    <col min="260" max="260" width="14.7109375" style="229" customWidth="1"/>
    <col min="261" max="271" width="6.7109375" style="229" customWidth="1"/>
    <col min="272" max="272" width="9.28515625" style="229" bestFit="1" customWidth="1"/>
    <col min="273" max="512" width="9.140625" style="229"/>
    <col min="513" max="513" width="3.7109375" style="229" customWidth="1"/>
    <col min="514" max="514" width="14.42578125" style="229" customWidth="1"/>
    <col min="515" max="515" width="3.7109375" style="229" customWidth="1"/>
    <col min="516" max="516" width="14.7109375" style="229" customWidth="1"/>
    <col min="517" max="527" width="6.7109375" style="229" customWidth="1"/>
    <col min="528" max="528" width="9.28515625" style="229" bestFit="1" customWidth="1"/>
    <col min="529" max="768" width="9.140625" style="229"/>
    <col min="769" max="769" width="3.7109375" style="229" customWidth="1"/>
    <col min="770" max="770" width="14.42578125" style="229" customWidth="1"/>
    <col min="771" max="771" width="3.7109375" style="229" customWidth="1"/>
    <col min="772" max="772" width="14.7109375" style="229" customWidth="1"/>
    <col min="773" max="783" width="6.7109375" style="229" customWidth="1"/>
    <col min="784" max="784" width="9.28515625" style="229" bestFit="1" customWidth="1"/>
    <col min="785" max="1024" width="9.140625" style="229"/>
    <col min="1025" max="1025" width="3.7109375" style="229" customWidth="1"/>
    <col min="1026" max="1026" width="14.42578125" style="229" customWidth="1"/>
    <col min="1027" max="1027" width="3.7109375" style="229" customWidth="1"/>
    <col min="1028" max="1028" width="14.7109375" style="229" customWidth="1"/>
    <col min="1029" max="1039" width="6.7109375" style="229" customWidth="1"/>
    <col min="1040" max="1040" width="9.28515625" style="229" bestFit="1" customWidth="1"/>
    <col min="1041" max="1280" width="9.140625" style="229"/>
    <col min="1281" max="1281" width="3.7109375" style="229" customWidth="1"/>
    <col min="1282" max="1282" width="14.42578125" style="229" customWidth="1"/>
    <col min="1283" max="1283" width="3.7109375" style="229" customWidth="1"/>
    <col min="1284" max="1284" width="14.7109375" style="229" customWidth="1"/>
    <col min="1285" max="1295" width="6.7109375" style="229" customWidth="1"/>
    <col min="1296" max="1296" width="9.28515625" style="229" bestFit="1" customWidth="1"/>
    <col min="1297" max="1536" width="9.140625" style="229"/>
    <col min="1537" max="1537" width="3.7109375" style="229" customWidth="1"/>
    <col min="1538" max="1538" width="14.42578125" style="229" customWidth="1"/>
    <col min="1539" max="1539" width="3.7109375" style="229" customWidth="1"/>
    <col min="1540" max="1540" width="14.7109375" style="229" customWidth="1"/>
    <col min="1541" max="1551" width="6.7109375" style="229" customWidth="1"/>
    <col min="1552" max="1552" width="9.28515625" style="229" bestFit="1" customWidth="1"/>
    <col min="1553" max="1792" width="9.140625" style="229"/>
    <col min="1793" max="1793" width="3.7109375" style="229" customWidth="1"/>
    <col min="1794" max="1794" width="14.42578125" style="229" customWidth="1"/>
    <col min="1795" max="1795" width="3.7109375" style="229" customWidth="1"/>
    <col min="1796" max="1796" width="14.7109375" style="229" customWidth="1"/>
    <col min="1797" max="1807" width="6.7109375" style="229" customWidth="1"/>
    <col min="1808" max="1808" width="9.28515625" style="229" bestFit="1" customWidth="1"/>
    <col min="1809" max="2048" width="9.140625" style="229"/>
    <col min="2049" max="2049" width="3.7109375" style="229" customWidth="1"/>
    <col min="2050" max="2050" width="14.42578125" style="229" customWidth="1"/>
    <col min="2051" max="2051" width="3.7109375" style="229" customWidth="1"/>
    <col min="2052" max="2052" width="14.7109375" style="229" customWidth="1"/>
    <col min="2053" max="2063" width="6.7109375" style="229" customWidth="1"/>
    <col min="2064" max="2064" width="9.28515625" style="229" bestFit="1" customWidth="1"/>
    <col min="2065" max="2304" width="9.140625" style="229"/>
    <col min="2305" max="2305" width="3.7109375" style="229" customWidth="1"/>
    <col min="2306" max="2306" width="14.42578125" style="229" customWidth="1"/>
    <col min="2307" max="2307" width="3.7109375" style="229" customWidth="1"/>
    <col min="2308" max="2308" width="14.7109375" style="229" customWidth="1"/>
    <col min="2309" max="2319" width="6.7109375" style="229" customWidth="1"/>
    <col min="2320" max="2320" width="9.28515625" style="229" bestFit="1" customWidth="1"/>
    <col min="2321" max="2560" width="9.140625" style="229"/>
    <col min="2561" max="2561" width="3.7109375" style="229" customWidth="1"/>
    <col min="2562" max="2562" width="14.42578125" style="229" customWidth="1"/>
    <col min="2563" max="2563" width="3.7109375" style="229" customWidth="1"/>
    <col min="2564" max="2564" width="14.7109375" style="229" customWidth="1"/>
    <col min="2565" max="2575" width="6.7109375" style="229" customWidth="1"/>
    <col min="2576" max="2576" width="9.28515625" style="229" bestFit="1" customWidth="1"/>
    <col min="2577" max="2816" width="9.140625" style="229"/>
    <col min="2817" max="2817" width="3.7109375" style="229" customWidth="1"/>
    <col min="2818" max="2818" width="14.42578125" style="229" customWidth="1"/>
    <col min="2819" max="2819" width="3.7109375" style="229" customWidth="1"/>
    <col min="2820" max="2820" width="14.7109375" style="229" customWidth="1"/>
    <col min="2821" max="2831" width="6.7109375" style="229" customWidth="1"/>
    <col min="2832" max="2832" width="9.28515625" style="229" bestFit="1" customWidth="1"/>
    <col min="2833" max="3072" width="9.140625" style="229"/>
    <col min="3073" max="3073" width="3.7109375" style="229" customWidth="1"/>
    <col min="3074" max="3074" width="14.42578125" style="229" customWidth="1"/>
    <col min="3075" max="3075" width="3.7109375" style="229" customWidth="1"/>
    <col min="3076" max="3076" width="14.7109375" style="229" customWidth="1"/>
    <col min="3077" max="3087" width="6.7109375" style="229" customWidth="1"/>
    <col min="3088" max="3088" width="9.28515625" style="229" bestFit="1" customWidth="1"/>
    <col min="3089" max="3328" width="9.140625" style="229"/>
    <col min="3329" max="3329" width="3.7109375" style="229" customWidth="1"/>
    <col min="3330" max="3330" width="14.42578125" style="229" customWidth="1"/>
    <col min="3331" max="3331" width="3.7109375" style="229" customWidth="1"/>
    <col min="3332" max="3332" width="14.7109375" style="229" customWidth="1"/>
    <col min="3333" max="3343" width="6.7109375" style="229" customWidth="1"/>
    <col min="3344" max="3344" width="9.28515625" style="229" bestFit="1" customWidth="1"/>
    <col min="3345" max="3584" width="9.140625" style="229"/>
    <col min="3585" max="3585" width="3.7109375" style="229" customWidth="1"/>
    <col min="3586" max="3586" width="14.42578125" style="229" customWidth="1"/>
    <col min="3587" max="3587" width="3.7109375" style="229" customWidth="1"/>
    <col min="3588" max="3588" width="14.7109375" style="229" customWidth="1"/>
    <col min="3589" max="3599" width="6.7109375" style="229" customWidth="1"/>
    <col min="3600" max="3600" width="9.28515625" style="229" bestFit="1" customWidth="1"/>
    <col min="3601" max="3840" width="9.140625" style="229"/>
    <col min="3841" max="3841" width="3.7109375" style="229" customWidth="1"/>
    <col min="3842" max="3842" width="14.42578125" style="229" customWidth="1"/>
    <col min="3843" max="3843" width="3.7109375" style="229" customWidth="1"/>
    <col min="3844" max="3844" width="14.7109375" style="229" customWidth="1"/>
    <col min="3845" max="3855" width="6.7109375" style="229" customWidth="1"/>
    <col min="3856" max="3856" width="9.28515625" style="229" bestFit="1" customWidth="1"/>
    <col min="3857" max="4096" width="9.140625" style="229"/>
    <col min="4097" max="4097" width="3.7109375" style="229" customWidth="1"/>
    <col min="4098" max="4098" width="14.42578125" style="229" customWidth="1"/>
    <col min="4099" max="4099" width="3.7109375" style="229" customWidth="1"/>
    <col min="4100" max="4100" width="14.7109375" style="229" customWidth="1"/>
    <col min="4101" max="4111" width="6.7109375" style="229" customWidth="1"/>
    <col min="4112" max="4112" width="9.28515625" style="229" bestFit="1" customWidth="1"/>
    <col min="4113" max="4352" width="9.140625" style="229"/>
    <col min="4353" max="4353" width="3.7109375" style="229" customWidth="1"/>
    <col min="4354" max="4354" width="14.42578125" style="229" customWidth="1"/>
    <col min="4355" max="4355" width="3.7109375" style="229" customWidth="1"/>
    <col min="4356" max="4356" width="14.7109375" style="229" customWidth="1"/>
    <col min="4357" max="4367" width="6.7109375" style="229" customWidth="1"/>
    <col min="4368" max="4368" width="9.28515625" style="229" bestFit="1" customWidth="1"/>
    <col min="4369" max="4608" width="9.140625" style="229"/>
    <col min="4609" max="4609" width="3.7109375" style="229" customWidth="1"/>
    <col min="4610" max="4610" width="14.42578125" style="229" customWidth="1"/>
    <col min="4611" max="4611" width="3.7109375" style="229" customWidth="1"/>
    <col min="4612" max="4612" width="14.7109375" style="229" customWidth="1"/>
    <col min="4613" max="4623" width="6.7109375" style="229" customWidth="1"/>
    <col min="4624" max="4624" width="9.28515625" style="229" bestFit="1" customWidth="1"/>
    <col min="4625" max="4864" width="9.140625" style="229"/>
    <col min="4865" max="4865" width="3.7109375" style="229" customWidth="1"/>
    <col min="4866" max="4866" width="14.42578125" style="229" customWidth="1"/>
    <col min="4867" max="4867" width="3.7109375" style="229" customWidth="1"/>
    <col min="4868" max="4868" width="14.7109375" style="229" customWidth="1"/>
    <col min="4869" max="4879" width="6.7109375" style="229" customWidth="1"/>
    <col min="4880" max="4880" width="9.28515625" style="229" bestFit="1" customWidth="1"/>
    <col min="4881" max="5120" width="9.140625" style="229"/>
    <col min="5121" max="5121" width="3.7109375" style="229" customWidth="1"/>
    <col min="5122" max="5122" width="14.42578125" style="229" customWidth="1"/>
    <col min="5123" max="5123" width="3.7109375" style="229" customWidth="1"/>
    <col min="5124" max="5124" width="14.7109375" style="229" customWidth="1"/>
    <col min="5125" max="5135" width="6.7109375" style="229" customWidth="1"/>
    <col min="5136" max="5136" width="9.28515625" style="229" bestFit="1" customWidth="1"/>
    <col min="5137" max="5376" width="9.140625" style="229"/>
    <col min="5377" max="5377" width="3.7109375" style="229" customWidth="1"/>
    <col min="5378" max="5378" width="14.42578125" style="229" customWidth="1"/>
    <col min="5379" max="5379" width="3.7109375" style="229" customWidth="1"/>
    <col min="5380" max="5380" width="14.7109375" style="229" customWidth="1"/>
    <col min="5381" max="5391" width="6.7109375" style="229" customWidth="1"/>
    <col min="5392" max="5392" width="9.28515625" style="229" bestFit="1" customWidth="1"/>
    <col min="5393" max="5632" width="9.140625" style="229"/>
    <col min="5633" max="5633" width="3.7109375" style="229" customWidth="1"/>
    <col min="5634" max="5634" width="14.42578125" style="229" customWidth="1"/>
    <col min="5635" max="5635" width="3.7109375" style="229" customWidth="1"/>
    <col min="5636" max="5636" width="14.7109375" style="229" customWidth="1"/>
    <col min="5637" max="5647" width="6.7109375" style="229" customWidth="1"/>
    <col min="5648" max="5648" width="9.28515625" style="229" bestFit="1" customWidth="1"/>
    <col min="5649" max="5888" width="9.140625" style="229"/>
    <col min="5889" max="5889" width="3.7109375" style="229" customWidth="1"/>
    <col min="5890" max="5890" width="14.42578125" style="229" customWidth="1"/>
    <col min="5891" max="5891" width="3.7109375" style="229" customWidth="1"/>
    <col min="5892" max="5892" width="14.7109375" style="229" customWidth="1"/>
    <col min="5893" max="5903" width="6.7109375" style="229" customWidth="1"/>
    <col min="5904" max="5904" width="9.28515625" style="229" bestFit="1" customWidth="1"/>
    <col min="5905" max="6144" width="9.140625" style="229"/>
    <col min="6145" max="6145" width="3.7109375" style="229" customWidth="1"/>
    <col min="6146" max="6146" width="14.42578125" style="229" customWidth="1"/>
    <col min="6147" max="6147" width="3.7109375" style="229" customWidth="1"/>
    <col min="6148" max="6148" width="14.7109375" style="229" customWidth="1"/>
    <col min="6149" max="6159" width="6.7109375" style="229" customWidth="1"/>
    <col min="6160" max="6160" width="9.28515625" style="229" bestFit="1" customWidth="1"/>
    <col min="6161" max="6400" width="9.140625" style="229"/>
    <col min="6401" max="6401" width="3.7109375" style="229" customWidth="1"/>
    <col min="6402" max="6402" width="14.42578125" style="229" customWidth="1"/>
    <col min="6403" max="6403" width="3.7109375" style="229" customWidth="1"/>
    <col min="6404" max="6404" width="14.7109375" style="229" customWidth="1"/>
    <col min="6405" max="6415" width="6.7109375" style="229" customWidth="1"/>
    <col min="6416" max="6416" width="9.28515625" style="229" bestFit="1" customWidth="1"/>
    <col min="6417" max="6656" width="9.140625" style="229"/>
    <col min="6657" max="6657" width="3.7109375" style="229" customWidth="1"/>
    <col min="6658" max="6658" width="14.42578125" style="229" customWidth="1"/>
    <col min="6659" max="6659" width="3.7109375" style="229" customWidth="1"/>
    <col min="6660" max="6660" width="14.7109375" style="229" customWidth="1"/>
    <col min="6661" max="6671" width="6.7109375" style="229" customWidth="1"/>
    <col min="6672" max="6672" width="9.28515625" style="229" bestFit="1" customWidth="1"/>
    <col min="6673" max="6912" width="9.140625" style="229"/>
    <col min="6913" max="6913" width="3.7109375" style="229" customWidth="1"/>
    <col min="6914" max="6914" width="14.42578125" style="229" customWidth="1"/>
    <col min="6915" max="6915" width="3.7109375" style="229" customWidth="1"/>
    <col min="6916" max="6916" width="14.7109375" style="229" customWidth="1"/>
    <col min="6917" max="6927" width="6.7109375" style="229" customWidth="1"/>
    <col min="6928" max="6928" width="9.28515625" style="229" bestFit="1" customWidth="1"/>
    <col min="6929" max="7168" width="9.140625" style="229"/>
    <col min="7169" max="7169" width="3.7109375" style="229" customWidth="1"/>
    <col min="7170" max="7170" width="14.42578125" style="229" customWidth="1"/>
    <col min="7171" max="7171" width="3.7109375" style="229" customWidth="1"/>
    <col min="7172" max="7172" width="14.7109375" style="229" customWidth="1"/>
    <col min="7173" max="7183" width="6.7109375" style="229" customWidth="1"/>
    <col min="7184" max="7184" width="9.28515625" style="229" bestFit="1" customWidth="1"/>
    <col min="7185" max="7424" width="9.140625" style="229"/>
    <col min="7425" max="7425" width="3.7109375" style="229" customWidth="1"/>
    <col min="7426" max="7426" width="14.42578125" style="229" customWidth="1"/>
    <col min="7427" max="7427" width="3.7109375" style="229" customWidth="1"/>
    <col min="7428" max="7428" width="14.7109375" style="229" customWidth="1"/>
    <col min="7429" max="7439" width="6.7109375" style="229" customWidth="1"/>
    <col min="7440" max="7440" width="9.28515625" style="229" bestFit="1" customWidth="1"/>
    <col min="7441" max="7680" width="9.140625" style="229"/>
    <col min="7681" max="7681" width="3.7109375" style="229" customWidth="1"/>
    <col min="7682" max="7682" width="14.42578125" style="229" customWidth="1"/>
    <col min="7683" max="7683" width="3.7109375" style="229" customWidth="1"/>
    <col min="7684" max="7684" width="14.7109375" style="229" customWidth="1"/>
    <col min="7685" max="7695" width="6.7109375" style="229" customWidth="1"/>
    <col min="7696" max="7696" width="9.28515625" style="229" bestFit="1" customWidth="1"/>
    <col min="7697" max="7936" width="9.140625" style="229"/>
    <col min="7937" max="7937" width="3.7109375" style="229" customWidth="1"/>
    <col min="7938" max="7938" width="14.42578125" style="229" customWidth="1"/>
    <col min="7939" max="7939" width="3.7109375" style="229" customWidth="1"/>
    <col min="7940" max="7940" width="14.7109375" style="229" customWidth="1"/>
    <col min="7941" max="7951" width="6.7109375" style="229" customWidth="1"/>
    <col min="7952" max="7952" width="9.28515625" style="229" bestFit="1" customWidth="1"/>
    <col min="7953" max="8192" width="9.140625" style="229"/>
    <col min="8193" max="8193" width="3.7109375" style="229" customWidth="1"/>
    <col min="8194" max="8194" width="14.42578125" style="229" customWidth="1"/>
    <col min="8195" max="8195" width="3.7109375" style="229" customWidth="1"/>
    <col min="8196" max="8196" width="14.7109375" style="229" customWidth="1"/>
    <col min="8197" max="8207" width="6.7109375" style="229" customWidth="1"/>
    <col min="8208" max="8208" width="9.28515625" style="229" bestFit="1" customWidth="1"/>
    <col min="8209" max="8448" width="9.140625" style="229"/>
    <col min="8449" max="8449" width="3.7109375" style="229" customWidth="1"/>
    <col min="8450" max="8450" width="14.42578125" style="229" customWidth="1"/>
    <col min="8451" max="8451" width="3.7109375" style="229" customWidth="1"/>
    <col min="8452" max="8452" width="14.7109375" style="229" customWidth="1"/>
    <col min="8453" max="8463" width="6.7109375" style="229" customWidth="1"/>
    <col min="8464" max="8464" width="9.28515625" style="229" bestFit="1" customWidth="1"/>
    <col min="8465" max="8704" width="9.140625" style="229"/>
    <col min="8705" max="8705" width="3.7109375" style="229" customWidth="1"/>
    <col min="8706" max="8706" width="14.42578125" style="229" customWidth="1"/>
    <col min="8707" max="8707" width="3.7109375" style="229" customWidth="1"/>
    <col min="8708" max="8708" width="14.7109375" style="229" customWidth="1"/>
    <col min="8709" max="8719" width="6.7109375" style="229" customWidth="1"/>
    <col min="8720" max="8720" width="9.28515625" style="229" bestFit="1" customWidth="1"/>
    <col min="8721" max="8960" width="9.140625" style="229"/>
    <col min="8961" max="8961" width="3.7109375" style="229" customWidth="1"/>
    <col min="8962" max="8962" width="14.42578125" style="229" customWidth="1"/>
    <col min="8963" max="8963" width="3.7109375" style="229" customWidth="1"/>
    <col min="8964" max="8964" width="14.7109375" style="229" customWidth="1"/>
    <col min="8965" max="8975" width="6.7109375" style="229" customWidth="1"/>
    <col min="8976" max="8976" width="9.28515625" style="229" bestFit="1" customWidth="1"/>
    <col min="8977" max="9216" width="9.140625" style="229"/>
    <col min="9217" max="9217" width="3.7109375" style="229" customWidth="1"/>
    <col min="9218" max="9218" width="14.42578125" style="229" customWidth="1"/>
    <col min="9219" max="9219" width="3.7109375" style="229" customWidth="1"/>
    <col min="9220" max="9220" width="14.7109375" style="229" customWidth="1"/>
    <col min="9221" max="9231" width="6.7109375" style="229" customWidth="1"/>
    <col min="9232" max="9232" width="9.28515625" style="229" bestFit="1" customWidth="1"/>
    <col min="9233" max="9472" width="9.140625" style="229"/>
    <col min="9473" max="9473" width="3.7109375" style="229" customWidth="1"/>
    <col min="9474" max="9474" width="14.42578125" style="229" customWidth="1"/>
    <col min="9475" max="9475" width="3.7109375" style="229" customWidth="1"/>
    <col min="9476" max="9476" width="14.7109375" style="229" customWidth="1"/>
    <col min="9477" max="9487" width="6.7109375" style="229" customWidth="1"/>
    <col min="9488" max="9488" width="9.28515625" style="229" bestFit="1" customWidth="1"/>
    <col min="9489" max="9728" width="9.140625" style="229"/>
    <col min="9729" max="9729" width="3.7109375" style="229" customWidth="1"/>
    <col min="9730" max="9730" width="14.42578125" style="229" customWidth="1"/>
    <col min="9731" max="9731" width="3.7109375" style="229" customWidth="1"/>
    <col min="9732" max="9732" width="14.7109375" style="229" customWidth="1"/>
    <col min="9733" max="9743" width="6.7109375" style="229" customWidth="1"/>
    <col min="9744" max="9744" width="9.28515625" style="229" bestFit="1" customWidth="1"/>
    <col min="9745" max="9984" width="9.140625" style="229"/>
    <col min="9985" max="9985" width="3.7109375" style="229" customWidth="1"/>
    <col min="9986" max="9986" width="14.42578125" style="229" customWidth="1"/>
    <col min="9987" max="9987" width="3.7109375" style="229" customWidth="1"/>
    <col min="9988" max="9988" width="14.7109375" style="229" customWidth="1"/>
    <col min="9989" max="9999" width="6.7109375" style="229" customWidth="1"/>
    <col min="10000" max="10000" width="9.28515625" style="229" bestFit="1" customWidth="1"/>
    <col min="10001" max="10240" width="9.140625" style="229"/>
    <col min="10241" max="10241" width="3.7109375" style="229" customWidth="1"/>
    <col min="10242" max="10242" width="14.42578125" style="229" customWidth="1"/>
    <col min="10243" max="10243" width="3.7109375" style="229" customWidth="1"/>
    <col min="10244" max="10244" width="14.7109375" style="229" customWidth="1"/>
    <col min="10245" max="10255" width="6.7109375" style="229" customWidth="1"/>
    <col min="10256" max="10256" width="9.28515625" style="229" bestFit="1" customWidth="1"/>
    <col min="10257" max="10496" width="9.140625" style="229"/>
    <col min="10497" max="10497" width="3.7109375" style="229" customWidth="1"/>
    <col min="10498" max="10498" width="14.42578125" style="229" customWidth="1"/>
    <col min="10499" max="10499" width="3.7109375" style="229" customWidth="1"/>
    <col min="10500" max="10500" width="14.7109375" style="229" customWidth="1"/>
    <col min="10501" max="10511" width="6.7109375" style="229" customWidth="1"/>
    <col min="10512" max="10512" width="9.28515625" style="229" bestFit="1" customWidth="1"/>
    <col min="10513" max="10752" width="9.140625" style="229"/>
    <col min="10753" max="10753" width="3.7109375" style="229" customWidth="1"/>
    <col min="10754" max="10754" width="14.42578125" style="229" customWidth="1"/>
    <col min="10755" max="10755" width="3.7109375" style="229" customWidth="1"/>
    <col min="10756" max="10756" width="14.7109375" style="229" customWidth="1"/>
    <col min="10757" max="10767" width="6.7109375" style="229" customWidth="1"/>
    <col min="10768" max="10768" width="9.28515625" style="229" bestFit="1" customWidth="1"/>
    <col min="10769" max="11008" width="9.140625" style="229"/>
    <col min="11009" max="11009" width="3.7109375" style="229" customWidth="1"/>
    <col min="11010" max="11010" width="14.42578125" style="229" customWidth="1"/>
    <col min="11011" max="11011" width="3.7109375" style="229" customWidth="1"/>
    <col min="11012" max="11012" width="14.7109375" style="229" customWidth="1"/>
    <col min="11013" max="11023" width="6.7109375" style="229" customWidth="1"/>
    <col min="11024" max="11024" width="9.28515625" style="229" bestFit="1" customWidth="1"/>
    <col min="11025" max="11264" width="9.140625" style="229"/>
    <col min="11265" max="11265" width="3.7109375" style="229" customWidth="1"/>
    <col min="11266" max="11266" width="14.42578125" style="229" customWidth="1"/>
    <col min="11267" max="11267" width="3.7109375" style="229" customWidth="1"/>
    <col min="11268" max="11268" width="14.7109375" style="229" customWidth="1"/>
    <col min="11269" max="11279" width="6.7109375" style="229" customWidth="1"/>
    <col min="11280" max="11280" width="9.28515625" style="229" bestFit="1" customWidth="1"/>
    <col min="11281" max="11520" width="9.140625" style="229"/>
    <col min="11521" max="11521" width="3.7109375" style="229" customWidth="1"/>
    <col min="11522" max="11522" width="14.42578125" style="229" customWidth="1"/>
    <col min="11523" max="11523" width="3.7109375" style="229" customWidth="1"/>
    <col min="11524" max="11524" width="14.7109375" style="229" customWidth="1"/>
    <col min="11525" max="11535" width="6.7109375" style="229" customWidth="1"/>
    <col min="11536" max="11536" width="9.28515625" style="229" bestFit="1" customWidth="1"/>
    <col min="11537" max="11776" width="9.140625" style="229"/>
    <col min="11777" max="11777" width="3.7109375" style="229" customWidth="1"/>
    <col min="11778" max="11778" width="14.42578125" style="229" customWidth="1"/>
    <col min="11779" max="11779" width="3.7109375" style="229" customWidth="1"/>
    <col min="11780" max="11780" width="14.7109375" style="229" customWidth="1"/>
    <col min="11781" max="11791" width="6.7109375" style="229" customWidth="1"/>
    <col min="11792" max="11792" width="9.28515625" style="229" bestFit="1" customWidth="1"/>
    <col min="11793" max="12032" width="9.140625" style="229"/>
    <col min="12033" max="12033" width="3.7109375" style="229" customWidth="1"/>
    <col min="12034" max="12034" width="14.42578125" style="229" customWidth="1"/>
    <col min="12035" max="12035" width="3.7109375" style="229" customWidth="1"/>
    <col min="12036" max="12036" width="14.7109375" style="229" customWidth="1"/>
    <col min="12037" max="12047" width="6.7109375" style="229" customWidth="1"/>
    <col min="12048" max="12048" width="9.28515625" style="229" bestFit="1" customWidth="1"/>
    <col min="12049" max="12288" width="9.140625" style="229"/>
    <col min="12289" max="12289" width="3.7109375" style="229" customWidth="1"/>
    <col min="12290" max="12290" width="14.42578125" style="229" customWidth="1"/>
    <col min="12291" max="12291" width="3.7109375" style="229" customWidth="1"/>
    <col min="12292" max="12292" width="14.7109375" style="229" customWidth="1"/>
    <col min="12293" max="12303" width="6.7109375" style="229" customWidth="1"/>
    <col min="12304" max="12304" width="9.28515625" style="229" bestFit="1" customWidth="1"/>
    <col min="12305" max="12544" width="9.140625" style="229"/>
    <col min="12545" max="12545" width="3.7109375" style="229" customWidth="1"/>
    <col min="12546" max="12546" width="14.42578125" style="229" customWidth="1"/>
    <col min="12547" max="12547" width="3.7109375" style="229" customWidth="1"/>
    <col min="12548" max="12548" width="14.7109375" style="229" customWidth="1"/>
    <col min="12549" max="12559" width="6.7109375" style="229" customWidth="1"/>
    <col min="12560" max="12560" width="9.28515625" style="229" bestFit="1" customWidth="1"/>
    <col min="12561" max="12800" width="9.140625" style="229"/>
    <col min="12801" max="12801" width="3.7109375" style="229" customWidth="1"/>
    <col min="12802" max="12802" width="14.42578125" style="229" customWidth="1"/>
    <col min="12803" max="12803" width="3.7109375" style="229" customWidth="1"/>
    <col min="12804" max="12804" width="14.7109375" style="229" customWidth="1"/>
    <col min="12805" max="12815" width="6.7109375" style="229" customWidth="1"/>
    <col min="12816" max="12816" width="9.28515625" style="229" bestFit="1" customWidth="1"/>
    <col min="12817" max="13056" width="9.140625" style="229"/>
    <col min="13057" max="13057" width="3.7109375" style="229" customWidth="1"/>
    <col min="13058" max="13058" width="14.42578125" style="229" customWidth="1"/>
    <col min="13059" max="13059" width="3.7109375" style="229" customWidth="1"/>
    <col min="13060" max="13060" width="14.7109375" style="229" customWidth="1"/>
    <col min="13061" max="13071" width="6.7109375" style="229" customWidth="1"/>
    <col min="13072" max="13072" width="9.28515625" style="229" bestFit="1" customWidth="1"/>
    <col min="13073" max="13312" width="9.140625" style="229"/>
    <col min="13313" max="13313" width="3.7109375" style="229" customWidth="1"/>
    <col min="13314" max="13314" width="14.42578125" style="229" customWidth="1"/>
    <col min="13315" max="13315" width="3.7109375" style="229" customWidth="1"/>
    <col min="13316" max="13316" width="14.7109375" style="229" customWidth="1"/>
    <col min="13317" max="13327" width="6.7109375" style="229" customWidth="1"/>
    <col min="13328" max="13328" width="9.28515625" style="229" bestFit="1" customWidth="1"/>
    <col min="13329" max="13568" width="9.140625" style="229"/>
    <col min="13569" max="13569" width="3.7109375" style="229" customWidth="1"/>
    <col min="13570" max="13570" width="14.42578125" style="229" customWidth="1"/>
    <col min="13571" max="13571" width="3.7109375" style="229" customWidth="1"/>
    <col min="13572" max="13572" width="14.7109375" style="229" customWidth="1"/>
    <col min="13573" max="13583" width="6.7109375" style="229" customWidth="1"/>
    <col min="13584" max="13584" width="9.28515625" style="229" bestFit="1" customWidth="1"/>
    <col min="13585" max="13824" width="9.140625" style="229"/>
    <col min="13825" max="13825" width="3.7109375" style="229" customWidth="1"/>
    <col min="13826" max="13826" width="14.42578125" style="229" customWidth="1"/>
    <col min="13827" max="13827" width="3.7109375" style="229" customWidth="1"/>
    <col min="13828" max="13828" width="14.7109375" style="229" customWidth="1"/>
    <col min="13829" max="13839" width="6.7109375" style="229" customWidth="1"/>
    <col min="13840" max="13840" width="9.28515625" style="229" bestFit="1" customWidth="1"/>
    <col min="13841" max="14080" width="9.140625" style="229"/>
    <col min="14081" max="14081" width="3.7109375" style="229" customWidth="1"/>
    <col min="14082" max="14082" width="14.42578125" style="229" customWidth="1"/>
    <col min="14083" max="14083" width="3.7109375" style="229" customWidth="1"/>
    <col min="14084" max="14084" width="14.7109375" style="229" customWidth="1"/>
    <col min="14085" max="14095" width="6.7109375" style="229" customWidth="1"/>
    <col min="14096" max="14096" width="9.28515625" style="229" bestFit="1" customWidth="1"/>
    <col min="14097" max="14336" width="9.140625" style="229"/>
    <col min="14337" max="14337" width="3.7109375" style="229" customWidth="1"/>
    <col min="14338" max="14338" width="14.42578125" style="229" customWidth="1"/>
    <col min="14339" max="14339" width="3.7109375" style="229" customWidth="1"/>
    <col min="14340" max="14340" width="14.7109375" style="229" customWidth="1"/>
    <col min="14341" max="14351" width="6.7109375" style="229" customWidth="1"/>
    <col min="14352" max="14352" width="9.28515625" style="229" bestFit="1" customWidth="1"/>
    <col min="14353" max="14592" width="9.140625" style="229"/>
    <col min="14593" max="14593" width="3.7109375" style="229" customWidth="1"/>
    <col min="14594" max="14594" width="14.42578125" style="229" customWidth="1"/>
    <col min="14595" max="14595" width="3.7109375" style="229" customWidth="1"/>
    <col min="14596" max="14596" width="14.7109375" style="229" customWidth="1"/>
    <col min="14597" max="14607" width="6.7109375" style="229" customWidth="1"/>
    <col min="14608" max="14608" width="9.28515625" style="229" bestFit="1" customWidth="1"/>
    <col min="14609" max="14848" width="9.140625" style="229"/>
    <col min="14849" max="14849" width="3.7109375" style="229" customWidth="1"/>
    <col min="14850" max="14850" width="14.42578125" style="229" customWidth="1"/>
    <col min="14851" max="14851" width="3.7109375" style="229" customWidth="1"/>
    <col min="14852" max="14852" width="14.7109375" style="229" customWidth="1"/>
    <col min="14853" max="14863" width="6.7109375" style="229" customWidth="1"/>
    <col min="14864" max="14864" width="9.28515625" style="229" bestFit="1" customWidth="1"/>
    <col min="14865" max="15104" width="9.140625" style="229"/>
    <col min="15105" max="15105" width="3.7109375" style="229" customWidth="1"/>
    <col min="15106" max="15106" width="14.42578125" style="229" customWidth="1"/>
    <col min="15107" max="15107" width="3.7109375" style="229" customWidth="1"/>
    <col min="15108" max="15108" width="14.7109375" style="229" customWidth="1"/>
    <col min="15109" max="15119" width="6.7109375" style="229" customWidth="1"/>
    <col min="15120" max="15120" width="9.28515625" style="229" bestFit="1" customWidth="1"/>
    <col min="15121" max="15360" width="9.140625" style="229"/>
    <col min="15361" max="15361" width="3.7109375" style="229" customWidth="1"/>
    <col min="15362" max="15362" width="14.42578125" style="229" customWidth="1"/>
    <col min="15363" max="15363" width="3.7109375" style="229" customWidth="1"/>
    <col min="15364" max="15364" width="14.7109375" style="229" customWidth="1"/>
    <col min="15365" max="15375" width="6.7109375" style="229" customWidth="1"/>
    <col min="15376" max="15376" width="9.28515625" style="229" bestFit="1" customWidth="1"/>
    <col min="15377" max="15616" width="9.140625" style="229"/>
    <col min="15617" max="15617" width="3.7109375" style="229" customWidth="1"/>
    <col min="15618" max="15618" width="14.42578125" style="229" customWidth="1"/>
    <col min="15619" max="15619" width="3.7109375" style="229" customWidth="1"/>
    <col min="15620" max="15620" width="14.7109375" style="229" customWidth="1"/>
    <col min="15621" max="15631" width="6.7109375" style="229" customWidth="1"/>
    <col min="15632" max="15632" width="9.28515625" style="229" bestFit="1" customWidth="1"/>
    <col min="15633" max="15872" width="9.140625" style="229"/>
    <col min="15873" max="15873" width="3.7109375" style="229" customWidth="1"/>
    <col min="15874" max="15874" width="14.42578125" style="229" customWidth="1"/>
    <col min="15875" max="15875" width="3.7109375" style="229" customWidth="1"/>
    <col min="15876" max="15876" width="14.7109375" style="229" customWidth="1"/>
    <col min="15877" max="15887" width="6.7109375" style="229" customWidth="1"/>
    <col min="15888" max="15888" width="9.28515625" style="229" bestFit="1" customWidth="1"/>
    <col min="15889" max="16128" width="9.140625" style="229"/>
    <col min="16129" max="16129" width="3.7109375" style="229" customWidth="1"/>
    <col min="16130" max="16130" width="14.42578125" style="229" customWidth="1"/>
    <col min="16131" max="16131" width="3.7109375" style="229" customWidth="1"/>
    <col min="16132" max="16132" width="14.7109375" style="229" customWidth="1"/>
    <col min="16133" max="16143" width="6.7109375" style="229" customWidth="1"/>
    <col min="16144" max="16144" width="9.28515625" style="229" bestFit="1" customWidth="1"/>
    <col min="16145" max="16384" width="9.140625" style="229"/>
  </cols>
  <sheetData>
    <row r="1" spans="1:28" ht="15.75" x14ac:dyDescent="0.25">
      <c r="D1" s="1954"/>
      <c r="E1" s="1954"/>
      <c r="F1" s="1954"/>
      <c r="G1" s="1954"/>
      <c r="H1" s="1954"/>
      <c r="I1" s="1954"/>
      <c r="J1" s="1954"/>
      <c r="K1" s="1955"/>
      <c r="L1" s="1955"/>
      <c r="M1" s="1955"/>
      <c r="N1" s="1955"/>
      <c r="O1" s="1955"/>
      <c r="P1" s="1951"/>
      <c r="Q1" s="1951"/>
      <c r="R1" s="1951"/>
      <c r="S1" s="1951"/>
    </row>
    <row r="2" spans="1:28" ht="12.75" customHeight="1" x14ac:dyDescent="0.25">
      <c r="A2" s="453">
        <v>1</v>
      </c>
      <c r="B2" s="453" t="s">
        <v>24</v>
      </c>
      <c r="C2" s="453">
        <f>1+'Race relations opinion'!C2</f>
        <v>59</v>
      </c>
      <c r="D2" s="3553" t="s">
        <v>1167</v>
      </c>
      <c r="E2" s="3554"/>
      <c r="F2" s="3554"/>
      <c r="G2" s="3554"/>
      <c r="H2" s="3554"/>
      <c r="I2" s="3554"/>
      <c r="J2" s="1456"/>
      <c r="K2" s="1456"/>
      <c r="L2" s="1456"/>
      <c r="M2" s="1456"/>
      <c r="N2" s="1456"/>
      <c r="O2" s="1457"/>
      <c r="P2" s="1179"/>
      <c r="Q2" s="1956"/>
      <c r="R2" s="1957"/>
      <c r="S2" s="1957"/>
      <c r="T2" s="766"/>
      <c r="U2" s="766"/>
      <c r="V2" s="766"/>
    </row>
    <row r="3" spans="1:28" ht="12.75" customHeight="1" x14ac:dyDescent="0.25">
      <c r="A3" s="453">
        <v>2</v>
      </c>
      <c r="B3" s="453" t="s">
        <v>26</v>
      </c>
      <c r="C3" s="453"/>
      <c r="D3" s="3553" t="s">
        <v>1144</v>
      </c>
      <c r="E3" s="3554"/>
      <c r="F3" s="3554"/>
      <c r="G3" s="3554"/>
      <c r="H3" s="3554"/>
      <c r="I3" s="3554"/>
      <c r="J3" s="3554"/>
      <c r="K3" s="3554"/>
      <c r="L3" s="3554"/>
      <c r="M3" s="3554"/>
      <c r="N3" s="3554"/>
      <c r="O3" s="3555"/>
      <c r="P3" s="1179"/>
      <c r="Q3" s="1956"/>
      <c r="R3" s="1951"/>
      <c r="S3" s="1951"/>
    </row>
    <row r="4" spans="1:28" ht="15" customHeight="1" x14ac:dyDescent="0.25">
      <c r="A4" s="453">
        <v>3</v>
      </c>
      <c r="B4" s="453" t="s">
        <v>28</v>
      </c>
      <c r="C4" s="453"/>
      <c r="D4" s="3556" t="s">
        <v>1166</v>
      </c>
      <c r="E4" s="3557"/>
      <c r="F4" s="3557"/>
      <c r="G4" s="3557"/>
      <c r="H4" s="3557"/>
      <c r="I4" s="3557"/>
      <c r="J4" s="3557"/>
      <c r="K4" s="3557"/>
      <c r="L4" s="3557"/>
      <c r="M4" s="3557"/>
      <c r="N4" s="3557"/>
      <c r="O4" s="3558"/>
      <c r="P4" s="1179"/>
      <c r="Q4" s="1956"/>
      <c r="R4" s="1951"/>
      <c r="S4" s="1951"/>
    </row>
    <row r="5" spans="1:28" ht="16.5" customHeight="1" x14ac:dyDescent="0.25">
      <c r="A5" s="453"/>
      <c r="B5" s="453"/>
      <c r="C5" s="453"/>
      <c r="D5" s="138"/>
      <c r="E5" s="1197"/>
      <c r="F5" s="195"/>
      <c r="G5" s="195"/>
      <c r="H5" s="195"/>
      <c r="I5" s="195"/>
      <c r="J5" s="195"/>
      <c r="K5" s="195"/>
      <c r="L5" s="195"/>
      <c r="M5" s="195"/>
      <c r="N5" s="195"/>
      <c r="O5" s="195"/>
      <c r="P5" s="1179"/>
      <c r="Q5" s="1956"/>
      <c r="R5" s="1951"/>
      <c r="S5" s="1951"/>
    </row>
    <row r="6" spans="1:28" ht="12.75" customHeight="1" x14ac:dyDescent="0.25">
      <c r="A6" s="453">
        <v>4</v>
      </c>
      <c r="B6" s="650" t="s">
        <v>1</v>
      </c>
      <c r="C6" s="650"/>
      <c r="D6" s="1958" t="s">
        <v>93</v>
      </c>
      <c r="E6" s="3911" t="str">
        <f>D2</f>
        <v>Country going in the right direction</v>
      </c>
      <c r="F6" s="3911"/>
      <c r="G6" s="3911"/>
      <c r="H6" s="3911"/>
      <c r="I6" s="3911"/>
      <c r="J6" s="3911"/>
      <c r="K6" s="3912"/>
      <c r="L6" s="3912"/>
      <c r="M6" s="3912"/>
      <c r="N6" s="3912"/>
      <c r="O6" s="3912"/>
      <c r="P6" s="3912"/>
      <c r="Q6" s="3912"/>
      <c r="R6" s="1951"/>
      <c r="S6" s="1951"/>
    </row>
    <row r="7" spans="1:28" ht="15.75" x14ac:dyDescent="0.25">
      <c r="A7" s="453"/>
      <c r="B7" s="453"/>
      <c r="C7" s="453"/>
      <c r="D7" s="2969"/>
      <c r="E7" s="3906" t="s">
        <v>1165</v>
      </c>
      <c r="F7" s="3907"/>
      <c r="G7" s="3908" t="s">
        <v>1164</v>
      </c>
      <c r="H7" s="3907"/>
      <c r="I7" s="3908" t="s">
        <v>1163</v>
      </c>
      <c r="J7" s="3907"/>
      <c r="K7" s="3909" t="s">
        <v>1162</v>
      </c>
      <c r="L7" s="3910"/>
      <c r="M7" s="3908" t="s">
        <v>1161</v>
      </c>
      <c r="N7" s="3907"/>
      <c r="O7" s="1193"/>
      <c r="P7" s="1956"/>
      <c r="Q7" s="1951"/>
      <c r="R7" s="1951"/>
      <c r="AB7" s="229"/>
    </row>
    <row r="8" spans="1:28" ht="15.75" x14ac:dyDescent="0.25">
      <c r="A8" s="453"/>
      <c r="B8" s="453"/>
      <c r="C8" s="453"/>
      <c r="D8" s="2970"/>
      <c r="E8" s="1195" t="s">
        <v>1160</v>
      </c>
      <c r="F8" s="1194" t="s">
        <v>1159</v>
      </c>
      <c r="G8" s="1195" t="s">
        <v>1160</v>
      </c>
      <c r="H8" s="1194" t="s">
        <v>1159</v>
      </c>
      <c r="I8" s="1195" t="s">
        <v>1160</v>
      </c>
      <c r="J8" s="1194" t="s">
        <v>1159</v>
      </c>
      <c r="K8" s="1195" t="s">
        <v>1160</v>
      </c>
      <c r="L8" s="1194" t="s">
        <v>1159</v>
      </c>
      <c r="M8" s="1195" t="s">
        <v>1160</v>
      </c>
      <c r="N8" s="1194" t="s">
        <v>1159</v>
      </c>
      <c r="O8" s="1193"/>
      <c r="P8" s="1956"/>
      <c r="Q8" s="1951"/>
      <c r="R8" s="1951"/>
      <c r="AB8" s="229"/>
    </row>
    <row r="9" spans="1:28" ht="15.75" x14ac:dyDescent="0.25">
      <c r="A9" s="453"/>
      <c r="B9" s="453"/>
      <c r="C9" s="453"/>
      <c r="D9" s="2971" t="s">
        <v>1158</v>
      </c>
      <c r="E9" s="1188">
        <v>76</v>
      </c>
      <c r="F9" s="1186">
        <v>62</v>
      </c>
      <c r="G9" s="1188">
        <v>49</v>
      </c>
      <c r="H9" s="1186">
        <v>66</v>
      </c>
      <c r="I9" s="1188">
        <v>57</v>
      </c>
      <c r="J9" s="1186">
        <v>56</v>
      </c>
      <c r="K9" s="1191"/>
      <c r="L9" s="1186"/>
      <c r="M9" s="1188">
        <v>43</v>
      </c>
      <c r="N9" s="1186">
        <v>48</v>
      </c>
      <c r="O9" s="1180"/>
      <c r="P9" s="1959"/>
      <c r="Q9" s="1951"/>
      <c r="R9" s="1951"/>
      <c r="AB9" s="229"/>
    </row>
    <row r="10" spans="1:28" ht="15.75" x14ac:dyDescent="0.25">
      <c r="A10" s="453"/>
      <c r="B10" s="453"/>
      <c r="C10" s="453"/>
      <c r="D10" s="2972" t="s">
        <v>1157</v>
      </c>
      <c r="E10" s="1188">
        <v>66</v>
      </c>
      <c r="F10" s="1186">
        <v>60</v>
      </c>
      <c r="G10" s="1188">
        <v>56</v>
      </c>
      <c r="H10" s="1186">
        <v>41</v>
      </c>
      <c r="I10" s="1188">
        <v>48.8</v>
      </c>
      <c r="J10" s="1186">
        <v>47.5</v>
      </c>
      <c r="K10" s="1188">
        <v>42.8</v>
      </c>
      <c r="L10" s="1188">
        <v>47.8</v>
      </c>
      <c r="M10" s="1187">
        <v>51.8</v>
      </c>
      <c r="N10" s="1186">
        <v>54</v>
      </c>
      <c r="O10" s="1190"/>
      <c r="P10" s="1956"/>
      <c r="Q10" s="1951"/>
      <c r="R10" s="1951"/>
      <c r="AB10" s="229"/>
    </row>
    <row r="11" spans="1:28" ht="15.75" x14ac:dyDescent="0.25">
      <c r="A11" s="453"/>
      <c r="B11" s="453"/>
      <c r="C11" s="453"/>
      <c r="D11" s="2973" t="s">
        <v>1156</v>
      </c>
      <c r="E11" s="1188">
        <v>73.5</v>
      </c>
      <c r="F11" s="1186">
        <v>67.599999999999994</v>
      </c>
      <c r="G11" s="1188">
        <v>67.5</v>
      </c>
      <c r="H11" s="1186">
        <v>65</v>
      </c>
      <c r="I11" s="1188">
        <v>69</v>
      </c>
      <c r="J11" s="1186">
        <v>50.5</v>
      </c>
      <c r="K11" s="1189">
        <v>59.6</v>
      </c>
      <c r="L11" s="1188">
        <v>54.3</v>
      </c>
      <c r="M11" s="1187">
        <v>45.5</v>
      </c>
      <c r="N11" s="1186">
        <v>38.4</v>
      </c>
      <c r="O11" s="1180"/>
      <c r="P11" s="1956"/>
      <c r="Q11" s="1951"/>
      <c r="R11" s="1951"/>
      <c r="AB11" s="229"/>
    </row>
    <row r="12" spans="1:28" ht="15.75" x14ac:dyDescent="0.25">
      <c r="A12" s="453"/>
      <c r="B12" s="453"/>
      <c r="C12" s="453"/>
      <c r="D12" s="2972" t="s">
        <v>1155</v>
      </c>
      <c r="E12" s="1188">
        <v>42.8</v>
      </c>
      <c r="F12" s="1186">
        <v>56.4</v>
      </c>
      <c r="G12" s="1188">
        <v>55.3</v>
      </c>
      <c r="H12" s="1186">
        <v>50</v>
      </c>
      <c r="I12" s="1188">
        <v>51</v>
      </c>
      <c r="J12" s="1186">
        <v>45.1</v>
      </c>
      <c r="K12" s="1188">
        <v>46.1</v>
      </c>
      <c r="L12" s="1188">
        <v>38.200000000000003</v>
      </c>
      <c r="M12" s="1187">
        <v>37.6</v>
      </c>
      <c r="N12" s="1186">
        <v>33.6</v>
      </c>
      <c r="O12" s="1180"/>
      <c r="P12" s="1956"/>
      <c r="Q12" s="1951"/>
      <c r="R12" s="1951"/>
      <c r="AB12" s="229"/>
    </row>
    <row r="13" spans="1:28" ht="15.75" x14ac:dyDescent="0.25">
      <c r="A13" s="453"/>
      <c r="B13" s="453"/>
      <c r="C13" s="453"/>
      <c r="D13" s="2974" t="s">
        <v>1154</v>
      </c>
      <c r="E13" s="1185">
        <v>40.799999999999997</v>
      </c>
      <c r="F13" s="1185">
        <v>42</v>
      </c>
      <c r="G13" s="1184">
        <v>44</v>
      </c>
      <c r="H13" s="1183">
        <v>40</v>
      </c>
      <c r="I13" s="1185"/>
      <c r="J13" s="1183"/>
      <c r="K13" s="1184"/>
      <c r="L13" s="1185"/>
      <c r="M13" s="1184"/>
      <c r="N13" s="1183"/>
      <c r="O13" s="1180"/>
      <c r="P13" s="1956"/>
      <c r="Q13" s="1951"/>
      <c r="R13" s="1951"/>
      <c r="AB13" s="229"/>
    </row>
    <row r="14" spans="1:28" ht="15.75" x14ac:dyDescent="0.25">
      <c r="A14" s="453"/>
      <c r="B14" s="453"/>
      <c r="C14" s="453"/>
      <c r="D14" s="132"/>
      <c r="E14" s="1181"/>
      <c r="F14" s="1181"/>
      <c r="G14" s="1181"/>
      <c r="H14" s="1181"/>
      <c r="I14" s="1181"/>
      <c r="J14" s="1181"/>
      <c r="K14" s="1181"/>
      <c r="L14" s="1181"/>
      <c r="M14" s="1181"/>
      <c r="N14" s="1181"/>
      <c r="O14" s="1181"/>
      <c r="P14" s="1180"/>
      <c r="Q14" s="1956"/>
      <c r="R14" s="1951"/>
      <c r="S14" s="1951"/>
    </row>
    <row r="15" spans="1:28" ht="15.75" x14ac:dyDescent="0.25">
      <c r="A15" s="453">
        <v>5</v>
      </c>
      <c r="B15" s="453" t="s">
        <v>77</v>
      </c>
      <c r="C15" s="453"/>
      <c r="D15" s="132"/>
      <c r="E15" s="1181"/>
      <c r="F15" s="1181"/>
      <c r="G15" s="1181"/>
      <c r="H15" s="1181"/>
      <c r="I15" s="1181"/>
      <c r="J15" s="1181"/>
      <c r="K15" s="1181"/>
      <c r="L15" s="1181"/>
      <c r="M15" s="1181"/>
      <c r="N15" s="1181"/>
      <c r="O15" s="1181"/>
      <c r="P15" s="1180"/>
      <c r="Q15" s="1956"/>
      <c r="R15" s="1951"/>
      <c r="S15" s="1951"/>
    </row>
    <row r="16" spans="1:28" ht="15.75" x14ac:dyDescent="0.25">
      <c r="A16" s="453"/>
      <c r="B16" s="453"/>
      <c r="C16" s="453"/>
      <c r="D16" s="132"/>
      <c r="E16" s="1181"/>
      <c r="F16" s="1181"/>
      <c r="G16" s="1181"/>
      <c r="H16" s="1181"/>
      <c r="I16" s="1181"/>
      <c r="J16" s="1181"/>
      <c r="K16" s="1181"/>
      <c r="L16" s="1181"/>
      <c r="M16" s="1181"/>
      <c r="N16" s="1181"/>
      <c r="O16" s="1181"/>
      <c r="P16" s="1180"/>
      <c r="Q16" s="1956"/>
      <c r="R16" s="1951"/>
      <c r="S16" s="1951"/>
    </row>
    <row r="17" spans="1:22" ht="15.75" x14ac:dyDescent="0.25">
      <c r="A17" s="453"/>
      <c r="B17" s="453"/>
      <c r="C17" s="453"/>
      <c r="D17" s="132"/>
      <c r="E17" s="1181"/>
      <c r="F17" s="1181"/>
      <c r="G17" s="1181"/>
      <c r="H17" s="1181"/>
      <c r="I17" s="1181"/>
      <c r="J17" s="1181"/>
      <c r="K17" s="1181"/>
      <c r="L17" s="1181"/>
      <c r="M17" s="1181"/>
      <c r="N17" s="1181"/>
      <c r="O17" s="1181"/>
      <c r="P17" s="1180"/>
      <c r="Q17" s="1956"/>
      <c r="R17" s="1951"/>
      <c r="S17" s="1951"/>
      <c r="V17" s="1182"/>
    </row>
    <row r="18" spans="1:22" ht="15.75" x14ac:dyDescent="0.25">
      <c r="A18" s="453"/>
      <c r="B18" s="453"/>
      <c r="C18" s="453"/>
      <c r="D18" s="132"/>
      <c r="E18" s="1181"/>
      <c r="F18" s="1181"/>
      <c r="G18" s="1181"/>
      <c r="H18" s="1181"/>
      <c r="I18" s="1181"/>
      <c r="J18" s="1181"/>
      <c r="K18" s="1181"/>
      <c r="L18" s="1181"/>
      <c r="M18" s="1181"/>
      <c r="N18" s="1181"/>
      <c r="O18" s="1181"/>
      <c r="P18" s="1180"/>
      <c r="Q18" s="1956"/>
      <c r="R18" s="1951"/>
      <c r="S18" s="1951"/>
    </row>
    <row r="19" spans="1:22" ht="15.75" x14ac:dyDescent="0.25">
      <c r="A19" s="453"/>
      <c r="B19" s="453"/>
      <c r="C19" s="453"/>
      <c r="D19" s="132"/>
      <c r="E19" s="1181"/>
      <c r="F19" s="1181"/>
      <c r="G19" s="1181"/>
      <c r="H19" s="1181"/>
      <c r="I19" s="1181"/>
      <c r="J19" s="1181"/>
      <c r="K19" s="1181"/>
      <c r="L19" s="1181"/>
      <c r="M19" s="1181"/>
      <c r="N19" s="1181"/>
      <c r="O19" s="1181"/>
      <c r="P19" s="1180"/>
      <c r="Q19" s="1956"/>
      <c r="R19" s="1951"/>
      <c r="S19" s="1951"/>
    </row>
    <row r="20" spans="1:22" ht="15.75" x14ac:dyDescent="0.25">
      <c r="A20" s="453"/>
      <c r="B20" s="453"/>
      <c r="C20" s="453"/>
      <c r="D20" s="132"/>
      <c r="E20" s="1181"/>
      <c r="F20" s="1181"/>
      <c r="G20" s="1181"/>
      <c r="H20" s="1181"/>
      <c r="I20" s="1181"/>
      <c r="J20" s="1181"/>
      <c r="K20" s="1181"/>
      <c r="L20" s="1181"/>
      <c r="M20" s="1181"/>
      <c r="N20" s="1181"/>
      <c r="O20" s="1181"/>
      <c r="P20" s="1180"/>
      <c r="Q20" s="1956"/>
      <c r="R20" s="1951"/>
      <c r="S20" s="1951"/>
    </row>
    <row r="21" spans="1:22" ht="15.75" x14ac:dyDescent="0.25">
      <c r="A21" s="453"/>
      <c r="B21" s="453"/>
      <c r="C21" s="453"/>
      <c r="D21" s="132"/>
      <c r="E21" s="1181"/>
      <c r="F21" s="1181"/>
      <c r="G21" s="1181"/>
      <c r="H21" s="1181"/>
      <c r="I21" s="1181"/>
      <c r="J21" s="1181"/>
      <c r="K21" s="1181"/>
      <c r="L21" s="1181"/>
      <c r="M21" s="1181"/>
      <c r="N21" s="1181"/>
      <c r="O21" s="1181"/>
      <c r="P21" s="1180"/>
      <c r="Q21" s="1956"/>
      <c r="R21" s="1951"/>
      <c r="S21" s="1951"/>
    </row>
    <row r="22" spans="1:22" ht="15.75" x14ac:dyDescent="0.25">
      <c r="A22" s="453"/>
      <c r="B22" s="453"/>
      <c r="C22" s="453"/>
      <c r="D22" s="132"/>
      <c r="E22" s="1181"/>
      <c r="F22" s="1181"/>
      <c r="G22" s="1181"/>
      <c r="H22" s="1181"/>
      <c r="I22" s="1181"/>
      <c r="J22" s="1181"/>
      <c r="K22" s="1181"/>
      <c r="L22" s="1181"/>
      <c r="M22" s="1181"/>
      <c r="N22" s="1181"/>
      <c r="O22" s="1181"/>
      <c r="P22" s="1180"/>
      <c r="Q22" s="1956"/>
      <c r="R22" s="1951"/>
      <c r="S22" s="1951"/>
    </row>
    <row r="23" spans="1:22" ht="15.75" x14ac:dyDescent="0.25">
      <c r="A23" s="453"/>
      <c r="B23" s="453"/>
      <c r="C23" s="453"/>
      <c r="D23" s="132"/>
      <c r="E23" s="1181"/>
      <c r="F23" s="1181"/>
      <c r="G23" s="1181"/>
      <c r="H23" s="1181"/>
      <c r="I23" s="1181"/>
      <c r="J23" s="1181"/>
      <c r="K23" s="1181"/>
      <c r="L23" s="1181"/>
      <c r="M23" s="1181"/>
      <c r="N23" s="1181"/>
      <c r="O23" s="1181"/>
      <c r="P23" s="1180"/>
      <c r="Q23" s="1960"/>
      <c r="R23" s="1951"/>
      <c r="S23" s="1951"/>
    </row>
    <row r="24" spans="1:22" ht="15.75" x14ac:dyDescent="0.25">
      <c r="A24" s="453"/>
      <c r="B24" s="453"/>
      <c r="C24" s="453"/>
      <c r="D24" s="132"/>
      <c r="E24" s="1181"/>
      <c r="F24" s="1181"/>
      <c r="G24" s="1181"/>
      <c r="H24" s="1181"/>
      <c r="I24" s="1181"/>
      <c r="J24" s="1181"/>
      <c r="K24" s="1181"/>
      <c r="L24" s="1181"/>
      <c r="M24" s="1181"/>
      <c r="N24" s="1181"/>
      <c r="O24" s="1181"/>
      <c r="P24" s="1180"/>
      <c r="Q24" s="1956"/>
      <c r="R24" s="1951"/>
      <c r="S24" s="1951"/>
    </row>
    <row r="25" spans="1:22" ht="15.75" x14ac:dyDescent="0.25">
      <c r="A25" s="453"/>
      <c r="B25" s="453"/>
      <c r="C25" s="453"/>
      <c r="D25" s="132"/>
      <c r="E25" s="1181"/>
      <c r="F25" s="1181"/>
      <c r="G25" s="1181"/>
      <c r="H25" s="1181"/>
      <c r="I25" s="1181"/>
      <c r="J25" s="1181"/>
      <c r="K25" s="1181"/>
      <c r="L25" s="1181"/>
      <c r="M25" s="1181"/>
      <c r="N25" s="1181"/>
      <c r="O25" s="1181"/>
      <c r="P25" s="1180"/>
      <c r="Q25" s="1956"/>
      <c r="R25" s="1951"/>
      <c r="S25" s="1951"/>
    </row>
    <row r="26" spans="1:22" ht="15.75" x14ac:dyDescent="0.25">
      <c r="A26" s="453"/>
      <c r="B26" s="453"/>
      <c r="C26" s="453"/>
      <c r="D26" s="132"/>
      <c r="E26" s="1181"/>
      <c r="F26" s="1181"/>
      <c r="G26" s="1181"/>
      <c r="H26" s="1181"/>
      <c r="I26" s="1181"/>
      <c r="J26" s="1181"/>
      <c r="K26" s="1181"/>
      <c r="L26" s="1181"/>
      <c r="M26" s="1181"/>
      <c r="N26" s="1181"/>
      <c r="O26" s="1181"/>
      <c r="P26" s="1180"/>
      <c r="Q26" s="1956"/>
      <c r="R26" s="1951"/>
      <c r="S26" s="1951"/>
    </row>
    <row r="27" spans="1:22" ht="15.75" x14ac:dyDescent="0.25">
      <c r="A27" s="453"/>
      <c r="B27" s="453"/>
      <c r="C27" s="453"/>
      <c r="D27" s="132"/>
      <c r="E27" s="1181"/>
      <c r="F27" s="1181"/>
      <c r="G27" s="1181"/>
      <c r="H27" s="1181"/>
      <c r="I27" s="1181"/>
      <c r="J27" s="1181"/>
      <c r="K27" s="1181"/>
      <c r="L27" s="1181"/>
      <c r="M27" s="1181"/>
      <c r="N27" s="1181"/>
      <c r="O27" s="1181"/>
      <c r="P27" s="1180"/>
      <c r="Q27" s="1956"/>
      <c r="R27" s="1951"/>
      <c r="S27" s="1951"/>
    </row>
    <row r="28" spans="1:22" ht="15.75" x14ac:dyDescent="0.25">
      <c r="A28" s="453"/>
      <c r="B28" s="453"/>
      <c r="C28" s="453"/>
      <c r="D28" s="132"/>
      <c r="E28" s="1181"/>
      <c r="F28" s="1181"/>
      <c r="G28" s="1181"/>
      <c r="H28" s="1181"/>
      <c r="I28" s="1181"/>
      <c r="J28" s="1181"/>
      <c r="K28" s="1181"/>
      <c r="L28" s="1181"/>
      <c r="M28" s="1181"/>
      <c r="N28" s="1181"/>
      <c r="O28" s="1181"/>
      <c r="P28" s="1180"/>
      <c r="Q28" s="1956"/>
      <c r="R28" s="1951"/>
      <c r="S28" s="1951"/>
    </row>
    <row r="29" spans="1:22" ht="15.75" x14ac:dyDescent="0.25">
      <c r="A29" s="453"/>
      <c r="B29" s="453"/>
      <c r="C29" s="453"/>
      <c r="D29" s="132"/>
      <c r="E29" s="1181"/>
      <c r="F29" s="1181"/>
      <c r="G29" s="1181"/>
      <c r="H29" s="1181"/>
      <c r="I29" s="1181"/>
      <c r="J29" s="1181"/>
      <c r="K29" s="1181"/>
      <c r="L29" s="1181"/>
      <c r="M29" s="1181"/>
      <c r="N29" s="1181"/>
      <c r="O29" s="1181"/>
      <c r="P29" s="1180"/>
      <c r="Q29" s="1956"/>
      <c r="R29" s="1951"/>
      <c r="S29" s="1951"/>
    </row>
    <row r="30" spans="1:22" ht="15.75" x14ac:dyDescent="0.25">
      <c r="D30" s="1177"/>
      <c r="E30" s="1177"/>
      <c r="F30" s="1177"/>
      <c r="G30" s="1177"/>
      <c r="H30" s="1177"/>
      <c r="I30" s="1177"/>
      <c r="J30" s="1177"/>
      <c r="K30" s="744"/>
      <c r="L30" s="744"/>
      <c r="M30" s="744"/>
      <c r="N30" s="744"/>
      <c r="O30" s="744"/>
      <c r="P30" s="1951"/>
      <c r="Q30" s="1951"/>
      <c r="R30" s="1951"/>
      <c r="S30" s="1951"/>
    </row>
    <row r="31" spans="1:22" ht="15.75" x14ac:dyDescent="0.25">
      <c r="A31" s="453">
        <v>6</v>
      </c>
      <c r="B31" s="453" t="s">
        <v>78</v>
      </c>
      <c r="C31" s="453"/>
      <c r="D31" s="3553" t="s">
        <v>398</v>
      </c>
      <c r="E31" s="3554"/>
      <c r="F31" s="3554"/>
      <c r="G31" s="3554"/>
      <c r="H31" s="3554"/>
      <c r="I31" s="3554"/>
      <c r="J31" s="3554"/>
      <c r="K31" s="3554"/>
      <c r="L31" s="3554"/>
      <c r="M31" s="3554"/>
      <c r="N31" s="3554"/>
      <c r="O31" s="3555"/>
      <c r="P31" s="1179"/>
      <c r="Q31" s="1956"/>
      <c r="R31" s="1951"/>
      <c r="S31" s="1951"/>
    </row>
    <row r="32" spans="1:22" ht="15.75" customHeight="1" x14ac:dyDescent="0.25">
      <c r="A32" s="472">
        <v>7</v>
      </c>
      <c r="B32" s="472" t="s">
        <v>80</v>
      </c>
      <c r="C32" s="472"/>
      <c r="D32" s="3578" t="s">
        <v>1153</v>
      </c>
      <c r="E32" s="3579"/>
      <c r="F32" s="3579"/>
      <c r="G32" s="3579"/>
      <c r="H32" s="3579"/>
      <c r="I32" s="3579"/>
      <c r="J32" s="3579"/>
      <c r="K32" s="3579"/>
      <c r="L32" s="3579"/>
      <c r="M32" s="3579"/>
      <c r="N32" s="3579"/>
      <c r="O32" s="3580"/>
      <c r="P32" s="1179"/>
      <c r="Q32" s="1956"/>
      <c r="R32" s="1951"/>
      <c r="S32" s="1951"/>
    </row>
    <row r="33" spans="1:19" ht="15.75" customHeight="1" x14ac:dyDescent="0.25">
      <c r="A33" s="453">
        <v>8</v>
      </c>
      <c r="B33" s="453" t="s">
        <v>20</v>
      </c>
      <c r="C33" s="453"/>
      <c r="D33" s="3578" t="s">
        <v>1152</v>
      </c>
      <c r="E33" s="3579"/>
      <c r="F33" s="3579"/>
      <c r="G33" s="3579"/>
      <c r="H33" s="3579"/>
      <c r="I33" s="3579"/>
      <c r="J33" s="3579"/>
      <c r="K33" s="3579"/>
      <c r="L33" s="3579"/>
      <c r="M33" s="3579"/>
      <c r="N33" s="3579"/>
      <c r="O33" s="3580"/>
      <c r="P33" s="1179"/>
      <c r="Q33" s="1956"/>
      <c r="R33" s="1951"/>
      <c r="S33" s="1951"/>
    </row>
    <row r="34" spans="1:19" ht="58.5" customHeight="1" x14ac:dyDescent="0.25">
      <c r="A34" s="453">
        <v>9</v>
      </c>
      <c r="B34" s="453" t="s">
        <v>22</v>
      </c>
      <c r="D34" s="3578" t="s">
        <v>1151</v>
      </c>
      <c r="E34" s="3579"/>
      <c r="F34" s="3579"/>
      <c r="G34" s="3579"/>
      <c r="H34" s="3579"/>
      <c r="I34" s="3579"/>
      <c r="J34" s="3579"/>
      <c r="K34" s="3579"/>
      <c r="L34" s="3579"/>
      <c r="M34" s="3579"/>
      <c r="N34" s="3579"/>
      <c r="O34" s="3580"/>
      <c r="P34" s="1951"/>
      <c r="Q34" s="1951"/>
      <c r="R34" s="1951"/>
      <c r="S34" s="1951"/>
    </row>
    <row r="35" spans="1:19" ht="15.75" x14ac:dyDescent="0.25">
      <c r="D35" s="1178"/>
      <c r="E35" s="1198"/>
      <c r="F35" s="1198"/>
      <c r="G35" s="1198"/>
      <c r="H35" s="1198"/>
      <c r="I35" s="1198"/>
      <c r="J35" s="1198"/>
      <c r="K35" s="1951"/>
      <c r="L35" s="1951"/>
      <c r="M35" s="1951"/>
      <c r="N35" s="1951"/>
      <c r="O35" s="1951"/>
      <c r="P35" s="1951"/>
      <c r="Q35" s="1951"/>
      <c r="R35" s="1951"/>
      <c r="S35" s="1951"/>
    </row>
    <row r="36" spans="1:19" ht="15.75" x14ac:dyDescent="0.25">
      <c r="D36" s="1198"/>
      <c r="E36" s="1198"/>
      <c r="F36" s="1198"/>
      <c r="G36" s="1198"/>
      <c r="H36" s="1198"/>
      <c r="I36" s="1198"/>
      <c r="J36" s="1198"/>
      <c r="K36" s="1951"/>
      <c r="L36" s="1951"/>
      <c r="M36" s="1951"/>
      <c r="N36" s="1951"/>
      <c r="O36" s="1951"/>
      <c r="P36" s="1951"/>
      <c r="Q36" s="1951"/>
      <c r="R36" s="1951"/>
      <c r="S36" s="1951"/>
    </row>
    <row r="37" spans="1:19" ht="15.75" x14ac:dyDescent="0.25">
      <c r="D37" s="1198"/>
      <c r="E37" s="1198"/>
      <c r="F37" s="1198"/>
      <c r="G37" s="1198"/>
      <c r="H37" s="1198"/>
      <c r="I37" s="1198"/>
      <c r="J37" s="1198"/>
      <c r="K37" s="1951"/>
      <c r="L37" s="1951"/>
      <c r="M37" s="1951"/>
      <c r="N37" s="1951"/>
      <c r="O37" s="1951"/>
      <c r="P37" s="1951"/>
      <c r="Q37" s="1951"/>
      <c r="R37" s="1951"/>
      <c r="S37" s="1951"/>
    </row>
    <row r="38" spans="1:19" ht="15.75" x14ac:dyDescent="0.25">
      <c r="D38" s="1198"/>
      <c r="E38" s="1198"/>
      <c r="F38" s="1198"/>
      <c r="G38" s="1198"/>
      <c r="H38" s="1198"/>
      <c r="I38" s="1198"/>
      <c r="J38" s="1198"/>
      <c r="K38" s="1951"/>
      <c r="L38" s="1951"/>
      <c r="M38" s="1951"/>
      <c r="N38" s="1951"/>
      <c r="O38" s="1951"/>
      <c r="P38" s="1951"/>
      <c r="Q38" s="1951"/>
      <c r="R38" s="1951"/>
      <c r="S38" s="1951"/>
    </row>
    <row r="39" spans="1:19" ht="15.75" x14ac:dyDescent="0.25">
      <c r="D39" s="1198"/>
      <c r="E39" s="1198"/>
      <c r="F39" s="1198"/>
      <c r="G39" s="1198"/>
      <c r="H39" s="1198"/>
      <c r="I39" s="1198"/>
      <c r="J39" s="1198"/>
      <c r="K39" s="1951"/>
      <c r="L39" s="1951"/>
      <c r="M39" s="1951"/>
      <c r="N39" s="1951"/>
      <c r="O39" s="1951"/>
      <c r="P39" s="1951"/>
      <c r="Q39" s="1951"/>
      <c r="R39" s="1951"/>
      <c r="S39" s="1951"/>
    </row>
    <row r="40" spans="1:19" ht="15.75" x14ac:dyDescent="0.25">
      <c r="D40" s="1198"/>
      <c r="E40" s="1198"/>
      <c r="F40" s="1198"/>
      <c r="G40" s="1198"/>
      <c r="H40" s="1198"/>
      <c r="I40" s="1198"/>
      <c r="J40" s="1198"/>
      <c r="K40" s="1951"/>
      <c r="L40" s="1951"/>
      <c r="M40" s="1951"/>
      <c r="N40" s="1951"/>
      <c r="O40" s="1951"/>
      <c r="P40" s="1951"/>
      <c r="Q40" s="1951"/>
      <c r="R40" s="1951"/>
      <c r="S40" s="1951"/>
    </row>
    <row r="41" spans="1:19" ht="15.75" x14ac:dyDescent="0.25">
      <c r="D41" s="1198"/>
      <c r="E41" s="1198"/>
      <c r="F41" s="1198"/>
      <c r="G41" s="1198"/>
      <c r="H41" s="1198"/>
      <c r="I41" s="1198"/>
      <c r="J41" s="1198"/>
      <c r="K41" s="1951"/>
      <c r="L41" s="1951"/>
      <c r="M41" s="1951"/>
      <c r="N41" s="1951"/>
      <c r="O41" s="1951"/>
      <c r="P41" s="1951"/>
      <c r="Q41" s="1951"/>
      <c r="R41" s="1951"/>
      <c r="S41" s="1951"/>
    </row>
    <row r="44" spans="1:19" x14ac:dyDescent="0.25">
      <c r="G44" s="267"/>
    </row>
  </sheetData>
  <mergeCells count="14">
    <mergeCell ref="D2:I2"/>
    <mergeCell ref="D3:O3"/>
    <mergeCell ref="D4:O4"/>
    <mergeCell ref="E6:J6"/>
    <mergeCell ref="K6:Q6"/>
    <mergeCell ref="D32:O32"/>
    <mergeCell ref="D33:O33"/>
    <mergeCell ref="D34:O34"/>
    <mergeCell ref="E7:F7"/>
    <mergeCell ref="G7:H7"/>
    <mergeCell ref="I7:J7"/>
    <mergeCell ref="K7:L7"/>
    <mergeCell ref="M7:N7"/>
    <mergeCell ref="D31:O31"/>
  </mergeCells>
  <pageMargins left="0.74803149606299213" right="0.74803149606299213" top="0.98425196850393704" bottom="0.98425196850393704" header="0.51181102362204722" footer="0.51181102362204722"/>
  <pageSetup paperSize="9" scale="7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47"/>
  <sheetViews>
    <sheetView showGridLines="0" view="pageBreakPreview" zoomScaleNormal="100" zoomScaleSheetLayoutView="100" workbookViewId="0">
      <selection activeCell="B7" sqref="B7"/>
    </sheetView>
  </sheetViews>
  <sheetFormatPr defaultColWidth="9.140625" defaultRowHeight="15" x14ac:dyDescent="0.2"/>
  <cols>
    <col min="1" max="1" width="3.7109375" style="1950" customWidth="1"/>
    <col min="2" max="2" width="14.42578125" style="1950" customWidth="1"/>
    <col min="3" max="3" width="3.7109375" style="1950" customWidth="1"/>
    <col min="4" max="4" width="24.85546875" style="1198" customWidth="1"/>
    <col min="5" max="6" width="9.140625" style="1198" customWidth="1"/>
    <col min="7" max="257" width="9.140625" style="1198"/>
    <col min="258" max="258" width="3.7109375" style="1198" customWidth="1"/>
    <col min="259" max="259" width="14.42578125" style="1198" customWidth="1"/>
    <col min="260" max="260" width="3.7109375" style="1198" customWidth="1"/>
    <col min="261" max="261" width="24.85546875" style="1198" customWidth="1"/>
    <col min="262" max="263" width="9.140625" style="1198" customWidth="1"/>
    <col min="264" max="513" width="9.140625" style="1198"/>
    <col min="514" max="514" width="3.7109375" style="1198" customWidth="1"/>
    <col min="515" max="515" width="14.42578125" style="1198" customWidth="1"/>
    <col min="516" max="516" width="3.7109375" style="1198" customWidth="1"/>
    <col min="517" max="517" width="24.85546875" style="1198" customWidth="1"/>
    <col min="518" max="519" width="9.140625" style="1198" customWidth="1"/>
    <col min="520" max="769" width="9.140625" style="1198"/>
    <col min="770" max="770" width="3.7109375" style="1198" customWidth="1"/>
    <col min="771" max="771" width="14.42578125" style="1198" customWidth="1"/>
    <col min="772" max="772" width="3.7109375" style="1198" customWidth="1"/>
    <col min="773" max="773" width="24.85546875" style="1198" customWidth="1"/>
    <col min="774" max="775" width="9.140625" style="1198" customWidth="1"/>
    <col min="776" max="1025" width="9.140625" style="1198"/>
    <col min="1026" max="1026" width="3.7109375" style="1198" customWidth="1"/>
    <col min="1027" max="1027" width="14.42578125" style="1198" customWidth="1"/>
    <col min="1028" max="1028" width="3.7109375" style="1198" customWidth="1"/>
    <col min="1029" max="1029" width="24.85546875" style="1198" customWidth="1"/>
    <col min="1030" max="1031" width="9.140625" style="1198" customWidth="1"/>
    <col min="1032" max="1281" width="9.140625" style="1198"/>
    <col min="1282" max="1282" width="3.7109375" style="1198" customWidth="1"/>
    <col min="1283" max="1283" width="14.42578125" style="1198" customWidth="1"/>
    <col min="1284" max="1284" width="3.7109375" style="1198" customWidth="1"/>
    <col min="1285" max="1285" width="24.85546875" style="1198" customWidth="1"/>
    <col min="1286" max="1287" width="9.140625" style="1198" customWidth="1"/>
    <col min="1288" max="1537" width="9.140625" style="1198"/>
    <col min="1538" max="1538" width="3.7109375" style="1198" customWidth="1"/>
    <col min="1539" max="1539" width="14.42578125" style="1198" customWidth="1"/>
    <col min="1540" max="1540" width="3.7109375" style="1198" customWidth="1"/>
    <col min="1541" max="1541" width="24.85546875" style="1198" customWidth="1"/>
    <col min="1542" max="1543" width="9.140625" style="1198" customWidth="1"/>
    <col min="1544" max="1793" width="9.140625" style="1198"/>
    <col min="1794" max="1794" width="3.7109375" style="1198" customWidth="1"/>
    <col min="1795" max="1795" width="14.42578125" style="1198" customWidth="1"/>
    <col min="1796" max="1796" width="3.7109375" style="1198" customWidth="1"/>
    <col min="1797" max="1797" width="24.85546875" style="1198" customWidth="1"/>
    <col min="1798" max="1799" width="9.140625" style="1198" customWidth="1"/>
    <col min="1800" max="2049" width="9.140625" style="1198"/>
    <col min="2050" max="2050" width="3.7109375" style="1198" customWidth="1"/>
    <col min="2051" max="2051" width="14.42578125" style="1198" customWidth="1"/>
    <col min="2052" max="2052" width="3.7109375" style="1198" customWidth="1"/>
    <col min="2053" max="2053" width="24.85546875" style="1198" customWidth="1"/>
    <col min="2054" max="2055" width="9.140625" style="1198" customWidth="1"/>
    <col min="2056" max="2305" width="9.140625" style="1198"/>
    <col min="2306" max="2306" width="3.7109375" style="1198" customWidth="1"/>
    <col min="2307" max="2307" width="14.42578125" style="1198" customWidth="1"/>
    <col min="2308" max="2308" width="3.7109375" style="1198" customWidth="1"/>
    <col min="2309" max="2309" width="24.85546875" style="1198" customWidth="1"/>
    <col min="2310" max="2311" width="9.140625" style="1198" customWidth="1"/>
    <col min="2312" max="2561" width="9.140625" style="1198"/>
    <col min="2562" max="2562" width="3.7109375" style="1198" customWidth="1"/>
    <col min="2563" max="2563" width="14.42578125" style="1198" customWidth="1"/>
    <col min="2564" max="2564" width="3.7109375" style="1198" customWidth="1"/>
    <col min="2565" max="2565" width="24.85546875" style="1198" customWidth="1"/>
    <col min="2566" max="2567" width="9.140625" style="1198" customWidth="1"/>
    <col min="2568" max="2817" width="9.140625" style="1198"/>
    <col min="2818" max="2818" width="3.7109375" style="1198" customWidth="1"/>
    <col min="2819" max="2819" width="14.42578125" style="1198" customWidth="1"/>
    <col min="2820" max="2820" width="3.7109375" style="1198" customWidth="1"/>
    <col min="2821" max="2821" width="24.85546875" style="1198" customWidth="1"/>
    <col min="2822" max="2823" width="9.140625" style="1198" customWidth="1"/>
    <col min="2824" max="3073" width="9.140625" style="1198"/>
    <col min="3074" max="3074" width="3.7109375" style="1198" customWidth="1"/>
    <col min="3075" max="3075" width="14.42578125" style="1198" customWidth="1"/>
    <col min="3076" max="3076" width="3.7109375" style="1198" customWidth="1"/>
    <col min="3077" max="3077" width="24.85546875" style="1198" customWidth="1"/>
    <col min="3078" max="3079" width="9.140625" style="1198" customWidth="1"/>
    <col min="3080" max="3329" width="9.140625" style="1198"/>
    <col min="3330" max="3330" width="3.7109375" style="1198" customWidth="1"/>
    <col min="3331" max="3331" width="14.42578125" style="1198" customWidth="1"/>
    <col min="3332" max="3332" width="3.7109375" style="1198" customWidth="1"/>
    <col min="3333" max="3333" width="24.85546875" style="1198" customWidth="1"/>
    <col min="3334" max="3335" width="9.140625" style="1198" customWidth="1"/>
    <col min="3336" max="3585" width="9.140625" style="1198"/>
    <col min="3586" max="3586" width="3.7109375" style="1198" customWidth="1"/>
    <col min="3587" max="3587" width="14.42578125" style="1198" customWidth="1"/>
    <col min="3588" max="3588" width="3.7109375" style="1198" customWidth="1"/>
    <col min="3589" max="3589" width="24.85546875" style="1198" customWidth="1"/>
    <col min="3590" max="3591" width="9.140625" style="1198" customWidth="1"/>
    <col min="3592" max="3841" width="9.140625" style="1198"/>
    <col min="3842" max="3842" width="3.7109375" style="1198" customWidth="1"/>
    <col min="3843" max="3843" width="14.42578125" style="1198" customWidth="1"/>
    <col min="3844" max="3844" width="3.7109375" style="1198" customWidth="1"/>
    <col min="3845" max="3845" width="24.85546875" style="1198" customWidth="1"/>
    <col min="3846" max="3847" width="9.140625" style="1198" customWidth="1"/>
    <col min="3848" max="4097" width="9.140625" style="1198"/>
    <col min="4098" max="4098" width="3.7109375" style="1198" customWidth="1"/>
    <col min="4099" max="4099" width="14.42578125" style="1198" customWidth="1"/>
    <col min="4100" max="4100" width="3.7109375" style="1198" customWidth="1"/>
    <col min="4101" max="4101" width="24.85546875" style="1198" customWidth="1"/>
    <col min="4102" max="4103" width="9.140625" style="1198" customWidth="1"/>
    <col min="4104" max="4353" width="9.140625" style="1198"/>
    <col min="4354" max="4354" width="3.7109375" style="1198" customWidth="1"/>
    <col min="4355" max="4355" width="14.42578125" style="1198" customWidth="1"/>
    <col min="4356" max="4356" width="3.7109375" style="1198" customWidth="1"/>
    <col min="4357" max="4357" width="24.85546875" style="1198" customWidth="1"/>
    <col min="4358" max="4359" width="9.140625" style="1198" customWidth="1"/>
    <col min="4360" max="4609" width="9.140625" style="1198"/>
    <col min="4610" max="4610" width="3.7109375" style="1198" customWidth="1"/>
    <col min="4611" max="4611" width="14.42578125" style="1198" customWidth="1"/>
    <col min="4612" max="4612" width="3.7109375" style="1198" customWidth="1"/>
    <col min="4613" max="4613" width="24.85546875" style="1198" customWidth="1"/>
    <col min="4614" max="4615" width="9.140625" style="1198" customWidth="1"/>
    <col min="4616" max="4865" width="9.140625" style="1198"/>
    <col min="4866" max="4866" width="3.7109375" style="1198" customWidth="1"/>
    <col min="4867" max="4867" width="14.42578125" style="1198" customWidth="1"/>
    <col min="4868" max="4868" width="3.7109375" style="1198" customWidth="1"/>
    <col min="4869" max="4869" width="24.85546875" style="1198" customWidth="1"/>
    <col min="4870" max="4871" width="9.140625" style="1198" customWidth="1"/>
    <col min="4872" max="5121" width="9.140625" style="1198"/>
    <col min="5122" max="5122" width="3.7109375" style="1198" customWidth="1"/>
    <col min="5123" max="5123" width="14.42578125" style="1198" customWidth="1"/>
    <col min="5124" max="5124" width="3.7109375" style="1198" customWidth="1"/>
    <col min="5125" max="5125" width="24.85546875" style="1198" customWidth="1"/>
    <col min="5126" max="5127" width="9.140625" style="1198" customWidth="1"/>
    <col min="5128" max="5377" width="9.140625" style="1198"/>
    <col min="5378" max="5378" width="3.7109375" style="1198" customWidth="1"/>
    <col min="5379" max="5379" width="14.42578125" style="1198" customWidth="1"/>
    <col min="5380" max="5380" width="3.7109375" style="1198" customWidth="1"/>
    <col min="5381" max="5381" width="24.85546875" style="1198" customWidth="1"/>
    <col min="5382" max="5383" width="9.140625" style="1198" customWidth="1"/>
    <col min="5384" max="5633" width="9.140625" style="1198"/>
    <col min="5634" max="5634" width="3.7109375" style="1198" customWidth="1"/>
    <col min="5635" max="5635" width="14.42578125" style="1198" customWidth="1"/>
    <col min="5636" max="5636" width="3.7109375" style="1198" customWidth="1"/>
    <col min="5637" max="5637" width="24.85546875" style="1198" customWidth="1"/>
    <col min="5638" max="5639" width="9.140625" style="1198" customWidth="1"/>
    <col min="5640" max="5889" width="9.140625" style="1198"/>
    <col min="5890" max="5890" width="3.7109375" style="1198" customWidth="1"/>
    <col min="5891" max="5891" width="14.42578125" style="1198" customWidth="1"/>
    <col min="5892" max="5892" width="3.7109375" style="1198" customWidth="1"/>
    <col min="5893" max="5893" width="24.85546875" style="1198" customWidth="1"/>
    <col min="5894" max="5895" width="9.140625" style="1198" customWidth="1"/>
    <col min="5896" max="6145" width="9.140625" style="1198"/>
    <col min="6146" max="6146" width="3.7109375" style="1198" customWidth="1"/>
    <col min="6147" max="6147" width="14.42578125" style="1198" customWidth="1"/>
    <col min="6148" max="6148" width="3.7109375" style="1198" customWidth="1"/>
    <col min="6149" max="6149" width="24.85546875" style="1198" customWidth="1"/>
    <col min="6150" max="6151" width="9.140625" style="1198" customWidth="1"/>
    <col min="6152" max="6401" width="9.140625" style="1198"/>
    <col min="6402" max="6402" width="3.7109375" style="1198" customWidth="1"/>
    <col min="6403" max="6403" width="14.42578125" style="1198" customWidth="1"/>
    <col min="6404" max="6404" width="3.7109375" style="1198" customWidth="1"/>
    <col min="6405" max="6405" width="24.85546875" style="1198" customWidth="1"/>
    <col min="6406" max="6407" width="9.140625" style="1198" customWidth="1"/>
    <col min="6408" max="6657" width="9.140625" style="1198"/>
    <col min="6658" max="6658" width="3.7109375" style="1198" customWidth="1"/>
    <col min="6659" max="6659" width="14.42578125" style="1198" customWidth="1"/>
    <col min="6660" max="6660" width="3.7109375" style="1198" customWidth="1"/>
    <col min="6661" max="6661" width="24.85546875" style="1198" customWidth="1"/>
    <col min="6662" max="6663" width="9.140625" style="1198" customWidth="1"/>
    <col min="6664" max="6913" width="9.140625" style="1198"/>
    <col min="6914" max="6914" width="3.7109375" style="1198" customWidth="1"/>
    <col min="6915" max="6915" width="14.42578125" style="1198" customWidth="1"/>
    <col min="6916" max="6916" width="3.7109375" style="1198" customWidth="1"/>
    <col min="6917" max="6917" width="24.85546875" style="1198" customWidth="1"/>
    <col min="6918" max="6919" width="9.140625" style="1198" customWidth="1"/>
    <col min="6920" max="7169" width="9.140625" style="1198"/>
    <col min="7170" max="7170" width="3.7109375" style="1198" customWidth="1"/>
    <col min="7171" max="7171" width="14.42578125" style="1198" customWidth="1"/>
    <col min="7172" max="7172" width="3.7109375" style="1198" customWidth="1"/>
    <col min="7173" max="7173" width="24.85546875" style="1198" customWidth="1"/>
    <col min="7174" max="7175" width="9.140625" style="1198" customWidth="1"/>
    <col min="7176" max="7425" width="9.140625" style="1198"/>
    <col min="7426" max="7426" width="3.7109375" style="1198" customWidth="1"/>
    <col min="7427" max="7427" width="14.42578125" style="1198" customWidth="1"/>
    <col min="7428" max="7428" width="3.7109375" style="1198" customWidth="1"/>
    <col min="7429" max="7429" width="24.85546875" style="1198" customWidth="1"/>
    <col min="7430" max="7431" width="9.140625" style="1198" customWidth="1"/>
    <col min="7432" max="7681" width="9.140625" style="1198"/>
    <col min="7682" max="7682" width="3.7109375" style="1198" customWidth="1"/>
    <col min="7683" max="7683" width="14.42578125" style="1198" customWidth="1"/>
    <col min="7684" max="7684" width="3.7109375" style="1198" customWidth="1"/>
    <col min="7685" max="7685" width="24.85546875" style="1198" customWidth="1"/>
    <col min="7686" max="7687" width="9.140625" style="1198" customWidth="1"/>
    <col min="7688" max="7937" width="9.140625" style="1198"/>
    <col min="7938" max="7938" width="3.7109375" style="1198" customWidth="1"/>
    <col min="7939" max="7939" width="14.42578125" style="1198" customWidth="1"/>
    <col min="7940" max="7940" width="3.7109375" style="1198" customWidth="1"/>
    <col min="7941" max="7941" width="24.85546875" style="1198" customWidth="1"/>
    <col min="7942" max="7943" width="9.140625" style="1198" customWidth="1"/>
    <col min="7944" max="8193" width="9.140625" style="1198"/>
    <col min="8194" max="8194" width="3.7109375" style="1198" customWidth="1"/>
    <col min="8195" max="8195" width="14.42578125" style="1198" customWidth="1"/>
    <col min="8196" max="8196" width="3.7109375" style="1198" customWidth="1"/>
    <col min="8197" max="8197" width="24.85546875" style="1198" customWidth="1"/>
    <col min="8198" max="8199" width="9.140625" style="1198" customWidth="1"/>
    <col min="8200" max="8449" width="9.140625" style="1198"/>
    <col min="8450" max="8450" width="3.7109375" style="1198" customWidth="1"/>
    <col min="8451" max="8451" width="14.42578125" style="1198" customWidth="1"/>
    <col min="8452" max="8452" width="3.7109375" style="1198" customWidth="1"/>
    <col min="8453" max="8453" width="24.85546875" style="1198" customWidth="1"/>
    <col min="8454" max="8455" width="9.140625" style="1198" customWidth="1"/>
    <col min="8456" max="8705" width="9.140625" style="1198"/>
    <col min="8706" max="8706" width="3.7109375" style="1198" customWidth="1"/>
    <col min="8707" max="8707" width="14.42578125" style="1198" customWidth="1"/>
    <col min="8708" max="8708" width="3.7109375" style="1198" customWidth="1"/>
    <col min="8709" max="8709" width="24.85546875" style="1198" customWidth="1"/>
    <col min="8710" max="8711" width="9.140625" style="1198" customWidth="1"/>
    <col min="8712" max="8961" width="9.140625" style="1198"/>
    <col min="8962" max="8962" width="3.7109375" style="1198" customWidth="1"/>
    <col min="8963" max="8963" width="14.42578125" style="1198" customWidth="1"/>
    <col min="8964" max="8964" width="3.7109375" style="1198" customWidth="1"/>
    <col min="8965" max="8965" width="24.85546875" style="1198" customWidth="1"/>
    <col min="8966" max="8967" width="9.140625" style="1198" customWidth="1"/>
    <col min="8968" max="9217" width="9.140625" style="1198"/>
    <col min="9218" max="9218" width="3.7109375" style="1198" customWidth="1"/>
    <col min="9219" max="9219" width="14.42578125" style="1198" customWidth="1"/>
    <col min="9220" max="9220" width="3.7109375" style="1198" customWidth="1"/>
    <col min="9221" max="9221" width="24.85546875" style="1198" customWidth="1"/>
    <col min="9222" max="9223" width="9.140625" style="1198" customWidth="1"/>
    <col min="9224" max="9473" width="9.140625" style="1198"/>
    <col min="9474" max="9474" width="3.7109375" style="1198" customWidth="1"/>
    <col min="9475" max="9475" width="14.42578125" style="1198" customWidth="1"/>
    <col min="9476" max="9476" width="3.7109375" style="1198" customWidth="1"/>
    <col min="9477" max="9477" width="24.85546875" style="1198" customWidth="1"/>
    <col min="9478" max="9479" width="9.140625" style="1198" customWidth="1"/>
    <col min="9480" max="9729" width="9.140625" style="1198"/>
    <col min="9730" max="9730" width="3.7109375" style="1198" customWidth="1"/>
    <col min="9731" max="9731" width="14.42578125" style="1198" customWidth="1"/>
    <col min="9732" max="9732" width="3.7109375" style="1198" customWidth="1"/>
    <col min="9733" max="9733" width="24.85546875" style="1198" customWidth="1"/>
    <col min="9734" max="9735" width="9.140625" style="1198" customWidth="1"/>
    <col min="9736" max="9985" width="9.140625" style="1198"/>
    <col min="9986" max="9986" width="3.7109375" style="1198" customWidth="1"/>
    <col min="9987" max="9987" width="14.42578125" style="1198" customWidth="1"/>
    <col min="9988" max="9988" width="3.7109375" style="1198" customWidth="1"/>
    <col min="9989" max="9989" width="24.85546875" style="1198" customWidth="1"/>
    <col min="9990" max="9991" width="9.140625" style="1198" customWidth="1"/>
    <col min="9992" max="10241" width="9.140625" style="1198"/>
    <col min="10242" max="10242" width="3.7109375" style="1198" customWidth="1"/>
    <col min="10243" max="10243" width="14.42578125" style="1198" customWidth="1"/>
    <col min="10244" max="10244" width="3.7109375" style="1198" customWidth="1"/>
    <col min="10245" max="10245" width="24.85546875" style="1198" customWidth="1"/>
    <col min="10246" max="10247" width="9.140625" style="1198" customWidth="1"/>
    <col min="10248" max="10497" width="9.140625" style="1198"/>
    <col min="10498" max="10498" width="3.7109375" style="1198" customWidth="1"/>
    <col min="10499" max="10499" width="14.42578125" style="1198" customWidth="1"/>
    <col min="10500" max="10500" width="3.7109375" style="1198" customWidth="1"/>
    <col min="10501" max="10501" width="24.85546875" style="1198" customWidth="1"/>
    <col min="10502" max="10503" width="9.140625" style="1198" customWidth="1"/>
    <col min="10504" max="10753" width="9.140625" style="1198"/>
    <col min="10754" max="10754" width="3.7109375" style="1198" customWidth="1"/>
    <col min="10755" max="10755" width="14.42578125" style="1198" customWidth="1"/>
    <col min="10756" max="10756" width="3.7109375" style="1198" customWidth="1"/>
    <col min="10757" max="10757" width="24.85546875" style="1198" customWidth="1"/>
    <col min="10758" max="10759" width="9.140625" style="1198" customWidth="1"/>
    <col min="10760" max="11009" width="9.140625" style="1198"/>
    <col min="11010" max="11010" width="3.7109375" style="1198" customWidth="1"/>
    <col min="11011" max="11011" width="14.42578125" style="1198" customWidth="1"/>
    <col min="11012" max="11012" width="3.7109375" style="1198" customWidth="1"/>
    <col min="11013" max="11013" width="24.85546875" style="1198" customWidth="1"/>
    <col min="11014" max="11015" width="9.140625" style="1198" customWidth="1"/>
    <col min="11016" max="11265" width="9.140625" style="1198"/>
    <col min="11266" max="11266" width="3.7109375" style="1198" customWidth="1"/>
    <col min="11267" max="11267" width="14.42578125" style="1198" customWidth="1"/>
    <col min="11268" max="11268" width="3.7109375" style="1198" customWidth="1"/>
    <col min="11269" max="11269" width="24.85546875" style="1198" customWidth="1"/>
    <col min="11270" max="11271" width="9.140625" style="1198" customWidth="1"/>
    <col min="11272" max="11521" width="9.140625" style="1198"/>
    <col min="11522" max="11522" width="3.7109375" style="1198" customWidth="1"/>
    <col min="11523" max="11523" width="14.42578125" style="1198" customWidth="1"/>
    <col min="11524" max="11524" width="3.7109375" style="1198" customWidth="1"/>
    <col min="11525" max="11525" width="24.85546875" style="1198" customWidth="1"/>
    <col min="11526" max="11527" width="9.140625" style="1198" customWidth="1"/>
    <col min="11528" max="11777" width="9.140625" style="1198"/>
    <col min="11778" max="11778" width="3.7109375" style="1198" customWidth="1"/>
    <col min="11779" max="11779" width="14.42578125" style="1198" customWidth="1"/>
    <col min="11780" max="11780" width="3.7109375" style="1198" customWidth="1"/>
    <col min="11781" max="11781" width="24.85546875" style="1198" customWidth="1"/>
    <col min="11782" max="11783" width="9.140625" style="1198" customWidth="1"/>
    <col min="11784" max="12033" width="9.140625" style="1198"/>
    <col min="12034" max="12034" width="3.7109375" style="1198" customWidth="1"/>
    <col min="12035" max="12035" width="14.42578125" style="1198" customWidth="1"/>
    <col min="12036" max="12036" width="3.7109375" style="1198" customWidth="1"/>
    <col min="12037" max="12037" width="24.85546875" style="1198" customWidth="1"/>
    <col min="12038" max="12039" width="9.140625" style="1198" customWidth="1"/>
    <col min="12040" max="12289" width="9.140625" style="1198"/>
    <col min="12290" max="12290" width="3.7109375" style="1198" customWidth="1"/>
    <col min="12291" max="12291" width="14.42578125" style="1198" customWidth="1"/>
    <col min="12292" max="12292" width="3.7109375" style="1198" customWidth="1"/>
    <col min="12293" max="12293" width="24.85546875" style="1198" customWidth="1"/>
    <col min="12294" max="12295" width="9.140625" style="1198" customWidth="1"/>
    <col min="12296" max="12545" width="9.140625" style="1198"/>
    <col min="12546" max="12546" width="3.7109375" style="1198" customWidth="1"/>
    <col min="12547" max="12547" width="14.42578125" style="1198" customWidth="1"/>
    <col min="12548" max="12548" width="3.7109375" style="1198" customWidth="1"/>
    <col min="12549" max="12549" width="24.85546875" style="1198" customWidth="1"/>
    <col min="12550" max="12551" width="9.140625" style="1198" customWidth="1"/>
    <col min="12552" max="12801" width="9.140625" style="1198"/>
    <col min="12802" max="12802" width="3.7109375" style="1198" customWidth="1"/>
    <col min="12803" max="12803" width="14.42578125" style="1198" customWidth="1"/>
    <col min="12804" max="12804" width="3.7109375" style="1198" customWidth="1"/>
    <col min="12805" max="12805" width="24.85546875" style="1198" customWidth="1"/>
    <col min="12806" max="12807" width="9.140625" style="1198" customWidth="1"/>
    <col min="12808" max="13057" width="9.140625" style="1198"/>
    <col min="13058" max="13058" width="3.7109375" style="1198" customWidth="1"/>
    <col min="13059" max="13059" width="14.42578125" style="1198" customWidth="1"/>
    <col min="13060" max="13060" width="3.7109375" style="1198" customWidth="1"/>
    <col min="13061" max="13061" width="24.85546875" style="1198" customWidth="1"/>
    <col min="13062" max="13063" width="9.140625" style="1198" customWidth="1"/>
    <col min="13064" max="13313" width="9.140625" style="1198"/>
    <col min="13314" max="13314" width="3.7109375" style="1198" customWidth="1"/>
    <col min="13315" max="13315" width="14.42578125" style="1198" customWidth="1"/>
    <col min="13316" max="13316" width="3.7109375" style="1198" customWidth="1"/>
    <col min="13317" max="13317" width="24.85546875" style="1198" customWidth="1"/>
    <col min="13318" max="13319" width="9.140625" style="1198" customWidth="1"/>
    <col min="13320" max="13569" width="9.140625" style="1198"/>
    <col min="13570" max="13570" width="3.7109375" style="1198" customWidth="1"/>
    <col min="13571" max="13571" width="14.42578125" style="1198" customWidth="1"/>
    <col min="13572" max="13572" width="3.7109375" style="1198" customWidth="1"/>
    <col min="13573" max="13573" width="24.85546875" style="1198" customWidth="1"/>
    <col min="13574" max="13575" width="9.140625" style="1198" customWidth="1"/>
    <col min="13576" max="13825" width="9.140625" style="1198"/>
    <col min="13826" max="13826" width="3.7109375" style="1198" customWidth="1"/>
    <col min="13827" max="13827" width="14.42578125" style="1198" customWidth="1"/>
    <col min="13828" max="13828" width="3.7109375" style="1198" customWidth="1"/>
    <col min="13829" max="13829" width="24.85546875" style="1198" customWidth="1"/>
    <col min="13830" max="13831" width="9.140625" style="1198" customWidth="1"/>
    <col min="13832" max="14081" width="9.140625" style="1198"/>
    <col min="14082" max="14082" width="3.7109375" style="1198" customWidth="1"/>
    <col min="14083" max="14083" width="14.42578125" style="1198" customWidth="1"/>
    <col min="14084" max="14084" width="3.7109375" style="1198" customWidth="1"/>
    <col min="14085" max="14085" width="24.85546875" style="1198" customWidth="1"/>
    <col min="14086" max="14087" width="9.140625" style="1198" customWidth="1"/>
    <col min="14088" max="14337" width="9.140625" style="1198"/>
    <col min="14338" max="14338" width="3.7109375" style="1198" customWidth="1"/>
    <col min="14339" max="14339" width="14.42578125" style="1198" customWidth="1"/>
    <col min="14340" max="14340" width="3.7109375" style="1198" customWidth="1"/>
    <col min="14341" max="14341" width="24.85546875" style="1198" customWidth="1"/>
    <col min="14342" max="14343" width="9.140625" style="1198" customWidth="1"/>
    <col min="14344" max="14593" width="9.140625" style="1198"/>
    <col min="14594" max="14594" width="3.7109375" style="1198" customWidth="1"/>
    <col min="14595" max="14595" width="14.42578125" style="1198" customWidth="1"/>
    <col min="14596" max="14596" width="3.7109375" style="1198" customWidth="1"/>
    <col min="14597" max="14597" width="24.85546875" style="1198" customWidth="1"/>
    <col min="14598" max="14599" width="9.140625" style="1198" customWidth="1"/>
    <col min="14600" max="14849" width="9.140625" style="1198"/>
    <col min="14850" max="14850" width="3.7109375" style="1198" customWidth="1"/>
    <col min="14851" max="14851" width="14.42578125" style="1198" customWidth="1"/>
    <col min="14852" max="14852" width="3.7109375" style="1198" customWidth="1"/>
    <col min="14853" max="14853" width="24.85546875" style="1198" customWidth="1"/>
    <col min="14854" max="14855" width="9.140625" style="1198" customWidth="1"/>
    <col min="14856" max="15105" width="9.140625" style="1198"/>
    <col min="15106" max="15106" width="3.7109375" style="1198" customWidth="1"/>
    <col min="15107" max="15107" width="14.42578125" style="1198" customWidth="1"/>
    <col min="15108" max="15108" width="3.7109375" style="1198" customWidth="1"/>
    <col min="15109" max="15109" width="24.85546875" style="1198" customWidth="1"/>
    <col min="15110" max="15111" width="9.140625" style="1198" customWidth="1"/>
    <col min="15112" max="15361" width="9.140625" style="1198"/>
    <col min="15362" max="15362" width="3.7109375" style="1198" customWidth="1"/>
    <col min="15363" max="15363" width="14.42578125" style="1198" customWidth="1"/>
    <col min="15364" max="15364" width="3.7109375" style="1198" customWidth="1"/>
    <col min="15365" max="15365" width="24.85546875" style="1198" customWidth="1"/>
    <col min="15366" max="15367" width="9.140625" style="1198" customWidth="1"/>
    <col min="15368" max="15617" width="9.140625" style="1198"/>
    <col min="15618" max="15618" width="3.7109375" style="1198" customWidth="1"/>
    <col min="15619" max="15619" width="14.42578125" style="1198" customWidth="1"/>
    <col min="15620" max="15620" width="3.7109375" style="1198" customWidth="1"/>
    <col min="15621" max="15621" width="24.85546875" style="1198" customWidth="1"/>
    <col min="15622" max="15623" width="9.140625" style="1198" customWidth="1"/>
    <col min="15624" max="15873" width="9.140625" style="1198"/>
    <col min="15874" max="15874" width="3.7109375" style="1198" customWidth="1"/>
    <col min="15875" max="15875" width="14.42578125" style="1198" customWidth="1"/>
    <col min="15876" max="15876" width="3.7109375" style="1198" customWidth="1"/>
    <col min="15877" max="15877" width="24.85546875" style="1198" customWidth="1"/>
    <col min="15878" max="15879" width="9.140625" style="1198" customWidth="1"/>
    <col min="15880" max="16129" width="9.140625" style="1198"/>
    <col min="16130" max="16130" width="3.7109375" style="1198" customWidth="1"/>
    <col min="16131" max="16131" width="14.42578125" style="1198" customWidth="1"/>
    <col min="16132" max="16132" width="3.7109375" style="1198" customWidth="1"/>
    <col min="16133" max="16133" width="24.85546875" style="1198" customWidth="1"/>
    <col min="16134" max="16135" width="9.140625" style="1198" customWidth="1"/>
    <col min="16136" max="16384" width="9.140625" style="1198"/>
  </cols>
  <sheetData>
    <row r="1" spans="1:22" x14ac:dyDescent="0.2">
      <c r="D1" s="1177"/>
      <c r="E1" s="1177"/>
      <c r="F1" s="1177"/>
      <c r="G1" s="1177"/>
      <c r="H1" s="1177"/>
      <c r="I1" s="1177"/>
      <c r="J1" s="1177"/>
      <c r="K1" s="1177"/>
      <c r="L1" s="1177"/>
    </row>
    <row r="2" spans="1:22" ht="15.75" customHeight="1" x14ac:dyDescent="0.2">
      <c r="A2" s="453">
        <v>1</v>
      </c>
      <c r="B2" s="453" t="s">
        <v>24</v>
      </c>
      <c r="C2" s="453">
        <f>1+'Country direction'!C2</f>
        <v>60</v>
      </c>
      <c r="D2" s="3553" t="s">
        <v>1179</v>
      </c>
      <c r="E2" s="3554"/>
      <c r="F2" s="3554"/>
      <c r="G2" s="3554"/>
      <c r="H2" s="3554"/>
      <c r="I2" s="3554"/>
      <c r="J2" s="3554"/>
      <c r="K2" s="3554"/>
      <c r="L2" s="3554"/>
      <c r="M2" s="3555"/>
      <c r="N2" s="1202"/>
      <c r="O2" s="1202"/>
      <c r="P2" s="1202"/>
      <c r="Q2" s="1202"/>
      <c r="R2" s="1202"/>
      <c r="S2" s="1202"/>
      <c r="T2" s="1202"/>
      <c r="U2" s="1202"/>
      <c r="V2" s="1202"/>
    </row>
    <row r="3" spans="1:22" ht="15" customHeight="1" x14ac:dyDescent="0.2">
      <c r="A3" s="453">
        <v>2</v>
      </c>
      <c r="B3" s="453" t="s">
        <v>26</v>
      </c>
      <c r="C3" s="453"/>
      <c r="D3" s="3553" t="s">
        <v>1144</v>
      </c>
      <c r="E3" s="3554"/>
      <c r="F3" s="3554"/>
      <c r="G3" s="3554"/>
      <c r="H3" s="3554"/>
      <c r="I3" s="3554"/>
      <c r="J3" s="3554"/>
      <c r="K3" s="3554"/>
      <c r="L3" s="3554"/>
      <c r="M3" s="3555"/>
    </row>
    <row r="4" spans="1:22" ht="15" customHeight="1" x14ac:dyDescent="0.2">
      <c r="A4" s="453">
        <v>3</v>
      </c>
      <c r="B4" s="453" t="s">
        <v>28</v>
      </c>
      <c r="C4" s="453"/>
      <c r="D4" s="3553" t="s">
        <v>1178</v>
      </c>
      <c r="E4" s="3554"/>
      <c r="F4" s="3554"/>
      <c r="G4" s="3554"/>
      <c r="H4" s="3554"/>
      <c r="I4" s="3554"/>
      <c r="J4" s="3554"/>
      <c r="K4" s="3554"/>
      <c r="L4" s="3554"/>
      <c r="M4" s="3555"/>
    </row>
    <row r="5" spans="1:22" x14ac:dyDescent="0.2">
      <c r="A5" s="453"/>
      <c r="B5" s="453"/>
      <c r="C5" s="453"/>
      <c r="D5" s="1483"/>
      <c r="E5" s="1483"/>
      <c r="F5" s="1483"/>
      <c r="G5" s="1483"/>
      <c r="H5" s="1483"/>
      <c r="I5" s="1483"/>
      <c r="J5" s="1483"/>
      <c r="K5" s="1483"/>
      <c r="L5" s="1483"/>
    </row>
    <row r="6" spans="1:22" x14ac:dyDescent="0.2">
      <c r="A6" s="453">
        <v>4</v>
      </c>
      <c r="B6" s="650" t="s">
        <v>1</v>
      </c>
      <c r="C6" s="650"/>
      <c r="D6" s="1201" t="s">
        <v>1177</v>
      </c>
      <c r="E6" s="167" t="s">
        <v>1176</v>
      </c>
      <c r="F6" s="1200"/>
      <c r="G6" s="1200"/>
      <c r="H6" s="1200"/>
      <c r="I6" s="1200"/>
      <c r="J6" s="744"/>
      <c r="K6" s="1177"/>
      <c r="L6" s="1177"/>
    </row>
    <row r="7" spans="1:22" x14ac:dyDescent="0.2">
      <c r="A7" s="453"/>
      <c r="B7" s="650"/>
      <c r="C7" s="650"/>
      <c r="D7" s="2975"/>
      <c r="E7" s="1199">
        <v>2004</v>
      </c>
      <c r="F7" s="1199">
        <v>2007</v>
      </c>
      <c r="G7" s="1199">
        <v>2008</v>
      </c>
      <c r="H7" s="1199">
        <v>2009</v>
      </c>
      <c r="I7" s="1199">
        <v>2010</v>
      </c>
      <c r="J7" s="1199">
        <v>2011</v>
      </c>
      <c r="K7" s="1199">
        <v>2012</v>
      </c>
      <c r="L7" s="1199">
        <v>2014</v>
      </c>
      <c r="M7" s="2978">
        <v>2015</v>
      </c>
    </row>
    <row r="8" spans="1:22" x14ac:dyDescent="0.2">
      <c r="A8" s="453"/>
      <c r="B8" s="650"/>
      <c r="C8" s="650"/>
      <c r="D8" s="2976" t="s">
        <v>1175</v>
      </c>
      <c r="E8" s="133">
        <v>18.399999999999999</v>
      </c>
      <c r="F8" s="133">
        <v>25.8</v>
      </c>
      <c r="G8" s="133">
        <v>32.6</v>
      </c>
      <c r="H8" s="133">
        <v>30.2</v>
      </c>
      <c r="I8" s="133"/>
      <c r="J8" s="133">
        <v>30.8</v>
      </c>
      <c r="K8" s="133">
        <v>29.1</v>
      </c>
      <c r="L8" s="133">
        <v>30</v>
      </c>
      <c r="M8" s="2979">
        <v>29</v>
      </c>
    </row>
    <row r="9" spans="1:22" x14ac:dyDescent="0.2">
      <c r="A9" s="453"/>
      <c r="B9" s="650"/>
      <c r="C9" s="650"/>
      <c r="D9" s="2976" t="s">
        <v>1174</v>
      </c>
      <c r="E9" s="133">
        <v>52.8</v>
      </c>
      <c r="F9" s="133">
        <v>52.6</v>
      </c>
      <c r="G9" s="133">
        <v>45.7</v>
      </c>
      <c r="H9" s="133">
        <v>54.1</v>
      </c>
      <c r="I9" s="133"/>
      <c r="J9" s="133">
        <v>50.8</v>
      </c>
      <c r="K9" s="133">
        <v>52.4</v>
      </c>
      <c r="L9" s="133">
        <v>57</v>
      </c>
      <c r="M9" s="2979">
        <v>52</v>
      </c>
    </row>
    <row r="10" spans="1:22" x14ac:dyDescent="0.2">
      <c r="A10" s="453"/>
      <c r="B10" s="650"/>
      <c r="C10" s="650"/>
      <c r="D10" s="2976" t="s">
        <v>1173</v>
      </c>
      <c r="E10" s="133">
        <v>4.0999999999999996</v>
      </c>
      <c r="F10" s="133">
        <v>9.9</v>
      </c>
      <c r="G10" s="133">
        <v>11.3</v>
      </c>
      <c r="H10" s="133">
        <v>7.1</v>
      </c>
      <c r="I10" s="133"/>
      <c r="J10" s="133">
        <v>9.1</v>
      </c>
      <c r="K10" s="133">
        <v>8.8000000000000007</v>
      </c>
      <c r="L10" s="133">
        <v>6</v>
      </c>
      <c r="M10" s="2979">
        <v>9</v>
      </c>
    </row>
    <row r="11" spans="1:22" x14ac:dyDescent="0.2">
      <c r="A11" s="453"/>
      <c r="B11" s="650"/>
      <c r="C11" s="650"/>
      <c r="D11" s="2976" t="s">
        <v>1172</v>
      </c>
      <c r="E11" s="133">
        <v>13.6</v>
      </c>
      <c r="F11" s="133">
        <v>2.6</v>
      </c>
      <c r="G11" s="133">
        <v>3.1</v>
      </c>
      <c r="H11" s="133">
        <v>1.9</v>
      </c>
      <c r="I11" s="133"/>
      <c r="J11" s="133">
        <v>3.7</v>
      </c>
      <c r="K11" s="133">
        <v>4.0999999999999996</v>
      </c>
      <c r="L11" s="133">
        <v>2</v>
      </c>
      <c r="M11" s="2979">
        <v>3</v>
      </c>
    </row>
    <row r="12" spans="1:22" x14ac:dyDescent="0.2">
      <c r="A12" s="453"/>
      <c r="B12" s="650"/>
      <c r="C12" s="650"/>
      <c r="D12" s="2977" t="s">
        <v>1171</v>
      </c>
      <c r="E12" s="130">
        <v>11.1</v>
      </c>
      <c r="F12" s="130">
        <v>9.0999999999999943</v>
      </c>
      <c r="G12" s="130">
        <v>7.3</v>
      </c>
      <c r="H12" s="130">
        <v>6.7</v>
      </c>
      <c r="I12" s="130"/>
      <c r="J12" s="130">
        <v>5.6</v>
      </c>
      <c r="K12" s="130">
        <v>5.6</v>
      </c>
      <c r="L12" s="130">
        <v>6.9</v>
      </c>
      <c r="M12" s="2980">
        <v>7</v>
      </c>
    </row>
    <row r="13" spans="1:22" x14ac:dyDescent="0.2">
      <c r="A13" s="453"/>
      <c r="B13" s="650"/>
      <c r="C13" s="650"/>
      <c r="D13" s="133"/>
      <c r="E13" s="133"/>
      <c r="F13" s="133"/>
      <c r="G13" s="1177"/>
      <c r="H13" s="1177"/>
      <c r="I13" s="1177"/>
      <c r="J13" s="1177"/>
      <c r="K13" s="1177"/>
      <c r="L13" s="1177"/>
    </row>
    <row r="14" spans="1:22" x14ac:dyDescent="0.2">
      <c r="A14" s="453">
        <v>5</v>
      </c>
      <c r="B14" s="650" t="s">
        <v>77</v>
      </c>
      <c r="C14" s="650"/>
      <c r="D14" s="133"/>
      <c r="E14" s="133"/>
      <c r="F14" s="133"/>
      <c r="G14" s="1177"/>
      <c r="H14" s="1177"/>
      <c r="I14" s="1177"/>
      <c r="J14" s="1177"/>
      <c r="K14" s="1177"/>
      <c r="L14" s="1177"/>
    </row>
    <row r="15" spans="1:22" x14ac:dyDescent="0.2">
      <c r="A15" s="453"/>
      <c r="B15" s="650"/>
      <c r="C15" s="650"/>
      <c r="D15" s="133"/>
      <c r="E15" s="133"/>
      <c r="F15" s="133"/>
      <c r="G15" s="1177"/>
      <c r="H15" s="1177"/>
      <c r="I15" s="1177"/>
      <c r="J15" s="1177"/>
      <c r="K15" s="1177"/>
      <c r="L15" s="1177"/>
    </row>
    <row r="16" spans="1:22" x14ac:dyDescent="0.2">
      <c r="A16" s="453"/>
      <c r="B16" s="650"/>
      <c r="C16" s="650"/>
      <c r="D16" s="133"/>
      <c r="E16" s="133"/>
      <c r="F16" s="133"/>
      <c r="G16" s="1177"/>
      <c r="H16" s="1177"/>
      <c r="I16" s="1177"/>
      <c r="J16" s="1177"/>
      <c r="K16" s="1177"/>
      <c r="L16" s="1177"/>
    </row>
    <row r="17" spans="1:13" x14ac:dyDescent="0.2">
      <c r="A17" s="453"/>
      <c r="B17" s="650"/>
      <c r="C17" s="650"/>
      <c r="D17" s="133"/>
      <c r="E17" s="133"/>
      <c r="F17" s="133"/>
      <c r="G17" s="1177"/>
      <c r="H17" s="1177"/>
      <c r="I17" s="1177"/>
      <c r="J17" s="1177"/>
      <c r="K17" s="1177"/>
      <c r="L17" s="1177"/>
    </row>
    <row r="18" spans="1:13" x14ac:dyDescent="0.2">
      <c r="A18" s="453"/>
      <c r="B18" s="650"/>
      <c r="C18" s="650"/>
      <c r="D18" s="133"/>
      <c r="E18" s="133"/>
      <c r="F18" s="133"/>
      <c r="G18" s="1177"/>
      <c r="H18" s="1177"/>
      <c r="I18" s="1177"/>
      <c r="J18" s="1177"/>
      <c r="K18" s="1177"/>
      <c r="L18" s="1177"/>
    </row>
    <row r="19" spans="1:13" x14ac:dyDescent="0.2">
      <c r="A19" s="453"/>
      <c r="B19" s="650"/>
      <c r="C19" s="650"/>
      <c r="D19" s="133"/>
      <c r="E19" s="133"/>
      <c r="F19" s="133"/>
      <c r="G19" s="1177"/>
      <c r="H19" s="1177"/>
      <c r="I19" s="1177"/>
      <c r="J19" s="1177"/>
      <c r="K19" s="1177"/>
      <c r="L19" s="1177"/>
    </row>
    <row r="20" spans="1:13" x14ac:dyDescent="0.2">
      <c r="A20" s="453"/>
      <c r="B20" s="650"/>
      <c r="C20" s="650"/>
      <c r="D20" s="133"/>
      <c r="E20" s="133"/>
      <c r="F20" s="133"/>
      <c r="G20" s="1177"/>
      <c r="H20" s="1177"/>
      <c r="I20" s="1177"/>
      <c r="J20" s="1177"/>
      <c r="K20" s="1177"/>
      <c r="L20" s="1177"/>
    </row>
    <row r="21" spans="1:13" x14ac:dyDescent="0.2">
      <c r="A21" s="453"/>
      <c r="B21" s="650"/>
      <c r="C21" s="650"/>
      <c r="D21" s="133"/>
      <c r="E21" s="133"/>
      <c r="F21" s="133"/>
      <c r="G21" s="1177"/>
      <c r="H21" s="1177"/>
      <c r="I21" s="1177"/>
      <c r="J21" s="1177"/>
      <c r="K21" s="1177"/>
      <c r="L21" s="1177"/>
    </row>
    <row r="22" spans="1:13" x14ac:dyDescent="0.2">
      <c r="A22" s="453"/>
      <c r="B22" s="650"/>
      <c r="C22" s="650"/>
      <c r="D22" s="133"/>
      <c r="E22" s="133"/>
      <c r="F22" s="133"/>
      <c r="G22" s="1177"/>
      <c r="H22" s="1177"/>
      <c r="I22" s="1177"/>
      <c r="J22" s="1177"/>
      <c r="K22" s="1177"/>
      <c r="L22" s="1177"/>
    </row>
    <row r="23" spans="1:13" x14ac:dyDescent="0.2">
      <c r="A23" s="453"/>
      <c r="B23" s="650"/>
      <c r="C23" s="650"/>
      <c r="D23" s="133"/>
      <c r="E23" s="133"/>
      <c r="F23" s="133"/>
      <c r="G23" s="1177"/>
      <c r="H23" s="1177"/>
      <c r="I23" s="1177"/>
      <c r="J23" s="1177"/>
      <c r="K23" s="1177"/>
      <c r="L23" s="1177"/>
    </row>
    <row r="24" spans="1:13" x14ac:dyDescent="0.2">
      <c r="A24" s="453"/>
      <c r="B24" s="650"/>
      <c r="C24" s="650"/>
      <c r="D24" s="133"/>
      <c r="E24" s="133"/>
      <c r="F24" s="133"/>
      <c r="G24" s="1177"/>
      <c r="H24" s="1177"/>
      <c r="I24" s="1177"/>
      <c r="J24" s="1177"/>
      <c r="K24" s="1177"/>
      <c r="L24" s="1177"/>
    </row>
    <row r="25" spans="1:13" x14ac:dyDescent="0.2">
      <c r="A25" s="453"/>
      <c r="B25" s="650"/>
      <c r="C25" s="650"/>
      <c r="D25" s="133"/>
      <c r="E25" s="133"/>
      <c r="F25" s="133"/>
      <c r="G25" s="1177"/>
      <c r="H25" s="1177"/>
      <c r="I25" s="1177"/>
      <c r="J25" s="1177"/>
      <c r="K25" s="1177"/>
      <c r="L25" s="1177"/>
    </row>
    <row r="26" spans="1:13" x14ac:dyDescent="0.2">
      <c r="A26" s="453"/>
      <c r="B26" s="650"/>
      <c r="C26" s="650"/>
      <c r="D26" s="133"/>
      <c r="E26" s="133"/>
      <c r="F26" s="133"/>
      <c r="G26" s="1177"/>
      <c r="H26" s="1177"/>
      <c r="I26" s="1177"/>
      <c r="J26" s="1177"/>
      <c r="K26" s="1177"/>
      <c r="L26" s="1177"/>
    </row>
    <row r="27" spans="1:13" x14ac:dyDescent="0.2">
      <c r="A27" s="453"/>
      <c r="B27" s="650"/>
      <c r="C27" s="650"/>
      <c r="D27" s="133"/>
      <c r="E27" s="133"/>
      <c r="F27" s="133"/>
      <c r="G27" s="1177"/>
      <c r="H27" s="1177"/>
      <c r="I27" s="1177"/>
      <c r="J27" s="1177"/>
      <c r="K27" s="1177"/>
      <c r="L27" s="1177"/>
    </row>
    <row r="28" spans="1:13" x14ac:dyDescent="0.2">
      <c r="D28" s="1177"/>
      <c r="E28" s="1177"/>
      <c r="F28" s="1177"/>
      <c r="G28" s="1177"/>
      <c r="H28" s="1177"/>
      <c r="I28" s="1177"/>
      <c r="J28" s="1177"/>
      <c r="K28" s="1177"/>
      <c r="L28" s="1177"/>
    </row>
    <row r="29" spans="1:13" ht="15.75" customHeight="1" x14ac:dyDescent="0.2">
      <c r="A29" s="453">
        <v>6</v>
      </c>
      <c r="B29" s="453" t="s">
        <v>78</v>
      </c>
      <c r="C29" s="453"/>
      <c r="D29" s="3553" t="s">
        <v>398</v>
      </c>
      <c r="E29" s="3554"/>
      <c r="F29" s="3554"/>
      <c r="G29" s="3554"/>
      <c r="H29" s="3554"/>
      <c r="I29" s="3554"/>
      <c r="J29" s="3554"/>
      <c r="K29" s="3554"/>
      <c r="L29" s="3554"/>
      <c r="M29" s="3555"/>
    </row>
    <row r="30" spans="1:13" ht="15" customHeight="1" x14ac:dyDescent="0.2">
      <c r="A30" s="472">
        <v>7</v>
      </c>
      <c r="B30" s="472" t="s">
        <v>80</v>
      </c>
      <c r="C30" s="472"/>
      <c r="D30" s="3568" t="s">
        <v>1170</v>
      </c>
      <c r="E30" s="3569"/>
      <c r="F30" s="3569"/>
      <c r="G30" s="3569"/>
      <c r="H30" s="3569"/>
      <c r="I30" s="3569"/>
      <c r="J30" s="3569"/>
      <c r="K30" s="3569"/>
      <c r="L30" s="3569"/>
      <c r="M30" s="3570"/>
    </row>
    <row r="31" spans="1:13" ht="15.75" customHeight="1" x14ac:dyDescent="0.2">
      <c r="A31" s="453">
        <v>8</v>
      </c>
      <c r="B31" s="453" t="s">
        <v>20</v>
      </c>
      <c r="C31" s="453"/>
      <c r="D31" s="3556" t="s">
        <v>1169</v>
      </c>
      <c r="E31" s="3557"/>
      <c r="F31" s="3557"/>
      <c r="G31" s="3557"/>
      <c r="H31" s="3557"/>
      <c r="I31" s="3557"/>
      <c r="J31" s="3557"/>
      <c r="K31" s="3557"/>
      <c r="L31" s="3557"/>
      <c r="M31" s="3558"/>
    </row>
    <row r="32" spans="1:13" ht="70.150000000000006" customHeight="1" x14ac:dyDescent="0.2">
      <c r="A32" s="453">
        <v>9</v>
      </c>
      <c r="B32" s="453" t="s">
        <v>22</v>
      </c>
      <c r="D32" s="3913" t="s">
        <v>1168</v>
      </c>
      <c r="E32" s="3914"/>
      <c r="F32" s="3914"/>
      <c r="G32" s="3914"/>
      <c r="H32" s="3914"/>
      <c r="I32" s="3914"/>
      <c r="J32" s="3914"/>
      <c r="K32" s="3914"/>
      <c r="L32" s="3914"/>
      <c r="M32" s="3915"/>
    </row>
    <row r="35" spans="6:10" x14ac:dyDescent="0.2">
      <c r="F35" s="1951"/>
      <c r="G35" s="1951"/>
      <c r="H35" s="1951"/>
      <c r="I35" s="1951"/>
      <c r="J35" s="1951"/>
    </row>
    <row r="36" spans="6:10" ht="15.75" x14ac:dyDescent="0.25">
      <c r="F36" s="1952"/>
      <c r="G36" s="723"/>
      <c r="H36" s="723"/>
      <c r="I36" s="1951"/>
      <c r="J36" s="1951"/>
    </row>
    <row r="37" spans="6:10" ht="15.75" x14ac:dyDescent="0.25">
      <c r="F37" s="723"/>
      <c r="G37" s="1952"/>
      <c r="H37" s="1952"/>
      <c r="I37" s="1951"/>
      <c r="J37" s="1951"/>
    </row>
    <row r="38" spans="6:10" ht="15.75" x14ac:dyDescent="0.25">
      <c r="F38" s="723"/>
      <c r="G38" s="723"/>
      <c r="H38" s="723"/>
      <c r="I38" s="1951"/>
      <c r="J38" s="1951"/>
    </row>
    <row r="39" spans="6:10" ht="15.75" x14ac:dyDescent="0.25">
      <c r="F39" s="723"/>
      <c r="G39" s="723"/>
      <c r="H39" s="723"/>
      <c r="I39" s="1951"/>
      <c r="J39" s="1951"/>
    </row>
    <row r="40" spans="6:10" ht="15.75" x14ac:dyDescent="0.25">
      <c r="F40" s="723"/>
      <c r="G40" s="723"/>
      <c r="H40" s="723"/>
      <c r="I40" s="1951"/>
      <c r="J40" s="1951"/>
    </row>
    <row r="41" spans="6:10" ht="15.75" x14ac:dyDescent="0.25">
      <c r="F41" s="723"/>
      <c r="G41" s="1953"/>
      <c r="H41" s="723"/>
      <c r="I41" s="1951"/>
      <c r="J41" s="1951"/>
    </row>
    <row r="42" spans="6:10" ht="15.75" x14ac:dyDescent="0.25">
      <c r="F42" s="723"/>
      <c r="G42" s="723"/>
      <c r="H42" s="723"/>
      <c r="I42" s="1951"/>
      <c r="J42" s="1951"/>
    </row>
    <row r="43" spans="6:10" ht="15.75" x14ac:dyDescent="0.25">
      <c r="F43" s="723"/>
      <c r="G43" s="723"/>
      <c r="H43" s="723"/>
      <c r="I43" s="1951"/>
      <c r="J43" s="1951"/>
    </row>
    <row r="44" spans="6:10" ht="15.75" x14ac:dyDescent="0.25">
      <c r="F44" s="723"/>
      <c r="G44" s="723"/>
      <c r="H44" s="723"/>
      <c r="I44" s="1951"/>
      <c r="J44" s="1951"/>
    </row>
    <row r="45" spans="6:10" ht="15.75" x14ac:dyDescent="0.25">
      <c r="F45" s="723"/>
      <c r="G45" s="723"/>
      <c r="H45" s="723"/>
      <c r="I45" s="1951"/>
      <c r="J45" s="1951"/>
    </row>
    <row r="46" spans="6:10" ht="15.75" x14ac:dyDescent="0.25">
      <c r="F46" s="723"/>
      <c r="G46" s="723"/>
      <c r="H46" s="723"/>
      <c r="I46" s="1951"/>
      <c r="J46" s="1951"/>
    </row>
    <row r="47" spans="6:10" ht="15.75" x14ac:dyDescent="0.25">
      <c r="F47" s="229"/>
      <c r="G47" s="229"/>
      <c r="H47" s="229"/>
    </row>
  </sheetData>
  <mergeCells count="7">
    <mergeCell ref="D31:M31"/>
    <mergeCell ref="D32:M32"/>
    <mergeCell ref="D2:M2"/>
    <mergeCell ref="D3:M3"/>
    <mergeCell ref="D4:M4"/>
    <mergeCell ref="D29:M29"/>
    <mergeCell ref="D30:M30"/>
  </mergeCells>
  <pageMargins left="0.74803149606299213" right="0.74803149606299213" top="0.98425196850393704" bottom="0.98425196850393704" header="0.51181102362204722" footer="0.51181102362204722"/>
  <pageSetup paperSize="9" scale="8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I42"/>
  <sheetViews>
    <sheetView showGridLines="0" view="pageBreakPreview" topLeftCell="V1" zoomScaleNormal="100" zoomScaleSheetLayoutView="100" workbookViewId="0">
      <selection activeCell="AI22" sqref="AI22"/>
    </sheetView>
  </sheetViews>
  <sheetFormatPr defaultColWidth="9.140625" defaultRowHeight="15" x14ac:dyDescent="0.25"/>
  <cols>
    <col min="1" max="1" width="3.7109375" style="670" customWidth="1"/>
    <col min="2" max="2" width="14.42578125" style="670" customWidth="1"/>
    <col min="3" max="3" width="3.7109375" style="670" customWidth="1"/>
    <col min="4" max="4" width="21.5703125" style="229" customWidth="1"/>
    <col min="5" max="27" width="7.7109375" style="229" customWidth="1"/>
    <col min="28" max="16384" width="9.140625" style="229"/>
  </cols>
  <sheetData>
    <row r="1" spans="1:35" x14ac:dyDescent="0.25">
      <c r="D1" s="996"/>
      <c r="E1" s="996"/>
      <c r="F1" s="996"/>
      <c r="G1" s="996"/>
      <c r="H1" s="996"/>
      <c r="I1" s="996"/>
      <c r="J1" s="996"/>
      <c r="K1" s="996"/>
      <c r="L1" s="996"/>
      <c r="M1" s="996"/>
      <c r="N1" s="996"/>
      <c r="O1" s="996"/>
      <c r="P1" s="996"/>
      <c r="Q1" s="996"/>
      <c r="R1" s="996"/>
      <c r="S1" s="996"/>
      <c r="T1" s="996"/>
      <c r="U1" s="996"/>
      <c r="V1" s="996"/>
      <c r="W1" s="996"/>
      <c r="X1" s="996"/>
      <c r="Y1" s="996"/>
      <c r="Z1" s="996"/>
      <c r="AA1" s="996"/>
    </row>
    <row r="2" spans="1:35" ht="14.45" customHeight="1" x14ac:dyDescent="0.25">
      <c r="A2" s="453">
        <v>1</v>
      </c>
      <c r="B2" s="453" t="s">
        <v>24</v>
      </c>
      <c r="C2" s="453">
        <f>1+'Self description'!C2</f>
        <v>61</v>
      </c>
      <c r="D2" s="3553" t="s">
        <v>1188</v>
      </c>
      <c r="E2" s="3554"/>
      <c r="F2" s="3554"/>
      <c r="G2" s="3554"/>
      <c r="H2" s="3554"/>
      <c r="I2" s="3554"/>
      <c r="J2" s="3554"/>
      <c r="K2" s="3554"/>
      <c r="L2" s="3554"/>
      <c r="M2" s="3554"/>
      <c r="N2" s="3554"/>
      <c r="O2" s="3554"/>
      <c r="P2" s="3554"/>
      <c r="Q2" s="3554"/>
      <c r="R2" s="3554"/>
      <c r="S2" s="3554"/>
      <c r="T2" s="3554"/>
      <c r="U2" s="3554"/>
      <c r="V2" s="3554"/>
      <c r="W2" s="3554"/>
      <c r="X2" s="3554"/>
      <c r="Y2" s="3554"/>
      <c r="Z2" s="3554"/>
      <c r="AA2" s="3554"/>
      <c r="AB2" s="3554"/>
      <c r="AC2" s="3554"/>
      <c r="AD2" s="3554"/>
      <c r="AE2" s="3554"/>
      <c r="AF2" s="3554"/>
      <c r="AG2" s="3554"/>
      <c r="AH2" s="3554"/>
      <c r="AI2" s="3555"/>
    </row>
    <row r="3" spans="1:35" ht="15" customHeight="1" x14ac:dyDescent="0.25">
      <c r="A3" s="453">
        <v>2</v>
      </c>
      <c r="B3" s="453" t="s">
        <v>26</v>
      </c>
      <c r="C3" s="453"/>
      <c r="D3" s="3553" t="s">
        <v>1144</v>
      </c>
      <c r="E3" s="3554"/>
      <c r="F3" s="3554"/>
      <c r="G3" s="3554"/>
      <c r="H3" s="3554"/>
      <c r="I3" s="3554"/>
      <c r="J3" s="3554"/>
      <c r="K3" s="3554"/>
      <c r="L3" s="3554"/>
      <c r="M3" s="3554"/>
      <c r="N3" s="3554"/>
      <c r="O3" s="3554"/>
      <c r="P3" s="3554"/>
      <c r="Q3" s="3554"/>
      <c r="R3" s="3554"/>
      <c r="S3" s="3554"/>
      <c r="T3" s="3554"/>
      <c r="U3" s="3554"/>
      <c r="V3" s="3554"/>
      <c r="W3" s="3554"/>
      <c r="X3" s="3554"/>
      <c r="Y3" s="3554"/>
      <c r="Z3" s="3554"/>
      <c r="AA3" s="3554"/>
      <c r="AB3" s="3554"/>
      <c r="AC3" s="3554"/>
      <c r="AD3" s="3554"/>
      <c r="AE3" s="3554"/>
      <c r="AF3" s="3554"/>
      <c r="AG3" s="3554"/>
      <c r="AH3" s="3554"/>
      <c r="AI3" s="3555"/>
    </row>
    <row r="4" spans="1:35" ht="15" customHeight="1" x14ac:dyDescent="0.25">
      <c r="A4" s="453">
        <v>3</v>
      </c>
      <c r="B4" s="453" t="s">
        <v>28</v>
      </c>
      <c r="C4" s="453"/>
      <c r="D4" s="3553" t="s">
        <v>1187</v>
      </c>
      <c r="E4" s="3554"/>
      <c r="F4" s="3554"/>
      <c r="G4" s="3554"/>
      <c r="H4" s="3554"/>
      <c r="I4" s="3554"/>
      <c r="J4" s="3554"/>
      <c r="K4" s="3554"/>
      <c r="L4" s="3554"/>
      <c r="M4" s="3554"/>
      <c r="N4" s="3554"/>
      <c r="O4" s="3554"/>
      <c r="P4" s="3554"/>
      <c r="Q4" s="3554"/>
      <c r="R4" s="3554"/>
      <c r="S4" s="3554"/>
      <c r="T4" s="3554"/>
      <c r="U4" s="3554"/>
      <c r="V4" s="3554"/>
      <c r="W4" s="3554"/>
      <c r="X4" s="3554"/>
      <c r="Y4" s="3554"/>
      <c r="Z4" s="3554"/>
      <c r="AA4" s="3554"/>
      <c r="AB4" s="3554"/>
      <c r="AC4" s="3554"/>
      <c r="AD4" s="3554"/>
      <c r="AE4" s="3554"/>
      <c r="AF4" s="3554"/>
      <c r="AG4" s="3554"/>
      <c r="AH4" s="3554"/>
      <c r="AI4" s="3555"/>
    </row>
    <row r="5" spans="1:35" x14ac:dyDescent="0.25">
      <c r="A5" s="453"/>
      <c r="B5" s="453"/>
      <c r="C5" s="453"/>
      <c r="D5" s="138"/>
      <c r="E5" s="195"/>
      <c r="F5" s="195"/>
      <c r="G5" s="195"/>
      <c r="H5" s="195"/>
      <c r="I5" s="195"/>
      <c r="J5" s="195"/>
      <c r="K5" s="195"/>
      <c r="L5" s="195"/>
      <c r="M5" s="195"/>
      <c r="N5" s="195"/>
      <c r="O5" s="195"/>
      <c r="P5" s="195"/>
      <c r="Q5" s="195"/>
      <c r="R5" s="195"/>
      <c r="S5" s="195"/>
      <c r="T5" s="195"/>
      <c r="U5" s="195"/>
      <c r="V5" s="195"/>
      <c r="W5" s="195"/>
      <c r="X5" s="195"/>
      <c r="Y5" s="195"/>
      <c r="Z5" s="195"/>
      <c r="AA5" s="1938"/>
    </row>
    <row r="6" spans="1:35" x14ac:dyDescent="0.25">
      <c r="A6" s="453">
        <v>4</v>
      </c>
      <c r="B6" s="650" t="s">
        <v>1</v>
      </c>
      <c r="C6" s="650"/>
      <c r="D6" s="885"/>
      <c r="E6" s="885"/>
      <c r="F6" s="885"/>
      <c r="G6" s="885"/>
      <c r="H6" s="885"/>
      <c r="I6" s="885"/>
      <c r="J6" s="885"/>
      <c r="K6" s="885"/>
      <c r="L6" s="885"/>
      <c r="M6" s="885"/>
      <c r="N6" s="885"/>
      <c r="O6" s="885"/>
      <c r="P6" s="885"/>
      <c r="Q6" s="885"/>
      <c r="R6" s="885"/>
      <c r="S6" s="885"/>
      <c r="T6" s="885"/>
      <c r="U6" s="885"/>
      <c r="V6" s="885"/>
      <c r="W6" s="885"/>
      <c r="X6" s="885"/>
      <c r="Y6" s="885"/>
      <c r="Z6" s="885"/>
      <c r="AA6" s="885"/>
    </row>
    <row r="7" spans="1:35" x14ac:dyDescent="0.25">
      <c r="A7" s="1174"/>
      <c r="B7" s="1173"/>
      <c r="C7" s="1173"/>
      <c r="D7" s="120" t="s">
        <v>103</v>
      </c>
      <c r="E7" s="120" t="str">
        <f>D2</f>
        <v>Pride in being South African</v>
      </c>
      <c r="F7" s="120"/>
      <c r="G7" s="120"/>
      <c r="H7" s="120"/>
      <c r="I7" s="120"/>
      <c r="J7" s="120"/>
      <c r="K7" s="120"/>
      <c r="L7" s="119"/>
      <c r="M7" s="119"/>
      <c r="N7" s="119"/>
      <c r="O7" s="119"/>
      <c r="P7" s="133"/>
      <c r="Q7" s="133"/>
      <c r="R7" s="133"/>
      <c r="S7" s="133"/>
      <c r="T7" s="133"/>
      <c r="U7" s="133"/>
      <c r="V7" s="133"/>
      <c r="W7" s="133"/>
      <c r="X7" s="133"/>
      <c r="Y7" s="133"/>
      <c r="Z7" s="133"/>
      <c r="AA7" s="133"/>
    </row>
    <row r="8" spans="1:35" x14ac:dyDescent="0.25">
      <c r="A8" s="1174"/>
      <c r="B8" s="1173"/>
      <c r="C8" s="1173"/>
      <c r="D8" s="2981" t="s">
        <v>54</v>
      </c>
      <c r="E8" s="276">
        <v>2003</v>
      </c>
      <c r="F8" s="276">
        <v>2004</v>
      </c>
      <c r="G8" s="276">
        <v>2005</v>
      </c>
      <c r="H8" s="276">
        <v>2006</v>
      </c>
      <c r="I8" s="276">
        <v>2007</v>
      </c>
      <c r="J8" s="276">
        <v>2008</v>
      </c>
      <c r="K8" s="1207">
        <v>2009</v>
      </c>
      <c r="L8" s="3916" t="s">
        <v>141</v>
      </c>
      <c r="M8" s="3917"/>
      <c r="N8" s="3917"/>
      <c r="O8" s="3918"/>
      <c r="P8" s="3917" t="s">
        <v>142</v>
      </c>
      <c r="Q8" s="3917"/>
      <c r="R8" s="3917"/>
      <c r="S8" s="3918"/>
      <c r="T8" s="3917" t="s">
        <v>143</v>
      </c>
      <c r="U8" s="3917"/>
      <c r="V8" s="3917"/>
      <c r="W8" s="3918"/>
      <c r="X8" s="3916" t="s">
        <v>144</v>
      </c>
      <c r="Y8" s="3917"/>
      <c r="Z8" s="3917"/>
      <c r="AA8" s="3918"/>
      <c r="AB8" s="3916" t="s">
        <v>145</v>
      </c>
      <c r="AC8" s="3917"/>
      <c r="AD8" s="3917"/>
      <c r="AE8" s="3918"/>
      <c r="AF8" s="3916" t="s">
        <v>334</v>
      </c>
      <c r="AG8" s="3917"/>
      <c r="AH8" s="3917"/>
      <c r="AI8" s="3918"/>
    </row>
    <row r="9" spans="1:35" x14ac:dyDescent="0.25">
      <c r="A9" s="1174"/>
      <c r="B9" s="1173"/>
      <c r="C9" s="1173"/>
      <c r="D9" s="2982"/>
      <c r="E9" s="276"/>
      <c r="F9" s="276"/>
      <c r="G9" s="276"/>
      <c r="H9" s="276"/>
      <c r="I9" s="276"/>
      <c r="J9" s="276"/>
      <c r="K9" s="652"/>
      <c r="L9" s="651" t="s">
        <v>1186</v>
      </c>
      <c r="M9" s="276" t="s">
        <v>1185</v>
      </c>
      <c r="N9" s="276" t="s">
        <v>1184</v>
      </c>
      <c r="O9" s="652" t="s">
        <v>1183</v>
      </c>
      <c r="P9" s="276" t="s">
        <v>1186</v>
      </c>
      <c r="Q9" s="276" t="s">
        <v>1185</v>
      </c>
      <c r="R9" s="276" t="s">
        <v>1184</v>
      </c>
      <c r="S9" s="652" t="s">
        <v>1183</v>
      </c>
      <c r="T9" s="276" t="s">
        <v>1186</v>
      </c>
      <c r="U9" s="276" t="s">
        <v>1185</v>
      </c>
      <c r="V9" s="276" t="s">
        <v>1184</v>
      </c>
      <c r="W9" s="652" t="s">
        <v>1183</v>
      </c>
      <c r="X9" s="651" t="s">
        <v>1186</v>
      </c>
      <c r="Y9" s="276" t="s">
        <v>1185</v>
      </c>
      <c r="Z9" s="276" t="s">
        <v>1184</v>
      </c>
      <c r="AA9" s="652" t="s">
        <v>1183</v>
      </c>
      <c r="AB9" s="651" t="s">
        <v>1186</v>
      </c>
      <c r="AC9" s="276" t="s">
        <v>1185</v>
      </c>
      <c r="AD9" s="276" t="s">
        <v>1184</v>
      </c>
      <c r="AE9" s="652" t="s">
        <v>1183</v>
      </c>
      <c r="AF9" s="651" t="s">
        <v>1186</v>
      </c>
      <c r="AG9" s="276" t="s">
        <v>1185</v>
      </c>
      <c r="AH9" s="276" t="s">
        <v>1184</v>
      </c>
      <c r="AI9" s="652" t="s">
        <v>1183</v>
      </c>
    </row>
    <row r="10" spans="1:35" ht="19.5" customHeight="1" x14ac:dyDescent="0.25">
      <c r="A10" s="1174"/>
      <c r="B10" s="1173"/>
      <c r="C10" s="1173"/>
      <c r="D10" s="2983" t="str">
        <f>D2</f>
        <v>Pride in being South African</v>
      </c>
      <c r="E10" s="130">
        <v>84</v>
      </c>
      <c r="F10" s="130">
        <v>90</v>
      </c>
      <c r="G10" s="130">
        <v>90</v>
      </c>
      <c r="H10" s="130">
        <v>90</v>
      </c>
      <c r="I10" s="130">
        <v>78</v>
      </c>
      <c r="J10" s="130">
        <v>65</v>
      </c>
      <c r="K10" s="1206">
        <v>75</v>
      </c>
      <c r="L10" s="1939">
        <v>92.097967444973222</v>
      </c>
      <c r="M10" s="1940">
        <v>86.799492718143796</v>
      </c>
      <c r="N10" s="1940">
        <v>89.693507511431292</v>
      </c>
      <c r="O10" s="1941">
        <v>89.606609925510114</v>
      </c>
      <c r="P10" s="1939">
        <v>86.853583304450169</v>
      </c>
      <c r="Q10" s="1940">
        <v>89.799252722580988</v>
      </c>
      <c r="R10" s="1940">
        <v>87.961947738935748</v>
      </c>
      <c r="S10" s="1941">
        <v>87.156873874472439</v>
      </c>
      <c r="T10" s="1940">
        <v>88</v>
      </c>
      <c r="U10" s="1940">
        <v>88</v>
      </c>
      <c r="V10" s="1940">
        <v>88</v>
      </c>
      <c r="W10" s="1941">
        <v>85</v>
      </c>
      <c r="X10" s="1939">
        <v>86</v>
      </c>
      <c r="Y10" s="1940">
        <v>88</v>
      </c>
      <c r="Z10" s="1940">
        <v>90</v>
      </c>
      <c r="AA10" s="1941">
        <v>89</v>
      </c>
      <c r="AB10" s="1939">
        <v>89</v>
      </c>
      <c r="AC10" s="1940">
        <v>90</v>
      </c>
      <c r="AD10" s="1940">
        <v>89</v>
      </c>
      <c r="AE10" s="1941">
        <v>89</v>
      </c>
      <c r="AF10" s="1939">
        <v>85</v>
      </c>
      <c r="AG10" s="1940">
        <v>84</v>
      </c>
      <c r="AH10" s="1940"/>
      <c r="AI10" s="1941"/>
    </row>
    <row r="11" spans="1:35" x14ac:dyDescent="0.25">
      <c r="A11" s="1170"/>
      <c r="B11" s="1204"/>
      <c r="C11" s="1204"/>
      <c r="D11" s="887"/>
      <c r="E11" s="887"/>
      <c r="F11" s="887"/>
      <c r="G11" s="887"/>
      <c r="H11" s="887"/>
      <c r="I11" s="887"/>
      <c r="J11" s="887"/>
      <c r="K11" s="887"/>
      <c r="L11" s="1205">
        <f>+AVERAGE(L10:O10)</f>
        <v>89.549394400014606</v>
      </c>
      <c r="M11" s="887"/>
      <c r="N11" s="887"/>
      <c r="O11" s="887"/>
      <c r="P11" s="1205">
        <f>+AVERAGE(P10:S10)</f>
        <v>87.942914410109836</v>
      </c>
      <c r="Q11" s="1203"/>
      <c r="R11" s="1203"/>
      <c r="S11" s="885"/>
      <c r="T11" s="1205">
        <f>+AVERAGE(T10:W10)</f>
        <v>87.25</v>
      </c>
      <c r="U11" s="1203"/>
      <c r="V11" s="1203"/>
      <c r="W11" s="885"/>
      <c r="X11" s="1205">
        <f>+AVERAGE(X10:AA10)</f>
        <v>88.25</v>
      </c>
      <c r="Y11" s="1203"/>
      <c r="Z11" s="1203"/>
      <c r="AA11" s="885"/>
      <c r="AB11" s="1205">
        <f>+AVERAGE(AB10:AE10)</f>
        <v>89.25</v>
      </c>
      <c r="AF11" s="1205">
        <f>+AVERAGE(AF10:AI10)</f>
        <v>84.5</v>
      </c>
    </row>
    <row r="12" spans="1:35" x14ac:dyDescent="0.25">
      <c r="A12" s="453">
        <v>5</v>
      </c>
      <c r="B12" s="687" t="s">
        <v>77</v>
      </c>
      <c r="C12" s="687"/>
      <c r="D12" s="887"/>
      <c r="E12" s="887"/>
      <c r="F12" s="887"/>
      <c r="G12" s="887"/>
      <c r="H12" s="887"/>
      <c r="I12" s="887"/>
      <c r="J12" s="887"/>
      <c r="K12" s="887"/>
      <c r="L12" s="887"/>
      <c r="M12" s="1205"/>
      <c r="N12" s="887"/>
      <c r="O12" s="887"/>
      <c r="P12" s="1203"/>
      <c r="Q12" s="1203"/>
      <c r="R12" s="1203"/>
      <c r="S12" s="885"/>
      <c r="T12" s="1203"/>
      <c r="U12" s="1203"/>
      <c r="V12" s="1203"/>
      <c r="W12" s="885"/>
      <c r="X12" s="1203"/>
      <c r="Y12" s="1203"/>
      <c r="Z12" s="1203"/>
      <c r="AA12" s="885"/>
    </row>
    <row r="13" spans="1:35" x14ac:dyDescent="0.25">
      <c r="A13" s="1170"/>
      <c r="B13" s="1204"/>
      <c r="C13" s="1204"/>
      <c r="D13" s="887"/>
      <c r="E13" s="887"/>
      <c r="F13" s="887"/>
      <c r="G13" s="887"/>
      <c r="H13" s="887"/>
      <c r="I13" s="887"/>
      <c r="J13" s="887"/>
      <c r="K13" s="887"/>
      <c r="L13" s="887"/>
      <c r="M13" s="887"/>
      <c r="N13" s="887"/>
      <c r="O13" s="887"/>
      <c r="P13" s="1203"/>
      <c r="Q13" s="1203"/>
      <c r="R13" s="1203"/>
      <c r="S13" s="885"/>
      <c r="T13" s="1203"/>
      <c r="U13" s="1203"/>
      <c r="V13" s="1203"/>
      <c r="W13" s="885"/>
      <c r="X13" s="1203"/>
      <c r="Y13" s="1203"/>
      <c r="Z13" s="1203"/>
      <c r="AA13" s="885"/>
    </row>
    <row r="14" spans="1:35" x14ac:dyDescent="0.25">
      <c r="A14" s="1170"/>
      <c r="B14" s="1204"/>
      <c r="C14" s="1204"/>
      <c r="D14" s="887"/>
      <c r="E14" s="887"/>
      <c r="F14" s="887"/>
      <c r="G14" s="887"/>
      <c r="H14" s="887"/>
      <c r="I14" s="887"/>
      <c r="J14" s="887"/>
      <c r="K14" s="887"/>
      <c r="L14" s="887"/>
      <c r="M14" s="887"/>
      <c r="N14" s="887"/>
      <c r="O14" s="887"/>
      <c r="P14" s="1203"/>
      <c r="Q14" s="1203"/>
      <c r="R14" s="1203"/>
      <c r="S14" s="885"/>
      <c r="T14" s="1203"/>
      <c r="U14" s="1203"/>
      <c r="V14" s="1203"/>
      <c r="W14" s="885"/>
      <c r="X14" s="1203"/>
      <c r="Y14" s="1203"/>
      <c r="Z14" s="1203"/>
      <c r="AA14" s="885"/>
    </row>
    <row r="15" spans="1:35" x14ac:dyDescent="0.25">
      <c r="A15" s="1170"/>
      <c r="B15" s="1204"/>
      <c r="C15" s="1204"/>
      <c r="D15" s="887"/>
      <c r="E15" s="887"/>
      <c r="F15" s="887"/>
      <c r="G15" s="887"/>
      <c r="H15" s="887"/>
      <c r="I15" s="887"/>
      <c r="J15" s="887"/>
      <c r="K15" s="887"/>
      <c r="L15" s="887"/>
      <c r="M15" s="887"/>
      <c r="N15" s="887"/>
      <c r="O15" s="887"/>
      <c r="P15" s="1203"/>
      <c r="Q15" s="1203"/>
      <c r="R15" s="1203"/>
      <c r="S15" s="885"/>
      <c r="T15" s="1203"/>
      <c r="U15" s="1203"/>
      <c r="V15" s="1203"/>
      <c r="W15" s="885"/>
      <c r="X15" s="1203"/>
      <c r="Y15" s="1203"/>
      <c r="Z15" s="1203"/>
      <c r="AA15" s="885"/>
    </row>
    <row r="16" spans="1:35" x14ac:dyDescent="0.25">
      <c r="A16" s="1170"/>
      <c r="B16" s="1204"/>
      <c r="C16" s="1204"/>
      <c r="D16" s="887"/>
      <c r="E16" s="887"/>
      <c r="F16" s="887"/>
      <c r="G16" s="887"/>
      <c r="H16" s="887"/>
      <c r="I16" s="887"/>
      <c r="J16" s="887"/>
      <c r="K16" s="887"/>
      <c r="L16" s="887"/>
      <c r="M16" s="887"/>
      <c r="N16" s="887"/>
      <c r="O16" s="887"/>
      <c r="P16" s="1203"/>
      <c r="Q16" s="1203"/>
      <c r="R16" s="1203"/>
      <c r="S16" s="885"/>
      <c r="T16" s="1203"/>
      <c r="U16" s="1203"/>
      <c r="V16" s="1203"/>
      <c r="W16" s="885"/>
      <c r="X16" s="1203"/>
      <c r="Y16" s="1203"/>
      <c r="Z16" s="1203"/>
      <c r="AA16" s="885"/>
    </row>
    <row r="17" spans="1:35" x14ac:dyDescent="0.25">
      <c r="A17" s="1170"/>
      <c r="B17" s="1204"/>
      <c r="C17" s="1204"/>
      <c r="D17" s="887"/>
      <c r="E17" s="887"/>
      <c r="F17" s="887"/>
      <c r="G17" s="887"/>
      <c r="H17" s="887"/>
      <c r="I17" s="887"/>
      <c r="J17" s="887"/>
      <c r="K17" s="887"/>
      <c r="L17" s="887"/>
      <c r="M17" s="887"/>
      <c r="N17" s="887"/>
      <c r="O17" s="887"/>
      <c r="P17" s="1203"/>
      <c r="Q17" s="1203"/>
      <c r="R17" s="1203"/>
      <c r="S17" s="885"/>
      <c r="T17" s="1203"/>
      <c r="U17" s="1203"/>
      <c r="V17" s="1203"/>
      <c r="W17" s="885"/>
      <c r="X17" s="1203"/>
      <c r="Y17" s="1203"/>
      <c r="Z17" s="1203"/>
      <c r="AA17" s="885"/>
    </row>
    <row r="18" spans="1:35" x14ac:dyDescent="0.25">
      <c r="A18" s="1170"/>
      <c r="B18" s="1204"/>
      <c r="C18" s="1204"/>
      <c r="D18" s="887"/>
      <c r="E18" s="887"/>
      <c r="F18" s="887"/>
      <c r="G18" s="887"/>
      <c r="H18" s="887"/>
      <c r="I18" s="887"/>
      <c r="J18" s="887"/>
      <c r="K18" s="887"/>
      <c r="L18" s="887"/>
      <c r="M18" s="887"/>
      <c r="N18" s="887"/>
      <c r="O18" s="887"/>
      <c r="P18" s="1203"/>
      <c r="Q18" s="1203"/>
      <c r="R18" s="1203"/>
      <c r="S18" s="885"/>
      <c r="T18" s="1203"/>
      <c r="U18" s="1203"/>
      <c r="V18" s="1203"/>
      <c r="W18" s="885"/>
      <c r="X18" s="1203"/>
      <c r="Y18" s="1203"/>
      <c r="Z18" s="1203"/>
      <c r="AA18" s="885"/>
    </row>
    <row r="19" spans="1:35" x14ac:dyDescent="0.25">
      <c r="A19" s="1170"/>
      <c r="B19" s="1204"/>
      <c r="C19" s="1204"/>
      <c r="D19" s="887"/>
      <c r="E19" s="887"/>
      <c r="F19" s="887"/>
      <c r="G19" s="887"/>
      <c r="H19" s="887"/>
      <c r="I19" s="887"/>
      <c r="J19" s="887"/>
      <c r="K19" s="887"/>
      <c r="L19" s="887"/>
      <c r="M19" s="887"/>
      <c r="N19" s="887"/>
      <c r="O19" s="887"/>
      <c r="P19" s="1203"/>
      <c r="Q19" s="1203"/>
      <c r="R19" s="1203"/>
      <c r="S19" s="885"/>
      <c r="T19" s="1203"/>
      <c r="U19" s="1203"/>
      <c r="V19" s="1203"/>
      <c r="W19" s="885"/>
      <c r="X19" s="1203"/>
      <c r="Y19" s="1203"/>
      <c r="Z19" s="1203"/>
      <c r="AA19" s="885"/>
    </row>
    <row r="20" spans="1:35" x14ac:dyDescent="0.25">
      <c r="A20" s="1170"/>
      <c r="B20" s="1204"/>
      <c r="C20" s="1204"/>
      <c r="D20" s="887"/>
      <c r="E20" s="887"/>
      <c r="F20" s="887"/>
      <c r="G20" s="887"/>
      <c r="H20" s="887"/>
      <c r="I20" s="887"/>
      <c r="J20" s="887"/>
      <c r="K20" s="887"/>
      <c r="L20" s="887"/>
      <c r="M20" s="887"/>
      <c r="N20" s="887"/>
      <c r="O20" s="887"/>
      <c r="P20" s="1203"/>
      <c r="Q20" s="1203"/>
      <c r="R20" s="1203"/>
      <c r="S20" s="885"/>
      <c r="T20" s="1203"/>
      <c r="U20" s="1203"/>
      <c r="V20" s="1203"/>
      <c r="W20" s="885"/>
      <c r="X20" s="1203"/>
      <c r="Y20" s="1203"/>
      <c r="Z20" s="1203"/>
      <c r="AA20" s="885"/>
    </row>
    <row r="21" spans="1:35" x14ac:dyDescent="0.25">
      <c r="A21" s="1170"/>
      <c r="B21" s="1204"/>
      <c r="C21" s="1204"/>
      <c r="D21" s="887"/>
      <c r="E21" s="887"/>
      <c r="F21" s="887"/>
      <c r="G21" s="887"/>
      <c r="H21" s="887"/>
      <c r="I21" s="887"/>
      <c r="J21" s="887"/>
      <c r="K21" s="887"/>
      <c r="L21" s="887"/>
      <c r="M21" s="887"/>
      <c r="N21" s="887"/>
      <c r="O21" s="887"/>
      <c r="P21" s="1203"/>
      <c r="Q21" s="1203"/>
      <c r="R21" s="1203"/>
      <c r="S21" s="885"/>
      <c r="T21" s="1203"/>
      <c r="U21" s="1203"/>
      <c r="V21" s="1203"/>
      <c r="W21" s="885"/>
      <c r="X21" s="1203"/>
      <c r="Y21" s="1203"/>
      <c r="Z21" s="1203"/>
      <c r="AA21" s="885"/>
    </row>
    <row r="22" spans="1:35" x14ac:dyDescent="0.25">
      <c r="A22" s="1170"/>
      <c r="B22" s="1204"/>
      <c r="C22" s="1204"/>
      <c r="D22" s="887"/>
      <c r="E22" s="887"/>
      <c r="F22" s="887"/>
      <c r="G22" s="887"/>
      <c r="H22" s="887"/>
      <c r="I22" s="887"/>
      <c r="J22" s="887"/>
      <c r="K22" s="887"/>
      <c r="L22" s="887"/>
      <c r="M22" s="887"/>
      <c r="N22" s="887"/>
      <c r="O22" s="887"/>
      <c r="P22" s="1203"/>
      <c r="Q22" s="1203"/>
      <c r="R22" s="1203"/>
      <c r="S22" s="885"/>
      <c r="T22" s="1203"/>
      <c r="U22" s="1203"/>
      <c r="V22" s="1203"/>
      <c r="W22" s="885"/>
      <c r="X22" s="1203"/>
      <c r="Y22" s="1203"/>
      <c r="Z22" s="1203"/>
      <c r="AA22" s="885"/>
    </row>
    <row r="23" spans="1:35" x14ac:dyDescent="0.25">
      <c r="A23" s="1170"/>
      <c r="B23" s="1204"/>
      <c r="C23" s="1204"/>
      <c r="D23" s="887"/>
      <c r="E23" s="887"/>
      <c r="F23" s="887"/>
      <c r="G23" s="887"/>
      <c r="H23" s="887"/>
      <c r="I23" s="887"/>
      <c r="J23" s="887"/>
      <c r="K23" s="887"/>
      <c r="L23" s="887"/>
      <c r="M23" s="887"/>
      <c r="N23" s="887"/>
      <c r="O23" s="887"/>
      <c r="P23" s="1203"/>
      <c r="Q23" s="1203"/>
      <c r="R23" s="1203"/>
      <c r="S23" s="885"/>
      <c r="T23" s="1203"/>
      <c r="U23" s="1203"/>
      <c r="V23" s="1203"/>
      <c r="W23" s="885"/>
      <c r="X23" s="1203"/>
      <c r="Y23" s="1203"/>
      <c r="Z23" s="1203"/>
      <c r="AA23" s="885"/>
    </row>
    <row r="24" spans="1:35" x14ac:dyDescent="0.25">
      <c r="A24" s="1170"/>
      <c r="B24" s="1204"/>
      <c r="C24" s="1204"/>
      <c r="D24" s="887"/>
      <c r="E24" s="887"/>
      <c r="F24" s="887"/>
      <c r="G24" s="887"/>
      <c r="H24" s="887"/>
      <c r="I24" s="887"/>
      <c r="J24" s="887"/>
      <c r="K24" s="887"/>
      <c r="L24" s="887"/>
      <c r="M24" s="887"/>
      <c r="N24" s="887"/>
      <c r="O24" s="887"/>
      <c r="P24" s="1203"/>
      <c r="Q24" s="1203"/>
      <c r="R24" s="1203"/>
      <c r="S24" s="885"/>
      <c r="T24" s="1203"/>
      <c r="U24" s="1203"/>
      <c r="V24" s="1203"/>
      <c r="W24" s="885"/>
      <c r="X24" s="1203"/>
      <c r="Y24" s="1203"/>
      <c r="Z24" s="1203"/>
      <c r="AA24" s="885"/>
    </row>
    <row r="25" spans="1:35" x14ac:dyDescent="0.25">
      <c r="A25" s="1170"/>
      <c r="B25" s="1204"/>
      <c r="C25" s="1204"/>
      <c r="D25" s="887"/>
      <c r="E25" s="887"/>
      <c r="F25" s="887"/>
      <c r="G25" s="887"/>
      <c r="H25" s="887"/>
      <c r="I25" s="887"/>
      <c r="J25" s="887"/>
      <c r="K25" s="887"/>
      <c r="L25" s="887"/>
      <c r="M25" s="887"/>
      <c r="N25" s="887"/>
      <c r="O25" s="887"/>
      <c r="P25" s="1203"/>
      <c r="Q25" s="1203"/>
      <c r="R25" s="1203"/>
      <c r="S25" s="885"/>
      <c r="T25" s="1203"/>
      <c r="U25" s="1203"/>
      <c r="V25" s="1203"/>
      <c r="W25" s="885"/>
      <c r="X25" s="1203"/>
      <c r="Y25" s="1203"/>
      <c r="Z25" s="1203"/>
      <c r="AA25" s="885"/>
    </row>
    <row r="26" spans="1:35" x14ac:dyDescent="0.25">
      <c r="A26" s="1170"/>
      <c r="B26" s="1204"/>
      <c r="C26" s="1204"/>
      <c r="D26" s="887"/>
      <c r="E26" s="887"/>
      <c r="F26" s="887"/>
      <c r="G26" s="887"/>
      <c r="H26" s="887"/>
      <c r="I26" s="887"/>
      <c r="J26" s="887"/>
      <c r="K26" s="887"/>
      <c r="L26" s="887"/>
      <c r="M26" s="887"/>
      <c r="N26" s="887"/>
      <c r="O26" s="887"/>
      <c r="P26" s="1203"/>
      <c r="Q26" s="1203"/>
      <c r="R26" s="1203"/>
      <c r="S26" s="885"/>
      <c r="T26" s="1203"/>
      <c r="U26" s="1203"/>
      <c r="V26" s="1203"/>
      <c r="W26" s="885"/>
      <c r="X26" s="1203"/>
      <c r="Y26" s="1203"/>
      <c r="Z26" s="1203"/>
      <c r="AA26" s="885"/>
    </row>
    <row r="27" spans="1:35" x14ac:dyDescent="0.25">
      <c r="A27" s="1170"/>
      <c r="B27" s="1204"/>
      <c r="C27" s="1204"/>
      <c r="D27" s="887"/>
      <c r="E27" s="887"/>
      <c r="F27" s="887"/>
      <c r="G27" s="887"/>
      <c r="H27" s="887"/>
      <c r="I27" s="887"/>
      <c r="J27" s="887"/>
      <c r="K27" s="887"/>
      <c r="L27" s="887"/>
      <c r="M27" s="887"/>
      <c r="N27" s="887"/>
      <c r="O27" s="887"/>
      <c r="P27" s="1203"/>
      <c r="Q27" s="1203"/>
      <c r="R27" s="1203"/>
      <c r="S27" s="885"/>
      <c r="T27" s="1203"/>
      <c r="U27" s="1203"/>
      <c r="V27" s="1203"/>
      <c r="W27" s="885"/>
      <c r="X27" s="1203"/>
      <c r="Y27" s="1203"/>
      <c r="Z27" s="1203"/>
      <c r="AA27" s="885"/>
    </row>
    <row r="28" spans="1:35" x14ac:dyDescent="0.25">
      <c r="A28" s="1170"/>
      <c r="B28" s="1204"/>
      <c r="C28" s="1204"/>
      <c r="D28" s="887"/>
      <c r="E28" s="887"/>
      <c r="F28" s="887"/>
      <c r="G28" s="887"/>
      <c r="H28" s="887"/>
      <c r="I28" s="887"/>
      <c r="J28" s="887"/>
      <c r="K28" s="887"/>
      <c r="L28" s="887"/>
      <c r="M28" s="887"/>
      <c r="N28" s="887"/>
      <c r="O28" s="887"/>
      <c r="P28" s="1203"/>
      <c r="Q28" s="1203"/>
      <c r="R28" s="1203"/>
      <c r="S28" s="885"/>
      <c r="T28" s="1203"/>
      <c r="U28" s="1203"/>
      <c r="V28" s="1203"/>
      <c r="W28" s="885"/>
      <c r="X28" s="1203"/>
      <c r="Y28" s="1203"/>
      <c r="Z28" s="1203"/>
      <c r="AA28" s="885"/>
    </row>
    <row r="29" spans="1:35" x14ac:dyDescent="0.25">
      <c r="D29" s="996"/>
      <c r="E29" s="996"/>
      <c r="F29" s="996"/>
      <c r="G29" s="996"/>
      <c r="H29" s="996"/>
      <c r="I29" s="996"/>
      <c r="J29" s="996"/>
      <c r="K29" s="996"/>
      <c r="L29" s="996"/>
      <c r="M29" s="996"/>
      <c r="N29" s="996"/>
      <c r="O29" s="996"/>
      <c r="P29" s="996"/>
      <c r="Q29" s="996"/>
      <c r="R29" s="996"/>
      <c r="S29" s="996"/>
      <c r="T29" s="996"/>
      <c r="U29" s="996"/>
      <c r="V29" s="996"/>
      <c r="W29" s="996"/>
      <c r="X29" s="996"/>
      <c r="Y29" s="996"/>
      <c r="Z29" s="996"/>
      <c r="AA29" s="996"/>
    </row>
    <row r="30" spans="1:35" x14ac:dyDescent="0.25">
      <c r="A30" s="453">
        <v>6</v>
      </c>
      <c r="B30" s="453" t="s">
        <v>78</v>
      </c>
      <c r="C30" s="453"/>
      <c r="D30" s="3553" t="s">
        <v>398</v>
      </c>
      <c r="E30" s="3554"/>
      <c r="F30" s="3554"/>
      <c r="G30" s="3554"/>
      <c r="H30" s="3554"/>
      <c r="I30" s="3554"/>
      <c r="J30" s="3554"/>
      <c r="K30" s="3554"/>
      <c r="L30" s="3554"/>
      <c r="M30" s="3554"/>
      <c r="N30" s="3554"/>
      <c r="O30" s="3554"/>
      <c r="P30" s="3554"/>
      <c r="Q30" s="3554"/>
      <c r="R30" s="3554"/>
      <c r="S30" s="3554"/>
      <c r="T30" s="3554"/>
      <c r="U30" s="3554"/>
      <c r="V30" s="3554"/>
      <c r="W30" s="3554"/>
      <c r="X30" s="3554"/>
      <c r="Y30" s="3554"/>
      <c r="Z30" s="3554"/>
      <c r="AA30" s="3554"/>
      <c r="AB30" s="3554"/>
      <c r="AC30" s="3554"/>
      <c r="AD30" s="3554"/>
      <c r="AE30" s="3554"/>
      <c r="AF30" s="3554"/>
      <c r="AG30" s="3554"/>
      <c r="AH30" s="3554"/>
      <c r="AI30" s="3555"/>
    </row>
    <row r="31" spans="1:35" ht="15" customHeight="1" x14ac:dyDescent="0.25">
      <c r="A31" s="472">
        <v>7</v>
      </c>
      <c r="B31" s="472" t="s">
        <v>80</v>
      </c>
      <c r="C31" s="472"/>
      <c r="D31" s="3568" t="s">
        <v>1182</v>
      </c>
      <c r="E31" s="3569"/>
      <c r="F31" s="3569"/>
      <c r="G31" s="3569"/>
      <c r="H31" s="3569"/>
      <c r="I31" s="3569"/>
      <c r="J31" s="3569"/>
      <c r="K31" s="3569"/>
      <c r="L31" s="3569"/>
      <c r="M31" s="3569"/>
      <c r="N31" s="3569"/>
      <c r="O31" s="3569"/>
      <c r="P31" s="3569"/>
      <c r="Q31" s="3569"/>
      <c r="R31" s="3569"/>
      <c r="S31" s="3569"/>
      <c r="T31" s="3569"/>
      <c r="U31" s="3569"/>
      <c r="V31" s="3569"/>
      <c r="W31" s="3569"/>
      <c r="X31" s="3569"/>
      <c r="Y31" s="3569"/>
      <c r="Z31" s="3569"/>
      <c r="AA31" s="3569"/>
      <c r="AB31" s="3569"/>
      <c r="AC31" s="3569"/>
      <c r="AD31" s="3569"/>
      <c r="AE31" s="3569"/>
      <c r="AF31" s="3569"/>
      <c r="AG31" s="3569"/>
      <c r="AH31" s="3569"/>
      <c r="AI31" s="3570"/>
    </row>
    <row r="32" spans="1:35" ht="12.75" customHeight="1" x14ac:dyDescent="0.25">
      <c r="A32" s="453">
        <v>8</v>
      </c>
      <c r="B32" s="453" t="s">
        <v>20</v>
      </c>
      <c r="C32" s="453"/>
      <c r="D32" s="3556" t="s">
        <v>1181</v>
      </c>
      <c r="E32" s="3557"/>
      <c r="F32" s="3557"/>
      <c r="G32" s="3557"/>
      <c r="H32" s="3557"/>
      <c r="I32" s="3557"/>
      <c r="J32" s="3557"/>
      <c r="K32" s="3557"/>
      <c r="L32" s="3557"/>
      <c r="M32" s="3557"/>
      <c r="N32" s="3557"/>
      <c r="O32" s="3557"/>
      <c r="P32" s="3557"/>
      <c r="Q32" s="3557"/>
      <c r="R32" s="3557"/>
      <c r="S32" s="3557"/>
      <c r="T32" s="3557"/>
      <c r="U32" s="3557"/>
      <c r="V32" s="3557"/>
      <c r="W32" s="3557"/>
      <c r="X32" s="3557"/>
      <c r="Y32" s="3557"/>
      <c r="Z32" s="3557"/>
      <c r="AA32" s="3557"/>
      <c r="AB32" s="3557"/>
      <c r="AC32" s="3557"/>
      <c r="AD32" s="3557"/>
      <c r="AE32" s="3557"/>
      <c r="AF32" s="3557"/>
      <c r="AG32" s="3557"/>
      <c r="AH32" s="3557"/>
      <c r="AI32" s="3558"/>
    </row>
    <row r="33" spans="1:35" ht="45.6" customHeight="1" x14ac:dyDescent="0.25">
      <c r="A33" s="453">
        <v>9</v>
      </c>
      <c r="B33" s="453" t="s">
        <v>22</v>
      </c>
      <c r="D33" s="3556" t="s">
        <v>1180</v>
      </c>
      <c r="E33" s="3557"/>
      <c r="F33" s="3557"/>
      <c r="G33" s="3557"/>
      <c r="H33" s="3557"/>
      <c r="I33" s="3557"/>
      <c r="J33" s="3557"/>
      <c r="K33" s="3557"/>
      <c r="L33" s="3557"/>
      <c r="M33" s="3557"/>
      <c r="N33" s="3557"/>
      <c r="O33" s="3557"/>
      <c r="P33" s="3557"/>
      <c r="Q33" s="3557"/>
      <c r="R33" s="3557"/>
      <c r="S33" s="3557"/>
      <c r="T33" s="3557"/>
      <c r="U33" s="3557"/>
      <c r="V33" s="3557"/>
      <c r="W33" s="3557"/>
      <c r="X33" s="3557"/>
      <c r="Y33" s="3557"/>
      <c r="Z33" s="3557"/>
      <c r="AA33" s="3557"/>
      <c r="AB33" s="3557"/>
      <c r="AC33" s="3557"/>
      <c r="AD33" s="3557"/>
      <c r="AE33" s="3557"/>
      <c r="AF33" s="3557"/>
      <c r="AG33" s="3557"/>
      <c r="AH33" s="3557"/>
      <c r="AI33" s="3558"/>
    </row>
    <row r="38" spans="1:35" s="293" customFormat="1" x14ac:dyDescent="0.25">
      <c r="A38" s="1942"/>
      <c r="B38" s="1942"/>
      <c r="C38" s="1942"/>
    </row>
    <row r="39" spans="1:35" s="293" customFormat="1" x14ac:dyDescent="0.25">
      <c r="A39" s="1942"/>
      <c r="B39" s="1942"/>
      <c r="C39" s="1942"/>
      <c r="E39" s="276">
        <v>2003</v>
      </c>
      <c r="F39" s="276">
        <v>2004</v>
      </c>
      <c r="G39" s="276">
        <v>2005</v>
      </c>
      <c r="H39" s="276">
        <v>2006</v>
      </c>
      <c r="I39" s="276">
        <v>2007</v>
      </c>
      <c r="J39" s="276">
        <v>2008</v>
      </c>
      <c r="K39" s="276">
        <v>2009</v>
      </c>
      <c r="L39" s="1943" t="s">
        <v>141</v>
      </c>
      <c r="M39" s="1943" t="s">
        <v>142</v>
      </c>
      <c r="N39" s="1943" t="s">
        <v>143</v>
      </c>
      <c r="O39" s="1943" t="s">
        <v>144</v>
      </c>
      <c r="P39" s="1943" t="s">
        <v>145</v>
      </c>
      <c r="Q39" s="1943" t="s">
        <v>334</v>
      </c>
      <c r="R39" s="1944"/>
      <c r="T39" s="1944"/>
      <c r="U39" s="1944"/>
      <c r="V39" s="1944"/>
      <c r="X39" s="1944"/>
      <c r="Y39" s="1944"/>
      <c r="Z39" s="1944"/>
      <c r="AB39" s="1944"/>
      <c r="AC39" s="1944"/>
      <c r="AD39" s="1944"/>
    </row>
    <row r="40" spans="1:35" s="293" customFormat="1" x14ac:dyDescent="0.25">
      <c r="A40" s="1942"/>
      <c r="B40" s="1942"/>
      <c r="C40" s="1942"/>
      <c r="E40" s="133">
        <v>84</v>
      </c>
      <c r="F40" s="133">
        <v>90</v>
      </c>
      <c r="G40" s="133">
        <v>90</v>
      </c>
      <c r="H40" s="133">
        <v>90</v>
      </c>
      <c r="I40" s="133">
        <v>78</v>
      </c>
      <c r="J40" s="133">
        <v>65</v>
      </c>
      <c r="K40" s="133">
        <v>75</v>
      </c>
      <c r="L40" s="1945">
        <v>90</v>
      </c>
      <c r="M40" s="1946">
        <v>88.25</v>
      </c>
      <c r="N40" s="1945">
        <v>87</v>
      </c>
      <c r="O40" s="1946">
        <v>88</v>
      </c>
      <c r="P40" s="1946">
        <v>89</v>
      </c>
      <c r="Q40" s="1946">
        <v>85</v>
      </c>
      <c r="S40" s="1947"/>
      <c r="T40" s="1947"/>
      <c r="U40" s="1947"/>
      <c r="V40" s="1947"/>
      <c r="W40" s="1947"/>
      <c r="X40" s="1947"/>
      <c r="Y40" s="1947"/>
      <c r="Z40" s="1947"/>
      <c r="AA40" s="1947"/>
      <c r="AB40" s="1947"/>
      <c r="AC40" s="1947"/>
      <c r="AD40" s="1947"/>
    </row>
    <row r="41" spans="1:35" s="284" customFormat="1" x14ac:dyDescent="0.25">
      <c r="A41" s="1948"/>
      <c r="B41" s="1948"/>
      <c r="C41" s="1948"/>
      <c r="AB41" s="1949"/>
      <c r="AC41" s="1949"/>
      <c r="AD41" s="1949"/>
      <c r="AE41" s="1949"/>
    </row>
    <row r="42" spans="1:35" s="284" customFormat="1" x14ac:dyDescent="0.25">
      <c r="A42" s="1948"/>
      <c r="B42" s="1948"/>
      <c r="C42" s="1948"/>
    </row>
  </sheetData>
  <mergeCells count="13">
    <mergeCell ref="D2:AI2"/>
    <mergeCell ref="D3:AI3"/>
    <mergeCell ref="D4:AI4"/>
    <mergeCell ref="D33:AI33"/>
    <mergeCell ref="L8:O8"/>
    <mergeCell ref="P8:S8"/>
    <mergeCell ref="T8:W8"/>
    <mergeCell ref="X8:AA8"/>
    <mergeCell ref="AF8:AI8"/>
    <mergeCell ref="AB8:AE8"/>
    <mergeCell ref="D30:AI30"/>
    <mergeCell ref="D31:AI31"/>
    <mergeCell ref="D32:AI32"/>
  </mergeCells>
  <pageMargins left="0.74803149606299213" right="0.74803149606299213" top="0.98425196850393704" bottom="0.98425196850393704" header="0.51181102362204722" footer="0.51181102362204722"/>
  <pageSetup paperSize="9" scale="42"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276"/>
  <sheetViews>
    <sheetView showGridLines="0" view="pageBreakPreview" zoomScaleNormal="100" zoomScaleSheetLayoutView="100" workbookViewId="0">
      <selection activeCell="E13" sqref="E13:G13"/>
    </sheetView>
  </sheetViews>
  <sheetFormatPr defaultColWidth="9.140625" defaultRowHeight="15" x14ac:dyDescent="0.25"/>
  <cols>
    <col min="1" max="1" width="3.7109375" style="670" customWidth="1"/>
    <col min="2" max="2" width="14.42578125" style="670" customWidth="1"/>
    <col min="3" max="3" width="3.7109375" style="670" customWidth="1"/>
    <col min="4" max="4" width="28.5703125" style="229" customWidth="1"/>
    <col min="5" max="15" width="9.28515625" style="229" customWidth="1"/>
    <col min="16" max="16" width="11.42578125" style="229" customWidth="1"/>
    <col min="17" max="16384" width="9.140625" style="229"/>
  </cols>
  <sheetData>
    <row r="1" spans="1:22" x14ac:dyDescent="0.25">
      <c r="D1" s="996"/>
      <c r="E1" s="996"/>
      <c r="F1" s="996"/>
      <c r="G1" s="996"/>
      <c r="H1" s="996"/>
      <c r="I1" s="996"/>
      <c r="J1" s="996"/>
      <c r="K1" s="996"/>
      <c r="L1" s="996"/>
      <c r="M1" s="996"/>
      <c r="N1" s="996"/>
      <c r="O1" s="996"/>
    </row>
    <row r="2" spans="1:22" ht="15.75" customHeight="1" x14ac:dyDescent="0.25">
      <c r="A2" s="453">
        <v>1</v>
      </c>
      <c r="B2" s="453" t="s">
        <v>1850</v>
      </c>
      <c r="C2" s="453">
        <f>1+'[28]Pride in being SA'!C2</f>
        <v>62</v>
      </c>
      <c r="D2" s="3556" t="s">
        <v>1851</v>
      </c>
      <c r="E2" s="3557"/>
      <c r="F2" s="3557"/>
      <c r="G2" s="3557"/>
      <c r="H2" s="3557"/>
      <c r="I2" s="3557"/>
      <c r="J2" s="3557"/>
      <c r="K2" s="3557"/>
      <c r="L2" s="3557"/>
      <c r="M2" s="3557"/>
      <c r="N2" s="3557"/>
      <c r="O2" s="3557"/>
      <c r="P2" s="3557"/>
      <c r="Q2" s="3557"/>
      <c r="R2" s="3558"/>
      <c r="S2" s="1026"/>
      <c r="T2" s="1026"/>
      <c r="U2" s="1026"/>
      <c r="V2" s="1026"/>
    </row>
    <row r="3" spans="1:22" ht="15" customHeight="1" x14ac:dyDescent="0.25">
      <c r="A3" s="453">
        <v>2</v>
      </c>
      <c r="B3" s="453" t="s">
        <v>1852</v>
      </c>
      <c r="C3" s="453"/>
      <c r="D3" s="3553" t="s">
        <v>1621</v>
      </c>
      <c r="E3" s="3554"/>
      <c r="F3" s="3554"/>
      <c r="G3" s="3554"/>
      <c r="H3" s="3554"/>
      <c r="I3" s="3554"/>
      <c r="J3" s="3554"/>
      <c r="K3" s="3554"/>
      <c r="L3" s="3554"/>
      <c r="M3" s="3554"/>
      <c r="N3" s="3554"/>
      <c r="O3" s="3554"/>
      <c r="P3" s="3554"/>
      <c r="Q3" s="3554"/>
      <c r="R3" s="3555"/>
    </row>
    <row r="4" spans="1:22" ht="12.75" customHeight="1" x14ac:dyDescent="0.25">
      <c r="A4" s="453">
        <v>3</v>
      </c>
      <c r="B4" s="453" t="s">
        <v>28</v>
      </c>
      <c r="C4" s="1622"/>
      <c r="D4" s="3553" t="s">
        <v>1853</v>
      </c>
      <c r="E4" s="3554"/>
      <c r="F4" s="3554"/>
      <c r="G4" s="3554"/>
      <c r="H4" s="3554"/>
      <c r="I4" s="3554"/>
      <c r="J4" s="3554"/>
      <c r="K4" s="3554"/>
      <c r="L4" s="3554"/>
      <c r="M4" s="3554"/>
      <c r="N4" s="3554"/>
      <c r="O4" s="3554"/>
      <c r="P4" s="3554"/>
      <c r="Q4" s="3554"/>
      <c r="R4" s="3555"/>
    </row>
    <row r="5" spans="1:22" ht="12.75" customHeight="1" x14ac:dyDescent="0.25">
      <c r="A5" s="453"/>
      <c r="B5" s="1170"/>
      <c r="C5" s="1170"/>
      <c r="D5" s="1439"/>
      <c r="E5" s="55"/>
      <c r="F5" s="55"/>
      <c r="G5" s="55"/>
      <c r="H5" s="55"/>
      <c r="I5" s="55"/>
      <c r="J5" s="55"/>
      <c r="K5" s="55"/>
      <c r="L5" s="55"/>
      <c r="M5" s="55"/>
      <c r="N5" s="55"/>
    </row>
    <row r="6" spans="1:22" x14ac:dyDescent="0.25">
      <c r="A6" s="453">
        <v>4</v>
      </c>
      <c r="B6" s="453" t="s">
        <v>1</v>
      </c>
      <c r="D6" s="1623" t="s">
        <v>31</v>
      </c>
      <c r="E6" s="1623" t="s">
        <v>1854</v>
      </c>
      <c r="F6" s="1623"/>
      <c r="G6" s="1623"/>
      <c r="H6" s="1623"/>
      <c r="I6" s="1623"/>
      <c r="J6" s="1623"/>
      <c r="K6" s="1623"/>
      <c r="L6" s="1623"/>
      <c r="M6" s="1623"/>
    </row>
    <row r="7" spans="1:22" ht="12.75" customHeight="1" x14ac:dyDescent="0.25">
      <c r="A7" s="1174"/>
      <c r="D7" s="2984"/>
      <c r="E7" s="862">
        <v>1998</v>
      </c>
      <c r="F7" s="862">
        <v>2003</v>
      </c>
      <c r="G7" s="862">
        <v>2007</v>
      </c>
      <c r="H7" s="862">
        <v>2011</v>
      </c>
      <c r="I7" s="862">
        <v>2012</v>
      </c>
      <c r="J7" s="862" t="s">
        <v>144</v>
      </c>
      <c r="K7" s="2912" t="s">
        <v>145</v>
      </c>
      <c r="L7" s="862"/>
      <c r="M7" s="862"/>
      <c r="N7" s="862"/>
      <c r="O7" s="723"/>
    </row>
    <row r="8" spans="1:22" ht="14.1" customHeight="1" x14ac:dyDescent="0.25">
      <c r="A8" s="1174"/>
      <c r="D8" s="2985" t="s">
        <v>1855</v>
      </c>
      <c r="E8" s="1625">
        <v>85</v>
      </c>
      <c r="F8" s="1625">
        <v>85</v>
      </c>
      <c r="G8" s="1625">
        <v>76</v>
      </c>
      <c r="H8" s="1625">
        <v>88.2</v>
      </c>
      <c r="I8" s="1625">
        <v>85.7</v>
      </c>
      <c r="J8" s="1612">
        <v>86.5</v>
      </c>
      <c r="K8" s="2987">
        <v>85.4</v>
      </c>
      <c r="L8" s="1612"/>
      <c r="M8" s="1612"/>
      <c r="N8" s="1612"/>
      <c r="O8" s="723"/>
    </row>
    <row r="9" spans="1:22" ht="14.1" customHeight="1" x14ac:dyDescent="0.25">
      <c r="A9" s="1174"/>
      <c r="D9" s="2986" t="s">
        <v>1856</v>
      </c>
      <c r="E9" s="1626">
        <v>56</v>
      </c>
      <c r="F9" s="1626">
        <v>23</v>
      </c>
      <c r="G9" s="1626">
        <v>23</v>
      </c>
      <c r="H9" s="1626">
        <v>37</v>
      </c>
      <c r="I9" s="1626">
        <v>36.5</v>
      </c>
      <c r="J9" s="1627">
        <v>34.799999999999997</v>
      </c>
      <c r="K9" s="2988">
        <v>31.2</v>
      </c>
      <c r="L9" s="1612"/>
      <c r="M9" s="1612"/>
      <c r="N9" s="1612"/>
      <c r="O9" s="723"/>
    </row>
    <row r="10" spans="1:22" ht="14.1" customHeight="1" x14ac:dyDescent="0.25">
      <c r="A10" s="1174"/>
      <c r="D10" s="1624"/>
      <c r="E10" s="1625"/>
      <c r="F10" s="1625"/>
      <c r="G10" s="1625"/>
      <c r="H10" s="1625"/>
      <c r="I10" s="1625"/>
      <c r="J10" s="1612"/>
      <c r="K10" s="1612"/>
      <c r="L10" s="1612"/>
      <c r="M10" s="1612"/>
      <c r="N10" s="1612"/>
      <c r="O10" s="723"/>
    </row>
    <row r="11" spans="1:22" ht="14.1" customHeight="1" x14ac:dyDescent="0.25">
      <c r="A11" s="1174"/>
      <c r="D11" s="1624"/>
      <c r="E11" s="1625"/>
      <c r="F11" s="1625"/>
      <c r="G11" s="1625"/>
      <c r="H11" s="1625"/>
      <c r="I11" s="1625"/>
      <c r="J11" s="1612"/>
      <c r="K11" s="1612"/>
      <c r="L11" s="1612"/>
      <c r="M11" s="1612"/>
      <c r="N11" s="723"/>
    </row>
    <row r="12" spans="1:22" ht="14.1" customHeight="1" x14ac:dyDescent="0.25">
      <c r="A12" s="1174"/>
      <c r="D12" s="1623" t="s">
        <v>55</v>
      </c>
      <c r="E12" s="1623" t="s">
        <v>1857</v>
      </c>
      <c r="F12" s="860"/>
      <c r="G12" s="860"/>
      <c r="H12" s="860"/>
      <c r="I12" s="860"/>
      <c r="J12" s="860"/>
      <c r="K12" s="1628"/>
      <c r="L12" s="1628"/>
      <c r="M12" s="1628"/>
      <c r="N12" s="723"/>
    </row>
    <row r="13" spans="1:22" ht="14.1" customHeight="1" x14ac:dyDescent="0.25">
      <c r="A13" s="1174"/>
      <c r="D13" s="1629"/>
      <c r="E13" s="3919" t="s">
        <v>1858</v>
      </c>
      <c r="F13" s="3919"/>
      <c r="G13" s="3920"/>
      <c r="H13" s="3921" t="s">
        <v>1859</v>
      </c>
      <c r="I13" s="3919"/>
      <c r="J13" s="3920"/>
      <c r="K13" s="3922" t="s">
        <v>1860</v>
      </c>
      <c r="L13" s="3923"/>
      <c r="M13" s="3923"/>
      <c r="N13" s="3922" t="s">
        <v>1861</v>
      </c>
      <c r="O13" s="3923"/>
      <c r="P13" s="3924"/>
    </row>
    <row r="14" spans="1:22" ht="24.6" customHeight="1" x14ac:dyDescent="0.25">
      <c r="A14" s="1174"/>
      <c r="D14" s="1624"/>
      <c r="E14" s="1630" t="s">
        <v>1862</v>
      </c>
      <c r="F14" s="1631" t="s">
        <v>1863</v>
      </c>
      <c r="G14" s="1632" t="s">
        <v>1864</v>
      </c>
      <c r="H14" s="1631" t="s">
        <v>1862</v>
      </c>
      <c r="I14" s="1631" t="s">
        <v>1863</v>
      </c>
      <c r="J14" s="1632" t="s">
        <v>1864</v>
      </c>
      <c r="K14" s="1631" t="s">
        <v>1862</v>
      </c>
      <c r="L14" s="1631" t="s">
        <v>1863</v>
      </c>
      <c r="M14" s="1633" t="s">
        <v>1864</v>
      </c>
      <c r="N14" s="1631" t="s">
        <v>1862</v>
      </c>
      <c r="O14" s="1631" t="s">
        <v>1863</v>
      </c>
      <c r="P14" s="2989" t="s">
        <v>1864</v>
      </c>
    </row>
    <row r="15" spans="1:22" ht="14.1" customHeight="1" x14ac:dyDescent="0.25">
      <c r="A15" s="1174"/>
      <c r="D15" s="432" t="s">
        <v>415</v>
      </c>
      <c r="E15" s="1634">
        <v>38.200000000000003</v>
      </c>
      <c r="F15" s="1635">
        <v>36.4</v>
      </c>
      <c r="G15" s="1634">
        <v>25.4</v>
      </c>
      <c r="H15" s="1635">
        <v>39.4</v>
      </c>
      <c r="I15" s="1635">
        <v>32.200000000000003</v>
      </c>
      <c r="J15" s="1636">
        <v>28.3</v>
      </c>
      <c r="K15" s="1637">
        <v>40.299999999999997</v>
      </c>
      <c r="L15" s="1637">
        <v>27.4</v>
      </c>
      <c r="M15" s="1638">
        <v>32.299999999999997</v>
      </c>
      <c r="N15" s="1637">
        <v>45.8</v>
      </c>
      <c r="O15" s="1637">
        <v>21.8</v>
      </c>
      <c r="P15" s="2990">
        <v>32.4</v>
      </c>
    </row>
    <row r="16" spans="1:22" ht="14.1" customHeight="1" x14ac:dyDescent="0.25">
      <c r="A16" s="1174"/>
      <c r="D16" s="432" t="s">
        <v>1658</v>
      </c>
      <c r="E16" s="1634">
        <v>42.5</v>
      </c>
      <c r="F16" s="1635">
        <v>34.1</v>
      </c>
      <c r="G16" s="1634">
        <v>23.4</v>
      </c>
      <c r="H16" s="1635">
        <v>43.2</v>
      </c>
      <c r="I16" s="1635">
        <v>27.5</v>
      </c>
      <c r="J16" s="1636">
        <v>29.2</v>
      </c>
      <c r="K16" s="1637">
        <v>50.3</v>
      </c>
      <c r="L16" s="1637">
        <v>28.8</v>
      </c>
      <c r="M16" s="1638">
        <v>20.9</v>
      </c>
      <c r="N16" s="1637">
        <v>47.8</v>
      </c>
      <c r="O16" s="1637">
        <v>27.7</v>
      </c>
      <c r="P16" s="2990">
        <v>24.5</v>
      </c>
    </row>
    <row r="17" spans="1:16" ht="14.1" customHeight="1" x14ac:dyDescent="0.25">
      <c r="A17" s="1174"/>
      <c r="D17" s="432" t="s">
        <v>581</v>
      </c>
      <c r="E17" s="1634">
        <v>22.5</v>
      </c>
      <c r="F17" s="1635">
        <v>52</v>
      </c>
      <c r="G17" s="1634">
        <v>25.5</v>
      </c>
      <c r="H17" s="1635">
        <v>20.100000000000001</v>
      </c>
      <c r="I17" s="1635">
        <v>49.1</v>
      </c>
      <c r="J17" s="1636">
        <v>30.8</v>
      </c>
      <c r="K17" s="1637">
        <v>33.6</v>
      </c>
      <c r="L17" s="1637">
        <v>41.5</v>
      </c>
      <c r="M17" s="1638">
        <v>24.8</v>
      </c>
      <c r="N17" s="1637">
        <v>37.1</v>
      </c>
      <c r="O17" s="1637">
        <v>35.4</v>
      </c>
      <c r="P17" s="2990">
        <v>27.5</v>
      </c>
    </row>
    <row r="18" spans="1:16" ht="14.1" customHeight="1" x14ac:dyDescent="0.25">
      <c r="A18" s="1174"/>
      <c r="D18" s="432" t="s">
        <v>1659</v>
      </c>
      <c r="E18" s="1634">
        <v>30.7</v>
      </c>
      <c r="F18" s="1635">
        <v>44.8</v>
      </c>
      <c r="G18" s="1634">
        <v>24.4</v>
      </c>
      <c r="H18" s="1635">
        <v>30.3</v>
      </c>
      <c r="I18" s="1635">
        <v>44</v>
      </c>
      <c r="J18" s="1636">
        <v>25.6</v>
      </c>
      <c r="K18" s="1637">
        <v>38.700000000000003</v>
      </c>
      <c r="L18" s="1637">
        <v>34.4</v>
      </c>
      <c r="M18" s="1638">
        <v>26.9</v>
      </c>
      <c r="N18" s="1637">
        <v>39.5</v>
      </c>
      <c r="O18" s="1637">
        <v>35.299999999999997</v>
      </c>
      <c r="P18" s="2990">
        <v>25.2</v>
      </c>
    </row>
    <row r="19" spans="1:16" ht="14.1" customHeight="1" x14ac:dyDescent="0.25">
      <c r="A19" s="1174"/>
      <c r="D19" s="432" t="s">
        <v>422</v>
      </c>
      <c r="E19" s="1634">
        <v>38.4</v>
      </c>
      <c r="F19" s="1635">
        <v>33.6</v>
      </c>
      <c r="G19" s="1634">
        <v>28.1</v>
      </c>
      <c r="H19" s="1635">
        <v>42.2</v>
      </c>
      <c r="I19" s="1635">
        <v>33.4</v>
      </c>
      <c r="J19" s="1636">
        <v>24.3</v>
      </c>
      <c r="K19" s="1637">
        <v>46.1</v>
      </c>
      <c r="L19" s="1637">
        <v>32.700000000000003</v>
      </c>
      <c r="M19" s="1638">
        <v>21.2</v>
      </c>
      <c r="N19" s="1637">
        <v>50.9</v>
      </c>
      <c r="O19" s="1637">
        <v>26.5</v>
      </c>
      <c r="P19" s="2990">
        <v>22.6</v>
      </c>
    </row>
    <row r="20" spans="1:16" ht="14.1" customHeight="1" x14ac:dyDescent="0.25">
      <c r="A20" s="1174"/>
      <c r="D20" s="432" t="s">
        <v>1660</v>
      </c>
      <c r="E20" s="1634">
        <v>29.5</v>
      </c>
      <c r="F20" s="1635">
        <v>49.5</v>
      </c>
      <c r="G20" s="1634">
        <v>21</v>
      </c>
      <c r="H20" s="1635">
        <v>30.3</v>
      </c>
      <c r="I20" s="1635">
        <v>48.3</v>
      </c>
      <c r="J20" s="1636">
        <v>21.4</v>
      </c>
      <c r="K20" s="1637">
        <v>37.299999999999997</v>
      </c>
      <c r="L20" s="1637">
        <v>32.200000000000003</v>
      </c>
      <c r="M20" s="1638">
        <v>30.6</v>
      </c>
      <c r="N20" s="1637">
        <v>36.299999999999997</v>
      </c>
      <c r="O20" s="1637">
        <v>33.700000000000003</v>
      </c>
      <c r="P20" s="2990">
        <v>30</v>
      </c>
    </row>
    <row r="21" spans="1:16" ht="14.1" customHeight="1" x14ac:dyDescent="0.25">
      <c r="A21" s="1174"/>
      <c r="D21" s="432" t="s">
        <v>419</v>
      </c>
      <c r="E21" s="1634">
        <v>36.200000000000003</v>
      </c>
      <c r="F21" s="1635">
        <v>41.1</v>
      </c>
      <c r="G21" s="1634">
        <v>22.8</v>
      </c>
      <c r="H21" s="1635">
        <v>37.299999999999997</v>
      </c>
      <c r="I21" s="1635">
        <v>26.4</v>
      </c>
      <c r="J21" s="1636">
        <v>36.200000000000003</v>
      </c>
      <c r="K21" s="1637">
        <v>49.3</v>
      </c>
      <c r="L21" s="1637">
        <v>25.7</v>
      </c>
      <c r="M21" s="1638">
        <v>25</v>
      </c>
      <c r="N21" s="1637">
        <v>50.5</v>
      </c>
      <c r="O21" s="1637">
        <v>25.6</v>
      </c>
      <c r="P21" s="2990">
        <v>23.9</v>
      </c>
    </row>
    <row r="22" spans="1:16" ht="14.1" customHeight="1" x14ac:dyDescent="0.25">
      <c r="A22" s="1174"/>
      <c r="D22" s="432" t="s">
        <v>1661</v>
      </c>
      <c r="E22" s="1634">
        <v>33.799999999999997</v>
      </c>
      <c r="F22" s="1635">
        <v>25.9</v>
      </c>
      <c r="G22" s="1634">
        <v>40.299999999999997</v>
      </c>
      <c r="H22" s="1635">
        <v>42.1</v>
      </c>
      <c r="I22" s="1635">
        <v>29.5</v>
      </c>
      <c r="J22" s="1636">
        <v>28.4</v>
      </c>
      <c r="K22" s="1637">
        <v>50.8</v>
      </c>
      <c r="L22" s="1637">
        <v>21.5</v>
      </c>
      <c r="M22" s="1638">
        <v>27.8</v>
      </c>
      <c r="N22" s="1637">
        <v>51.3</v>
      </c>
      <c r="O22" s="1637">
        <v>21</v>
      </c>
      <c r="P22" s="2990">
        <v>27.8</v>
      </c>
    </row>
    <row r="23" spans="1:16" ht="14.1" customHeight="1" x14ac:dyDescent="0.25">
      <c r="A23" s="1174"/>
      <c r="D23" s="434" t="s">
        <v>414</v>
      </c>
      <c r="E23" s="1613">
        <v>37.299999999999997</v>
      </c>
      <c r="F23" s="1614">
        <v>29</v>
      </c>
      <c r="G23" s="1613">
        <v>33.700000000000003</v>
      </c>
      <c r="H23" s="1614">
        <v>44.1</v>
      </c>
      <c r="I23" s="1614">
        <v>21.3</v>
      </c>
      <c r="J23" s="1615">
        <v>34.6</v>
      </c>
      <c r="K23" s="1616">
        <v>51.7</v>
      </c>
      <c r="L23" s="1616">
        <v>13.8</v>
      </c>
      <c r="M23" s="1617">
        <v>34.4</v>
      </c>
      <c r="N23" s="1616">
        <v>55.1</v>
      </c>
      <c r="O23" s="1616">
        <v>12.7</v>
      </c>
      <c r="P23" s="2991">
        <v>32.1</v>
      </c>
    </row>
    <row r="24" spans="1:16" ht="14.1" customHeight="1" x14ac:dyDescent="0.25">
      <c r="A24" s="1174"/>
      <c r="D24" s="1639" t="s">
        <v>0</v>
      </c>
      <c r="E24" s="1640">
        <v>32.1</v>
      </c>
      <c r="F24" s="1641">
        <v>41.8</v>
      </c>
      <c r="G24" s="1640">
        <v>26.1</v>
      </c>
      <c r="H24" s="1641">
        <v>33.1</v>
      </c>
      <c r="I24" s="1641">
        <v>38.1</v>
      </c>
      <c r="J24" s="1642">
        <v>28.8</v>
      </c>
      <c r="K24" s="1643">
        <v>41.3</v>
      </c>
      <c r="L24" s="1641">
        <v>31.6</v>
      </c>
      <c r="M24" s="1644">
        <v>27</v>
      </c>
      <c r="N24" s="1643">
        <v>43.6</v>
      </c>
      <c r="O24" s="1641">
        <v>28.8</v>
      </c>
      <c r="P24" s="2992">
        <v>27.6</v>
      </c>
    </row>
    <row r="25" spans="1:16" ht="14.1" customHeight="1" x14ac:dyDescent="0.25">
      <c r="A25" s="1174"/>
      <c r="D25" s="1624"/>
      <c r="E25" s="860"/>
      <c r="F25" s="860"/>
      <c r="G25" s="860"/>
      <c r="H25" s="860"/>
      <c r="I25" s="860"/>
      <c r="J25" s="1612"/>
      <c r="K25" s="1612"/>
      <c r="L25" s="860"/>
      <c r="M25" s="860"/>
      <c r="N25" s="723"/>
    </row>
    <row r="26" spans="1:16" ht="14.1" customHeight="1" x14ac:dyDescent="0.25">
      <c r="A26" s="1174"/>
      <c r="D26" s="1645"/>
      <c r="E26" s="1646"/>
      <c r="F26" s="1646"/>
      <c r="G26" s="1646"/>
      <c r="H26" s="1646"/>
      <c r="I26" s="1646"/>
      <c r="J26" s="1647"/>
      <c r="K26" s="1647"/>
      <c r="L26" s="1646"/>
      <c r="M26" s="1646"/>
    </row>
    <row r="27" spans="1:16" x14ac:dyDescent="0.25">
      <c r="A27" s="1174"/>
      <c r="D27" s="1648" t="s">
        <v>262</v>
      </c>
      <c r="E27" s="1649" t="s">
        <v>1865</v>
      </c>
      <c r="F27" s="1650"/>
      <c r="G27" s="1650"/>
      <c r="H27" s="1651"/>
      <c r="I27" s="1652"/>
      <c r="J27" s="1647"/>
      <c r="K27" s="1647"/>
      <c r="L27" s="1646"/>
      <c r="M27" s="1646"/>
    </row>
    <row r="28" spans="1:16" x14ac:dyDescent="0.25">
      <c r="A28" s="1174"/>
      <c r="D28" s="1624"/>
      <c r="E28" s="862">
        <v>2011</v>
      </c>
      <c r="F28" s="862">
        <v>2012</v>
      </c>
      <c r="G28" s="862" t="s">
        <v>144</v>
      </c>
      <c r="H28" s="2912" t="s">
        <v>145</v>
      </c>
      <c r="I28" s="1505"/>
      <c r="J28" s="1652"/>
      <c r="K28" s="1647"/>
      <c r="L28" s="1647"/>
      <c r="M28" s="1646"/>
      <c r="N28" s="1646"/>
    </row>
    <row r="29" spans="1:16" ht="14.1" customHeight="1" x14ac:dyDescent="0.25">
      <c r="A29" s="1174"/>
      <c r="D29" s="1624" t="s">
        <v>415</v>
      </c>
      <c r="E29" s="1625">
        <v>62.8</v>
      </c>
      <c r="F29" s="1625">
        <v>65.599999999999994</v>
      </c>
      <c r="G29" s="1625">
        <v>65.8</v>
      </c>
      <c r="H29" s="2993">
        <v>64.900000000000006</v>
      </c>
      <c r="I29" s="1625"/>
      <c r="J29" s="1652"/>
      <c r="K29" s="1647"/>
      <c r="L29" s="1647"/>
      <c r="M29" s="1646"/>
      <c r="N29" s="1646"/>
    </row>
    <row r="30" spans="1:16" ht="14.1" customHeight="1" x14ac:dyDescent="0.25">
      <c r="A30" s="1174"/>
      <c r="D30" s="1624" t="s">
        <v>417</v>
      </c>
      <c r="E30" s="1625">
        <v>64.099999999999994</v>
      </c>
      <c r="F30" s="1625">
        <v>61</v>
      </c>
      <c r="G30" s="1625">
        <v>61.3</v>
      </c>
      <c r="H30" s="2993">
        <v>58.7</v>
      </c>
      <c r="I30" s="1625"/>
      <c r="J30" s="1652"/>
      <c r="K30" s="1647"/>
      <c r="L30" s="1647"/>
      <c r="M30" s="1646"/>
      <c r="N30" s="1646"/>
    </row>
    <row r="31" spans="1:16" ht="14.1" customHeight="1" x14ac:dyDescent="0.25">
      <c r="A31" s="1174"/>
      <c r="D31" s="1624" t="s">
        <v>420</v>
      </c>
      <c r="E31" s="1625">
        <v>66.2</v>
      </c>
      <c r="F31" s="1625">
        <v>65.3</v>
      </c>
      <c r="G31" s="1625">
        <v>59.1</v>
      </c>
      <c r="H31" s="2993">
        <v>57.5</v>
      </c>
      <c r="I31" s="1625"/>
      <c r="J31" s="1652"/>
      <c r="K31" s="1647"/>
      <c r="L31" s="1647"/>
      <c r="M31" s="1646"/>
      <c r="N31" s="1646"/>
    </row>
    <row r="32" spans="1:16" ht="14.1" customHeight="1" x14ac:dyDescent="0.25">
      <c r="A32" s="1174"/>
      <c r="D32" s="1624" t="s">
        <v>1866</v>
      </c>
      <c r="E32" s="1625">
        <v>63</v>
      </c>
      <c r="F32" s="1625">
        <v>60.1</v>
      </c>
      <c r="G32" s="1625">
        <v>56.3</v>
      </c>
      <c r="H32" s="2993">
        <v>53</v>
      </c>
      <c r="I32" s="1625"/>
      <c r="K32" s="1647"/>
      <c r="L32" s="1647"/>
      <c r="M32" s="1646"/>
      <c r="N32" s="1646"/>
    </row>
    <row r="33" spans="1:21" ht="14.1" customHeight="1" x14ac:dyDescent="0.25">
      <c r="A33" s="1174"/>
      <c r="D33" s="1624" t="s">
        <v>422</v>
      </c>
      <c r="E33" s="1625">
        <v>66.7</v>
      </c>
      <c r="F33" s="1625">
        <v>62.4</v>
      </c>
      <c r="G33" s="1625">
        <v>59.7</v>
      </c>
      <c r="H33" s="2993">
        <v>58.8</v>
      </c>
      <c r="I33" s="1625"/>
      <c r="J33" s="133"/>
      <c r="K33" s="1647"/>
      <c r="L33" s="1647"/>
      <c r="M33" s="1646"/>
      <c r="N33" s="1646"/>
    </row>
    <row r="34" spans="1:21" ht="14.1" customHeight="1" x14ac:dyDescent="0.25">
      <c r="A34" s="1174"/>
      <c r="D34" s="1624" t="s">
        <v>421</v>
      </c>
      <c r="E34" s="1625">
        <v>57.1</v>
      </c>
      <c r="F34" s="1625">
        <v>58.2</v>
      </c>
      <c r="G34" s="1625">
        <v>55.4</v>
      </c>
      <c r="H34" s="2993">
        <v>53.6</v>
      </c>
      <c r="I34" s="1625"/>
      <c r="K34" s="1647"/>
      <c r="L34" s="1647"/>
      <c r="M34" s="1646"/>
      <c r="N34" s="1646"/>
    </row>
    <row r="35" spans="1:21" ht="14.1" customHeight="1" x14ac:dyDescent="0.25">
      <c r="A35" s="1174"/>
      <c r="D35" s="1624" t="s">
        <v>419</v>
      </c>
      <c r="E35" s="1625">
        <v>62.4</v>
      </c>
      <c r="F35" s="1625">
        <v>51.1</v>
      </c>
      <c r="G35" s="1625">
        <v>50.7</v>
      </c>
      <c r="H35" s="2993">
        <v>47.5</v>
      </c>
      <c r="I35" s="1625"/>
      <c r="J35" s="1652"/>
      <c r="K35" s="1647"/>
      <c r="L35" s="1647"/>
      <c r="M35" s="1646"/>
      <c r="N35" s="1646"/>
    </row>
    <row r="36" spans="1:21" ht="14.1" customHeight="1" x14ac:dyDescent="0.25">
      <c r="A36" s="1174"/>
      <c r="D36" s="1624" t="s">
        <v>416</v>
      </c>
      <c r="E36" s="1625">
        <v>60.9</v>
      </c>
      <c r="F36" s="1625">
        <v>61.1</v>
      </c>
      <c r="G36" s="1625">
        <v>58.7</v>
      </c>
      <c r="H36" s="2993">
        <v>50.2</v>
      </c>
      <c r="I36" s="1625"/>
      <c r="K36" s="1647"/>
      <c r="L36" s="1647"/>
      <c r="M36" s="1646"/>
      <c r="N36" s="1646"/>
    </row>
    <row r="37" spans="1:21" ht="14.1" customHeight="1" x14ac:dyDescent="0.25">
      <c r="A37" s="1174"/>
      <c r="D37" s="1653" t="s">
        <v>414</v>
      </c>
      <c r="E37" s="1654">
        <v>71.099999999999994</v>
      </c>
      <c r="F37" s="1654">
        <v>66.099999999999994</v>
      </c>
      <c r="G37" s="1654">
        <v>63.9</v>
      </c>
      <c r="H37" s="2994">
        <v>60.4</v>
      </c>
      <c r="I37" s="1625"/>
      <c r="J37" s="117"/>
      <c r="K37" s="1647"/>
      <c r="L37" s="1647"/>
      <c r="M37" s="1646"/>
      <c r="N37" s="1646"/>
    </row>
    <row r="38" spans="1:21" ht="14.1" customHeight="1" x14ac:dyDescent="0.25">
      <c r="A38" s="1174"/>
      <c r="D38" s="1639" t="s">
        <v>0</v>
      </c>
      <c r="E38" s="1644">
        <v>64.599999999999994</v>
      </c>
      <c r="F38" s="1644">
        <v>62.4</v>
      </c>
      <c r="G38" s="1644">
        <v>59.2</v>
      </c>
      <c r="H38" s="2992">
        <v>57</v>
      </c>
      <c r="I38" s="1655"/>
      <c r="J38" s="117"/>
      <c r="K38" s="1647"/>
      <c r="L38" s="1647"/>
      <c r="M38" s="1646"/>
      <c r="N38" s="1646"/>
    </row>
    <row r="39" spans="1:21" ht="14.1" customHeight="1" x14ac:dyDescent="0.25">
      <c r="A39" s="1174"/>
      <c r="D39" s="1645"/>
      <c r="E39" s="1646"/>
      <c r="F39" s="1646"/>
      <c r="G39" s="1646"/>
      <c r="H39" s="1646"/>
      <c r="I39" s="996"/>
      <c r="J39" s="1647"/>
      <c r="K39" s="1647"/>
      <c r="L39" s="1646"/>
      <c r="M39" s="1646"/>
    </row>
    <row r="40" spans="1:21" ht="14.1" customHeight="1" x14ac:dyDescent="0.25">
      <c r="A40" s="1174"/>
      <c r="I40" s="996"/>
      <c r="T40" s="179"/>
    </row>
    <row r="41" spans="1:21" ht="14.1" customHeight="1" x14ac:dyDescent="0.25">
      <c r="A41" s="1170">
        <v>5</v>
      </c>
      <c r="B41" s="650" t="s">
        <v>77</v>
      </c>
      <c r="D41" s="1648" t="s">
        <v>278</v>
      </c>
      <c r="E41" s="1656" t="s">
        <v>1867</v>
      </c>
      <c r="F41" s="1657"/>
      <c r="I41" s="996"/>
      <c r="T41" s="179"/>
    </row>
    <row r="42" spans="1:21" ht="14.1" customHeight="1" x14ac:dyDescent="0.25">
      <c r="A42" s="1174"/>
      <c r="D42" s="1624"/>
      <c r="E42" s="1505">
        <v>2010</v>
      </c>
      <c r="F42" s="1505">
        <v>2012</v>
      </c>
      <c r="G42" s="862" t="s">
        <v>144</v>
      </c>
      <c r="H42" s="862" t="s">
        <v>145</v>
      </c>
      <c r="U42" s="179"/>
    </row>
    <row r="43" spans="1:21" ht="14.1" customHeight="1" x14ac:dyDescent="0.25">
      <c r="A43" s="1174"/>
      <c r="D43" s="1624" t="s">
        <v>415</v>
      </c>
      <c r="E43" s="1625">
        <v>62.3</v>
      </c>
      <c r="F43" s="1625">
        <v>66.400000000000006</v>
      </c>
      <c r="G43" s="1625">
        <v>68.3</v>
      </c>
      <c r="H43" s="1625">
        <v>56</v>
      </c>
      <c r="U43" s="179"/>
    </row>
    <row r="44" spans="1:21" ht="14.1" customHeight="1" x14ac:dyDescent="0.25">
      <c r="D44" s="1624" t="s">
        <v>417</v>
      </c>
      <c r="E44" s="1625">
        <v>64.7</v>
      </c>
      <c r="F44" s="1625">
        <v>70</v>
      </c>
      <c r="G44" s="1625">
        <v>68.5</v>
      </c>
      <c r="H44" s="1625">
        <v>59.9</v>
      </c>
    </row>
    <row r="45" spans="1:21" ht="14.1" customHeight="1" x14ac:dyDescent="0.25">
      <c r="A45" s="1174"/>
      <c r="D45" s="1624" t="s">
        <v>420</v>
      </c>
      <c r="E45" s="1625">
        <v>60.7</v>
      </c>
      <c r="F45" s="1625">
        <v>59.8</v>
      </c>
      <c r="G45" s="1625">
        <v>56.4</v>
      </c>
      <c r="H45" s="1625">
        <v>49.4</v>
      </c>
    </row>
    <row r="46" spans="1:21" ht="14.1" customHeight="1" x14ac:dyDescent="0.25">
      <c r="A46" s="1174"/>
      <c r="D46" s="1624" t="s">
        <v>1866</v>
      </c>
      <c r="E46" s="1625">
        <v>70.5</v>
      </c>
      <c r="F46" s="1625">
        <v>69.2</v>
      </c>
      <c r="G46" s="1625">
        <v>71.8</v>
      </c>
      <c r="H46" s="1625">
        <v>59.8</v>
      </c>
    </row>
    <row r="47" spans="1:21" ht="14.1" customHeight="1" x14ac:dyDescent="0.25">
      <c r="A47" s="1174"/>
      <c r="D47" s="1624" t="s">
        <v>422</v>
      </c>
      <c r="E47" s="1625">
        <v>74.099999999999994</v>
      </c>
      <c r="F47" s="1625">
        <v>68</v>
      </c>
      <c r="G47" s="1625">
        <v>75.5</v>
      </c>
      <c r="H47" s="1625">
        <v>71.599999999999994</v>
      </c>
    </row>
    <row r="48" spans="1:21" ht="14.1" customHeight="1" x14ac:dyDescent="0.25">
      <c r="A48" s="1174"/>
      <c r="D48" s="1624" t="s">
        <v>421</v>
      </c>
      <c r="E48" s="1625">
        <v>70.2</v>
      </c>
      <c r="F48" s="1625">
        <v>73.400000000000006</v>
      </c>
      <c r="G48" s="1625">
        <v>71.599999999999994</v>
      </c>
      <c r="H48" s="1625">
        <v>60.3</v>
      </c>
    </row>
    <row r="49" spans="1:17" ht="14.1" customHeight="1" x14ac:dyDescent="0.25">
      <c r="D49" s="1624" t="s">
        <v>419</v>
      </c>
      <c r="E49" s="1625">
        <v>71.599999999999994</v>
      </c>
      <c r="F49" s="1625">
        <v>58.3</v>
      </c>
      <c r="G49" s="1625">
        <v>64.7</v>
      </c>
      <c r="H49" s="1625">
        <v>53.5</v>
      </c>
      <c r="O49" s="179" t="s">
        <v>326</v>
      </c>
    </row>
    <row r="50" spans="1:17" s="1660" customFormat="1" x14ac:dyDescent="0.2">
      <c r="A50" s="1170"/>
      <c r="B50" s="1658"/>
      <c r="C50" s="1658"/>
      <c r="D50" s="1624" t="s">
        <v>416</v>
      </c>
      <c r="E50" s="1625">
        <v>69.3</v>
      </c>
      <c r="F50" s="1625">
        <v>76.5</v>
      </c>
      <c r="G50" s="1625">
        <v>72.099999999999994</v>
      </c>
      <c r="H50" s="1625">
        <v>61.9</v>
      </c>
      <c r="I50" s="1405"/>
      <c r="J50" s="1405"/>
      <c r="K50" s="1405"/>
      <c r="L50" s="1405"/>
      <c r="M50" s="1405"/>
      <c r="N50" s="1405"/>
      <c r="O50" s="1618"/>
      <c r="P50" s="1659"/>
    </row>
    <row r="51" spans="1:17" x14ac:dyDescent="0.25">
      <c r="A51" s="1170"/>
      <c r="B51" s="1661"/>
      <c r="C51" s="650"/>
      <c r="D51" s="1653" t="s">
        <v>414</v>
      </c>
      <c r="E51" s="1654">
        <v>48.5</v>
      </c>
      <c r="F51" s="1654">
        <v>46.7</v>
      </c>
      <c r="G51" s="1654">
        <v>45</v>
      </c>
      <c r="H51" s="1654">
        <v>32.299999999999997</v>
      </c>
      <c r="I51" s="133"/>
      <c r="K51" s="133"/>
      <c r="L51" s="133"/>
      <c r="M51" s="133"/>
      <c r="N51" s="133"/>
      <c r="O51" s="133"/>
      <c r="P51" s="133"/>
      <c r="Q51" s="1662"/>
    </row>
    <row r="52" spans="1:17" x14ac:dyDescent="0.25">
      <c r="D52" s="1639" t="s">
        <v>0</v>
      </c>
      <c r="E52" s="1644">
        <v>64.7</v>
      </c>
      <c r="F52" s="1644">
        <v>63.7</v>
      </c>
      <c r="G52" s="1644">
        <v>64.3</v>
      </c>
      <c r="H52" s="1644">
        <v>54.4</v>
      </c>
      <c r="I52" s="117"/>
      <c r="K52" s="117"/>
      <c r="L52" s="117"/>
      <c r="M52" s="117"/>
      <c r="N52" s="117"/>
      <c r="O52" s="117"/>
      <c r="P52" s="117"/>
      <c r="Q52" s="1662"/>
    </row>
    <row r="53" spans="1:17" x14ac:dyDescent="0.25">
      <c r="A53" s="1170"/>
      <c r="D53" s="996"/>
      <c r="E53" s="117"/>
      <c r="F53" s="117"/>
      <c r="G53" s="117"/>
      <c r="H53" s="117"/>
      <c r="J53" s="117"/>
      <c r="K53" s="117"/>
      <c r="L53" s="117"/>
      <c r="M53" s="117"/>
      <c r="N53" s="117"/>
      <c r="O53" s="117"/>
      <c r="P53" s="1662"/>
    </row>
    <row r="54" spans="1:17" x14ac:dyDescent="0.25">
      <c r="A54" s="1170">
        <v>6</v>
      </c>
      <c r="B54" s="453" t="s">
        <v>78</v>
      </c>
      <c r="C54" s="453"/>
      <c r="D54" s="3578" t="s">
        <v>1868</v>
      </c>
      <c r="E54" s="3579"/>
      <c r="F54" s="3579"/>
      <c r="G54" s="3579"/>
      <c r="H54" s="3579"/>
      <c r="I54" s="3579"/>
      <c r="J54" s="3579"/>
      <c r="K54" s="3579"/>
      <c r="L54" s="3579"/>
      <c r="M54" s="3579"/>
      <c r="N54" s="3579"/>
      <c r="O54" s="3579"/>
      <c r="P54" s="3579"/>
      <c r="Q54" s="3580"/>
    </row>
    <row r="55" spans="1:17" ht="33" customHeight="1" x14ac:dyDescent="0.25">
      <c r="A55" s="1170">
        <v>7</v>
      </c>
      <c r="B55" s="472" t="s">
        <v>80</v>
      </c>
      <c r="C55" s="472"/>
      <c r="D55" s="3578" t="s">
        <v>1869</v>
      </c>
      <c r="E55" s="3579"/>
      <c r="F55" s="3579"/>
      <c r="G55" s="3579"/>
      <c r="H55" s="3579"/>
      <c r="I55" s="3579"/>
      <c r="J55" s="3579"/>
      <c r="K55" s="3579"/>
      <c r="L55" s="3579"/>
      <c r="M55" s="3579"/>
      <c r="N55" s="3579"/>
      <c r="O55" s="3579"/>
      <c r="P55" s="3579"/>
      <c r="Q55" s="3580"/>
    </row>
    <row r="56" spans="1:17" ht="12.75" customHeight="1" x14ac:dyDescent="0.25">
      <c r="A56" s="1170">
        <v>8</v>
      </c>
      <c r="B56" s="453" t="s">
        <v>20</v>
      </c>
      <c r="C56" s="453"/>
      <c r="D56" s="3578" t="s">
        <v>1870</v>
      </c>
      <c r="E56" s="3579"/>
      <c r="F56" s="3579"/>
      <c r="G56" s="3579"/>
      <c r="H56" s="3579"/>
      <c r="I56" s="3579"/>
      <c r="J56" s="3579"/>
      <c r="K56" s="3579"/>
      <c r="L56" s="3579"/>
      <c r="M56" s="3579"/>
      <c r="N56" s="3579"/>
      <c r="O56" s="3579"/>
      <c r="P56" s="3579"/>
      <c r="Q56" s="3580"/>
    </row>
    <row r="57" spans="1:17" ht="82.5" customHeight="1" x14ac:dyDescent="0.25">
      <c r="A57" s="1170">
        <v>9</v>
      </c>
      <c r="B57" s="453" t="s">
        <v>157</v>
      </c>
      <c r="C57" s="453"/>
      <c r="D57" s="3578" t="s">
        <v>1871</v>
      </c>
      <c r="E57" s="3579"/>
      <c r="F57" s="3579"/>
      <c r="G57" s="3579"/>
      <c r="H57" s="3579"/>
      <c r="I57" s="3579"/>
      <c r="J57" s="3579"/>
      <c r="K57" s="3579"/>
      <c r="L57" s="3579"/>
      <c r="M57" s="3579"/>
      <c r="N57" s="3579"/>
      <c r="O57" s="3579"/>
      <c r="P57" s="3579"/>
      <c r="Q57" s="3580"/>
    </row>
    <row r="59" spans="1:17" ht="13.5" customHeight="1" x14ac:dyDescent="0.25"/>
    <row r="60" spans="1:17" ht="9.75" customHeight="1" x14ac:dyDescent="0.25">
      <c r="D60" s="996"/>
      <c r="E60" s="996"/>
      <c r="F60" s="996"/>
      <c r="G60" s="996"/>
      <c r="H60" s="996"/>
      <c r="I60" s="996"/>
      <c r="J60" s="996"/>
      <c r="K60" s="996"/>
      <c r="L60" s="996"/>
      <c r="M60" s="996"/>
      <c r="N60" s="996"/>
      <c r="O60" s="996"/>
    </row>
    <row r="61" spans="1:17" ht="13.5" customHeight="1" x14ac:dyDescent="0.25"/>
    <row r="62" spans="1:17" ht="13.5" customHeight="1" x14ac:dyDescent="0.25"/>
    <row r="63" spans="1:17" ht="12.75" customHeight="1" x14ac:dyDescent="0.25"/>
    <row r="64" spans="1:17" ht="27.75" customHeight="1" x14ac:dyDescent="0.25"/>
    <row r="231" spans="1:14" s="1664" customFormat="1" x14ac:dyDescent="0.2">
      <c r="A231" s="670"/>
      <c r="B231" s="1663"/>
      <c r="C231" s="1663"/>
      <c r="N231" s="1665"/>
    </row>
    <row r="232" spans="1:14" s="1664" customFormat="1" x14ac:dyDescent="0.2">
      <c r="A232" s="670"/>
      <c r="B232" s="1663"/>
      <c r="C232" s="1663"/>
      <c r="N232" s="1665"/>
    </row>
    <row r="233" spans="1:14" s="1664" customFormat="1" x14ac:dyDescent="0.2">
      <c r="A233" s="670"/>
      <c r="B233" s="1663"/>
      <c r="C233" s="1663"/>
      <c r="N233" s="1665"/>
    </row>
    <row r="234" spans="1:14" s="1664" customFormat="1" x14ac:dyDescent="0.2">
      <c r="A234" s="670"/>
      <c r="B234" s="1663"/>
      <c r="C234" s="1663"/>
      <c r="N234" s="1665"/>
    </row>
    <row r="235" spans="1:14" s="1664" customFormat="1" x14ac:dyDescent="0.2">
      <c r="A235" s="670"/>
      <c r="B235" s="1663"/>
      <c r="C235" s="1663"/>
      <c r="N235" s="1665"/>
    </row>
    <row r="236" spans="1:14" s="1664" customFormat="1" x14ac:dyDescent="0.25">
      <c r="A236" s="670"/>
      <c r="B236" s="1663"/>
      <c r="C236" s="1663"/>
      <c r="N236" s="1666"/>
    </row>
    <row r="237" spans="1:14" s="1664" customFormat="1" x14ac:dyDescent="0.25">
      <c r="A237" s="670"/>
      <c r="B237" s="1663"/>
      <c r="C237" s="1663"/>
      <c r="N237" s="1666"/>
    </row>
    <row r="238" spans="1:14" s="1664" customFormat="1" x14ac:dyDescent="0.2">
      <c r="A238" s="670"/>
      <c r="B238" s="1667"/>
      <c r="C238" s="1667"/>
      <c r="D238" s="1668"/>
      <c r="E238" s="1669"/>
      <c r="F238" s="1668"/>
      <c r="G238" s="1670"/>
      <c r="H238" s="1670"/>
      <c r="I238" s="1670"/>
      <c r="J238" s="1669"/>
      <c r="K238" s="1669"/>
      <c r="L238" s="1668"/>
      <c r="M238" s="1668"/>
      <c r="N238" s="1671"/>
    </row>
    <row r="239" spans="1:14" s="1664" customFormat="1" x14ac:dyDescent="0.2">
      <c r="A239" s="670"/>
      <c r="B239" s="1672"/>
      <c r="C239" s="1672"/>
      <c r="D239" s="1672"/>
      <c r="E239" s="1672"/>
      <c r="F239" s="1672"/>
      <c r="G239" s="1672"/>
      <c r="H239" s="1672"/>
      <c r="I239" s="1672"/>
      <c r="J239" s="1672"/>
      <c r="K239" s="1672"/>
      <c r="L239" s="1672"/>
      <c r="M239" s="1672"/>
      <c r="N239" s="1672"/>
    </row>
    <row r="240" spans="1:14" s="1664" customFormat="1" x14ac:dyDescent="0.2">
      <c r="A240" s="670"/>
      <c r="B240" s="1672"/>
      <c r="C240" s="1672"/>
      <c r="D240" s="1672"/>
      <c r="E240" s="1672"/>
      <c r="F240" s="1672"/>
      <c r="G240" s="1672"/>
      <c r="H240" s="1672"/>
      <c r="I240" s="1672"/>
      <c r="J240" s="1672"/>
      <c r="K240" s="1672"/>
      <c r="L240" s="1672"/>
      <c r="M240" s="1672"/>
      <c r="N240" s="1672"/>
    </row>
    <row r="241" spans="1:23" s="1664" customFormat="1" x14ac:dyDescent="0.2">
      <c r="A241" s="670"/>
      <c r="B241" s="1672"/>
      <c r="C241" s="1672"/>
      <c r="D241" s="1672"/>
      <c r="E241" s="1672"/>
      <c r="F241" s="1672"/>
      <c r="G241" s="1672"/>
      <c r="H241" s="1672"/>
      <c r="I241" s="1672"/>
      <c r="J241" s="1672"/>
      <c r="K241" s="1672"/>
      <c r="L241" s="1672"/>
      <c r="M241" s="1672"/>
      <c r="N241" s="1672"/>
    </row>
    <row r="242" spans="1:23" s="1664" customFormat="1" x14ac:dyDescent="0.2">
      <c r="A242" s="670"/>
      <c r="B242" s="1672"/>
      <c r="C242" s="1672"/>
      <c r="D242" s="1672"/>
      <c r="E242" s="1672"/>
      <c r="F242" s="1672"/>
      <c r="G242" s="1672"/>
      <c r="H242" s="1672"/>
      <c r="I242" s="1672"/>
      <c r="J242" s="1672"/>
      <c r="K242" s="1672"/>
      <c r="L242" s="1672"/>
      <c r="M242" s="1672"/>
      <c r="N242" s="1672"/>
    </row>
    <row r="243" spans="1:23" s="1664" customFormat="1" x14ac:dyDescent="0.25">
      <c r="A243" s="670"/>
      <c r="B243" s="1672"/>
      <c r="C243" s="1672"/>
      <c r="D243" s="1672"/>
      <c r="E243" s="1672"/>
      <c r="F243" s="1672"/>
      <c r="G243" s="1672"/>
      <c r="H243" s="1672"/>
      <c r="I243" s="1672"/>
      <c r="J243" s="1672"/>
      <c r="K243" s="1672"/>
      <c r="L243" s="1672"/>
      <c r="M243" s="1672"/>
      <c r="N243" s="1672"/>
      <c r="P243" s="1673"/>
      <c r="Q243" s="1673"/>
      <c r="S243" s="1674"/>
      <c r="T243" s="1673"/>
      <c r="U243" s="1673"/>
      <c r="W243" s="1673"/>
    </row>
    <row r="244" spans="1:23" s="1664" customFormat="1" x14ac:dyDescent="0.2">
      <c r="A244" s="670"/>
      <c r="B244" s="1672"/>
      <c r="C244" s="1672"/>
      <c r="D244" s="1672"/>
      <c r="E244" s="1672"/>
      <c r="F244" s="1672"/>
      <c r="G244" s="1672"/>
      <c r="H244" s="1672"/>
      <c r="I244" s="1672"/>
      <c r="J244" s="1672"/>
      <c r="K244" s="1672"/>
      <c r="L244" s="1672"/>
      <c r="M244" s="1672"/>
      <c r="N244" s="1672"/>
    </row>
    <row r="250" spans="1:23" x14ac:dyDescent="0.25">
      <c r="D250" s="1619"/>
    </row>
    <row r="251" spans="1:23" x14ac:dyDescent="0.25">
      <c r="D251" s="670"/>
    </row>
    <row r="257" spans="2:6" x14ac:dyDescent="0.25">
      <c r="B257" s="745"/>
      <c r="C257" s="745"/>
      <c r="D257" s="723"/>
      <c r="E257" s="723"/>
      <c r="F257" s="723"/>
    </row>
    <row r="258" spans="2:6" x14ac:dyDescent="0.25">
      <c r="B258" s="745"/>
      <c r="C258" s="745"/>
      <c r="D258" s="723"/>
      <c r="E258" s="723"/>
      <c r="F258" s="723"/>
    </row>
    <row r="259" spans="2:6" x14ac:dyDescent="0.25">
      <c r="B259" s="745"/>
      <c r="C259" s="745"/>
      <c r="D259" s="723"/>
      <c r="E259" s="723"/>
      <c r="F259" s="723"/>
    </row>
    <row r="260" spans="2:6" x14ac:dyDescent="0.25">
      <c r="B260" s="745"/>
      <c r="C260" s="745"/>
      <c r="D260" s="1620"/>
      <c r="E260" s="723"/>
      <c r="F260" s="723"/>
    </row>
    <row r="261" spans="2:6" x14ac:dyDescent="0.25">
      <c r="B261" s="745"/>
      <c r="C261" s="745"/>
      <c r="D261" s="432"/>
      <c r="E261" s="723"/>
      <c r="F261" s="723"/>
    </row>
    <row r="262" spans="2:6" x14ac:dyDescent="0.25">
      <c r="B262" s="745"/>
      <c r="C262" s="745"/>
      <c r="D262" s="432"/>
      <c r="E262" s="723"/>
      <c r="F262" s="723"/>
    </row>
    <row r="263" spans="2:6" x14ac:dyDescent="0.25">
      <c r="B263" s="745"/>
      <c r="C263" s="745"/>
      <c r="D263" s="432"/>
      <c r="E263" s="723"/>
      <c r="F263" s="723"/>
    </row>
    <row r="264" spans="2:6" x14ac:dyDescent="0.25">
      <c r="B264" s="745"/>
      <c r="C264" s="745"/>
      <c r="D264" s="432"/>
      <c r="E264" s="723"/>
      <c r="F264" s="723"/>
    </row>
    <row r="265" spans="2:6" x14ac:dyDescent="0.25">
      <c r="B265" s="745"/>
      <c r="C265" s="745"/>
      <c r="D265" s="432"/>
      <c r="E265" s="723"/>
      <c r="F265" s="723"/>
    </row>
    <row r="266" spans="2:6" x14ac:dyDescent="0.25">
      <c r="B266" s="745"/>
      <c r="C266" s="745"/>
      <c r="D266" s="723"/>
      <c r="E266" s="723"/>
      <c r="F266" s="723"/>
    </row>
    <row r="267" spans="2:6" x14ac:dyDescent="0.25">
      <c r="B267" s="745"/>
      <c r="C267" s="745"/>
      <c r="D267" s="1620"/>
      <c r="E267" s="723"/>
      <c r="F267" s="723"/>
    </row>
    <row r="268" spans="2:6" x14ac:dyDescent="0.25">
      <c r="B268" s="745"/>
      <c r="C268" s="745"/>
      <c r="D268" s="723"/>
      <c r="E268" s="723"/>
      <c r="F268" s="723"/>
    </row>
    <row r="269" spans="2:6" x14ac:dyDescent="0.25">
      <c r="B269" s="745"/>
      <c r="C269" s="745"/>
      <c r="D269" s="723"/>
      <c r="E269" s="723"/>
      <c r="F269" s="723"/>
    </row>
    <row r="270" spans="2:6" x14ac:dyDescent="0.25">
      <c r="B270" s="745"/>
      <c r="C270" s="745"/>
      <c r="D270" s="723"/>
      <c r="E270" s="723"/>
      <c r="F270" s="723"/>
    </row>
    <row r="271" spans="2:6" x14ac:dyDescent="0.25">
      <c r="D271" s="1621"/>
    </row>
    <row r="276" spans="4:4" x14ac:dyDescent="0.25">
      <c r="D276" s="438"/>
    </row>
  </sheetData>
  <mergeCells count="11">
    <mergeCell ref="D2:R2"/>
    <mergeCell ref="D3:R3"/>
    <mergeCell ref="D4:R4"/>
    <mergeCell ref="D54:Q54"/>
    <mergeCell ref="D55:Q55"/>
    <mergeCell ref="D56:Q56"/>
    <mergeCell ref="D57:Q57"/>
    <mergeCell ref="E13:G13"/>
    <mergeCell ref="H13:J13"/>
    <mergeCell ref="K13:M13"/>
    <mergeCell ref="N13:P13"/>
  </mergeCells>
  <pageMargins left="0.74803149606299213" right="0.74803149606299213" top="0.98425196850393704" bottom="0.98425196850393704" header="0.51181102362204722" footer="0.51181102362204722"/>
  <pageSetup paperSize="9" scale="50" orientation="landscape" r:id="rId1"/>
  <headerFooter alignWithMargins="0">
    <oddHeader>&amp;C&amp;"-,Bold"DEVELOPMENT INDICATORS 2014</oddHeader>
    <oddFooter>&amp;LDepartment of Planning, Monitoring and Evaluation (DPME). &amp;CPage &amp;P of &amp;N&amp;R&amp;D</oddFooter>
  </headerFooter>
  <rowBreaks count="1" manualBreakCount="1">
    <brk id="57" max="15"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43"/>
  <sheetViews>
    <sheetView showGridLines="0" view="pageBreakPreview" topLeftCell="L1" zoomScaleNormal="100" zoomScaleSheetLayoutView="100" workbookViewId="0">
      <selection activeCell="Z10" sqref="Z10"/>
    </sheetView>
  </sheetViews>
  <sheetFormatPr defaultColWidth="9.140625" defaultRowHeight="15" x14ac:dyDescent="0.25"/>
  <cols>
    <col min="1" max="1" width="3.7109375" style="453" customWidth="1"/>
    <col min="2" max="2" width="14.42578125" style="670" customWidth="1"/>
    <col min="3" max="3" width="3.7109375" style="670" customWidth="1"/>
    <col min="4" max="4" width="20.28515625" style="229" customWidth="1"/>
    <col min="5" max="7" width="9.5703125" style="229" customWidth="1"/>
    <col min="8" max="8" width="9.5703125" style="1923" customWidth="1"/>
    <col min="9" max="26" width="9.5703125" style="229" customWidth="1"/>
    <col min="27" max="28" width="9" style="229" customWidth="1"/>
    <col min="29" max="264" width="9.140625" style="229"/>
    <col min="265" max="265" width="3.7109375" style="229" customWidth="1"/>
    <col min="266" max="266" width="14.42578125" style="229" customWidth="1"/>
    <col min="267" max="267" width="3.7109375" style="229" customWidth="1"/>
    <col min="268" max="268" width="20.28515625" style="229" customWidth="1"/>
    <col min="269" max="282" width="9.5703125" style="229" customWidth="1"/>
    <col min="283" max="284" width="9" style="229" customWidth="1"/>
    <col min="285" max="520" width="9.140625" style="229"/>
    <col min="521" max="521" width="3.7109375" style="229" customWidth="1"/>
    <col min="522" max="522" width="14.42578125" style="229" customWidth="1"/>
    <col min="523" max="523" width="3.7109375" style="229" customWidth="1"/>
    <col min="524" max="524" width="20.28515625" style="229" customWidth="1"/>
    <col min="525" max="538" width="9.5703125" style="229" customWidth="1"/>
    <col min="539" max="540" width="9" style="229" customWidth="1"/>
    <col min="541" max="776" width="9.140625" style="229"/>
    <col min="777" max="777" width="3.7109375" style="229" customWidth="1"/>
    <col min="778" max="778" width="14.42578125" style="229" customWidth="1"/>
    <col min="779" max="779" width="3.7109375" style="229" customWidth="1"/>
    <col min="780" max="780" width="20.28515625" style="229" customWidth="1"/>
    <col min="781" max="794" width="9.5703125" style="229" customWidth="1"/>
    <col min="795" max="796" width="9" style="229" customWidth="1"/>
    <col min="797" max="1032" width="9.140625" style="229"/>
    <col min="1033" max="1033" width="3.7109375" style="229" customWidth="1"/>
    <col min="1034" max="1034" width="14.42578125" style="229" customWidth="1"/>
    <col min="1035" max="1035" width="3.7109375" style="229" customWidth="1"/>
    <col min="1036" max="1036" width="20.28515625" style="229" customWidth="1"/>
    <col min="1037" max="1050" width="9.5703125" style="229" customWidth="1"/>
    <col min="1051" max="1052" width="9" style="229" customWidth="1"/>
    <col min="1053" max="1288" width="9.140625" style="229"/>
    <col min="1289" max="1289" width="3.7109375" style="229" customWidth="1"/>
    <col min="1290" max="1290" width="14.42578125" style="229" customWidth="1"/>
    <col min="1291" max="1291" width="3.7109375" style="229" customWidth="1"/>
    <col min="1292" max="1292" width="20.28515625" style="229" customWidth="1"/>
    <col min="1293" max="1306" width="9.5703125" style="229" customWidth="1"/>
    <col min="1307" max="1308" width="9" style="229" customWidth="1"/>
    <col min="1309" max="1544" width="9.140625" style="229"/>
    <col min="1545" max="1545" width="3.7109375" style="229" customWidth="1"/>
    <col min="1546" max="1546" width="14.42578125" style="229" customWidth="1"/>
    <col min="1547" max="1547" width="3.7109375" style="229" customWidth="1"/>
    <col min="1548" max="1548" width="20.28515625" style="229" customWidth="1"/>
    <col min="1549" max="1562" width="9.5703125" style="229" customWidth="1"/>
    <col min="1563" max="1564" width="9" style="229" customWidth="1"/>
    <col min="1565" max="1800" width="9.140625" style="229"/>
    <col min="1801" max="1801" width="3.7109375" style="229" customWidth="1"/>
    <col min="1802" max="1802" width="14.42578125" style="229" customWidth="1"/>
    <col min="1803" max="1803" width="3.7109375" style="229" customWidth="1"/>
    <col min="1804" max="1804" width="20.28515625" style="229" customWidth="1"/>
    <col min="1805" max="1818" width="9.5703125" style="229" customWidth="1"/>
    <col min="1819" max="1820" width="9" style="229" customWidth="1"/>
    <col min="1821" max="2056" width="9.140625" style="229"/>
    <col min="2057" max="2057" width="3.7109375" style="229" customWidth="1"/>
    <col min="2058" max="2058" width="14.42578125" style="229" customWidth="1"/>
    <col min="2059" max="2059" width="3.7109375" style="229" customWidth="1"/>
    <col min="2060" max="2060" width="20.28515625" style="229" customWidth="1"/>
    <col min="2061" max="2074" width="9.5703125" style="229" customWidth="1"/>
    <col min="2075" max="2076" width="9" style="229" customWidth="1"/>
    <col min="2077" max="2312" width="9.140625" style="229"/>
    <col min="2313" max="2313" width="3.7109375" style="229" customWidth="1"/>
    <col min="2314" max="2314" width="14.42578125" style="229" customWidth="1"/>
    <col min="2315" max="2315" width="3.7109375" style="229" customWidth="1"/>
    <col min="2316" max="2316" width="20.28515625" style="229" customWidth="1"/>
    <col min="2317" max="2330" width="9.5703125" style="229" customWidth="1"/>
    <col min="2331" max="2332" width="9" style="229" customWidth="1"/>
    <col min="2333" max="2568" width="9.140625" style="229"/>
    <col min="2569" max="2569" width="3.7109375" style="229" customWidth="1"/>
    <col min="2570" max="2570" width="14.42578125" style="229" customWidth="1"/>
    <col min="2571" max="2571" width="3.7109375" style="229" customWidth="1"/>
    <col min="2572" max="2572" width="20.28515625" style="229" customWidth="1"/>
    <col min="2573" max="2586" width="9.5703125" style="229" customWidth="1"/>
    <col min="2587" max="2588" width="9" style="229" customWidth="1"/>
    <col min="2589" max="2824" width="9.140625" style="229"/>
    <col min="2825" max="2825" width="3.7109375" style="229" customWidth="1"/>
    <col min="2826" max="2826" width="14.42578125" style="229" customWidth="1"/>
    <col min="2827" max="2827" width="3.7109375" style="229" customWidth="1"/>
    <col min="2828" max="2828" width="20.28515625" style="229" customWidth="1"/>
    <col min="2829" max="2842" width="9.5703125" style="229" customWidth="1"/>
    <col min="2843" max="2844" width="9" style="229" customWidth="1"/>
    <col min="2845" max="3080" width="9.140625" style="229"/>
    <col min="3081" max="3081" width="3.7109375" style="229" customWidth="1"/>
    <col min="3082" max="3082" width="14.42578125" style="229" customWidth="1"/>
    <col min="3083" max="3083" width="3.7109375" style="229" customWidth="1"/>
    <col min="3084" max="3084" width="20.28515625" style="229" customWidth="1"/>
    <col min="3085" max="3098" width="9.5703125" style="229" customWidth="1"/>
    <col min="3099" max="3100" width="9" style="229" customWidth="1"/>
    <col min="3101" max="3336" width="9.140625" style="229"/>
    <col min="3337" max="3337" width="3.7109375" style="229" customWidth="1"/>
    <col min="3338" max="3338" width="14.42578125" style="229" customWidth="1"/>
    <col min="3339" max="3339" width="3.7109375" style="229" customWidth="1"/>
    <col min="3340" max="3340" width="20.28515625" style="229" customWidth="1"/>
    <col min="3341" max="3354" width="9.5703125" style="229" customWidth="1"/>
    <col min="3355" max="3356" width="9" style="229" customWidth="1"/>
    <col min="3357" max="3592" width="9.140625" style="229"/>
    <col min="3593" max="3593" width="3.7109375" style="229" customWidth="1"/>
    <col min="3594" max="3594" width="14.42578125" style="229" customWidth="1"/>
    <col min="3595" max="3595" width="3.7109375" style="229" customWidth="1"/>
    <col min="3596" max="3596" width="20.28515625" style="229" customWidth="1"/>
    <col min="3597" max="3610" width="9.5703125" style="229" customWidth="1"/>
    <col min="3611" max="3612" width="9" style="229" customWidth="1"/>
    <col min="3613" max="3848" width="9.140625" style="229"/>
    <col min="3849" max="3849" width="3.7109375" style="229" customWidth="1"/>
    <col min="3850" max="3850" width="14.42578125" style="229" customWidth="1"/>
    <col min="3851" max="3851" width="3.7109375" style="229" customWidth="1"/>
    <col min="3852" max="3852" width="20.28515625" style="229" customWidth="1"/>
    <col min="3853" max="3866" width="9.5703125" style="229" customWidth="1"/>
    <col min="3867" max="3868" width="9" style="229" customWidth="1"/>
    <col min="3869" max="4104" width="9.140625" style="229"/>
    <col min="4105" max="4105" width="3.7109375" style="229" customWidth="1"/>
    <col min="4106" max="4106" width="14.42578125" style="229" customWidth="1"/>
    <col min="4107" max="4107" width="3.7109375" style="229" customWidth="1"/>
    <col min="4108" max="4108" width="20.28515625" style="229" customWidth="1"/>
    <col min="4109" max="4122" width="9.5703125" style="229" customWidth="1"/>
    <col min="4123" max="4124" width="9" style="229" customWidth="1"/>
    <col min="4125" max="4360" width="9.140625" style="229"/>
    <col min="4361" max="4361" width="3.7109375" style="229" customWidth="1"/>
    <col min="4362" max="4362" width="14.42578125" style="229" customWidth="1"/>
    <col min="4363" max="4363" width="3.7109375" style="229" customWidth="1"/>
    <col min="4364" max="4364" width="20.28515625" style="229" customWidth="1"/>
    <col min="4365" max="4378" width="9.5703125" style="229" customWidth="1"/>
    <col min="4379" max="4380" width="9" style="229" customWidth="1"/>
    <col min="4381" max="4616" width="9.140625" style="229"/>
    <col min="4617" max="4617" width="3.7109375" style="229" customWidth="1"/>
    <col min="4618" max="4618" width="14.42578125" style="229" customWidth="1"/>
    <col min="4619" max="4619" width="3.7109375" style="229" customWidth="1"/>
    <col min="4620" max="4620" width="20.28515625" style="229" customWidth="1"/>
    <col min="4621" max="4634" width="9.5703125" style="229" customWidth="1"/>
    <col min="4635" max="4636" width="9" style="229" customWidth="1"/>
    <col min="4637" max="4872" width="9.140625" style="229"/>
    <col min="4873" max="4873" width="3.7109375" style="229" customWidth="1"/>
    <col min="4874" max="4874" width="14.42578125" style="229" customWidth="1"/>
    <col min="4875" max="4875" width="3.7109375" style="229" customWidth="1"/>
    <col min="4876" max="4876" width="20.28515625" style="229" customWidth="1"/>
    <col min="4877" max="4890" width="9.5703125" style="229" customWidth="1"/>
    <col min="4891" max="4892" width="9" style="229" customWidth="1"/>
    <col min="4893" max="5128" width="9.140625" style="229"/>
    <col min="5129" max="5129" width="3.7109375" style="229" customWidth="1"/>
    <col min="5130" max="5130" width="14.42578125" style="229" customWidth="1"/>
    <col min="5131" max="5131" width="3.7109375" style="229" customWidth="1"/>
    <col min="5132" max="5132" width="20.28515625" style="229" customWidth="1"/>
    <col min="5133" max="5146" width="9.5703125" style="229" customWidth="1"/>
    <col min="5147" max="5148" width="9" style="229" customWidth="1"/>
    <col min="5149" max="5384" width="9.140625" style="229"/>
    <col min="5385" max="5385" width="3.7109375" style="229" customWidth="1"/>
    <col min="5386" max="5386" width="14.42578125" style="229" customWidth="1"/>
    <col min="5387" max="5387" width="3.7109375" style="229" customWidth="1"/>
    <col min="5388" max="5388" width="20.28515625" style="229" customWidth="1"/>
    <col min="5389" max="5402" width="9.5703125" style="229" customWidth="1"/>
    <col min="5403" max="5404" width="9" style="229" customWidth="1"/>
    <col min="5405" max="5640" width="9.140625" style="229"/>
    <col min="5641" max="5641" width="3.7109375" style="229" customWidth="1"/>
    <col min="5642" max="5642" width="14.42578125" style="229" customWidth="1"/>
    <col min="5643" max="5643" width="3.7109375" style="229" customWidth="1"/>
    <col min="5644" max="5644" width="20.28515625" style="229" customWidth="1"/>
    <col min="5645" max="5658" width="9.5703125" style="229" customWidth="1"/>
    <col min="5659" max="5660" width="9" style="229" customWidth="1"/>
    <col min="5661" max="5896" width="9.140625" style="229"/>
    <col min="5897" max="5897" width="3.7109375" style="229" customWidth="1"/>
    <col min="5898" max="5898" width="14.42578125" style="229" customWidth="1"/>
    <col min="5899" max="5899" width="3.7109375" style="229" customWidth="1"/>
    <col min="5900" max="5900" width="20.28515625" style="229" customWidth="1"/>
    <col min="5901" max="5914" width="9.5703125" style="229" customWidth="1"/>
    <col min="5915" max="5916" width="9" style="229" customWidth="1"/>
    <col min="5917" max="6152" width="9.140625" style="229"/>
    <col min="6153" max="6153" width="3.7109375" style="229" customWidth="1"/>
    <col min="6154" max="6154" width="14.42578125" style="229" customWidth="1"/>
    <col min="6155" max="6155" width="3.7109375" style="229" customWidth="1"/>
    <col min="6156" max="6156" width="20.28515625" style="229" customWidth="1"/>
    <col min="6157" max="6170" width="9.5703125" style="229" customWidth="1"/>
    <col min="6171" max="6172" width="9" style="229" customWidth="1"/>
    <col min="6173" max="6408" width="9.140625" style="229"/>
    <col min="6409" max="6409" width="3.7109375" style="229" customWidth="1"/>
    <col min="6410" max="6410" width="14.42578125" style="229" customWidth="1"/>
    <col min="6411" max="6411" width="3.7109375" style="229" customWidth="1"/>
    <col min="6412" max="6412" width="20.28515625" style="229" customWidth="1"/>
    <col min="6413" max="6426" width="9.5703125" style="229" customWidth="1"/>
    <col min="6427" max="6428" width="9" style="229" customWidth="1"/>
    <col min="6429" max="6664" width="9.140625" style="229"/>
    <col min="6665" max="6665" width="3.7109375" style="229" customWidth="1"/>
    <col min="6666" max="6666" width="14.42578125" style="229" customWidth="1"/>
    <col min="6667" max="6667" width="3.7109375" style="229" customWidth="1"/>
    <col min="6668" max="6668" width="20.28515625" style="229" customWidth="1"/>
    <col min="6669" max="6682" width="9.5703125" style="229" customWidth="1"/>
    <col min="6683" max="6684" width="9" style="229" customWidth="1"/>
    <col min="6685" max="6920" width="9.140625" style="229"/>
    <col min="6921" max="6921" width="3.7109375" style="229" customWidth="1"/>
    <col min="6922" max="6922" width="14.42578125" style="229" customWidth="1"/>
    <col min="6923" max="6923" width="3.7109375" style="229" customWidth="1"/>
    <col min="6924" max="6924" width="20.28515625" style="229" customWidth="1"/>
    <col min="6925" max="6938" width="9.5703125" style="229" customWidth="1"/>
    <col min="6939" max="6940" width="9" style="229" customWidth="1"/>
    <col min="6941" max="7176" width="9.140625" style="229"/>
    <col min="7177" max="7177" width="3.7109375" style="229" customWidth="1"/>
    <col min="7178" max="7178" width="14.42578125" style="229" customWidth="1"/>
    <col min="7179" max="7179" width="3.7109375" style="229" customWidth="1"/>
    <col min="7180" max="7180" width="20.28515625" style="229" customWidth="1"/>
    <col min="7181" max="7194" width="9.5703125" style="229" customWidth="1"/>
    <col min="7195" max="7196" width="9" style="229" customWidth="1"/>
    <col min="7197" max="7432" width="9.140625" style="229"/>
    <col min="7433" max="7433" width="3.7109375" style="229" customWidth="1"/>
    <col min="7434" max="7434" width="14.42578125" style="229" customWidth="1"/>
    <col min="7435" max="7435" width="3.7109375" style="229" customWidth="1"/>
    <col min="7436" max="7436" width="20.28515625" style="229" customWidth="1"/>
    <col min="7437" max="7450" width="9.5703125" style="229" customWidth="1"/>
    <col min="7451" max="7452" width="9" style="229" customWidth="1"/>
    <col min="7453" max="7688" width="9.140625" style="229"/>
    <col min="7689" max="7689" width="3.7109375" style="229" customWidth="1"/>
    <col min="7690" max="7690" width="14.42578125" style="229" customWidth="1"/>
    <col min="7691" max="7691" width="3.7109375" style="229" customWidth="1"/>
    <col min="7692" max="7692" width="20.28515625" style="229" customWidth="1"/>
    <col min="7693" max="7706" width="9.5703125" style="229" customWidth="1"/>
    <col min="7707" max="7708" width="9" style="229" customWidth="1"/>
    <col min="7709" max="7944" width="9.140625" style="229"/>
    <col min="7945" max="7945" width="3.7109375" style="229" customWidth="1"/>
    <col min="7946" max="7946" width="14.42578125" style="229" customWidth="1"/>
    <col min="7947" max="7947" width="3.7109375" style="229" customWidth="1"/>
    <col min="7948" max="7948" width="20.28515625" style="229" customWidth="1"/>
    <col min="7949" max="7962" width="9.5703125" style="229" customWidth="1"/>
    <col min="7963" max="7964" width="9" style="229" customWidth="1"/>
    <col min="7965" max="8200" width="9.140625" style="229"/>
    <col min="8201" max="8201" width="3.7109375" style="229" customWidth="1"/>
    <col min="8202" max="8202" width="14.42578125" style="229" customWidth="1"/>
    <col min="8203" max="8203" width="3.7109375" style="229" customWidth="1"/>
    <col min="8204" max="8204" width="20.28515625" style="229" customWidth="1"/>
    <col min="8205" max="8218" width="9.5703125" style="229" customWidth="1"/>
    <col min="8219" max="8220" width="9" style="229" customWidth="1"/>
    <col min="8221" max="8456" width="9.140625" style="229"/>
    <col min="8457" max="8457" width="3.7109375" style="229" customWidth="1"/>
    <col min="8458" max="8458" width="14.42578125" style="229" customWidth="1"/>
    <col min="8459" max="8459" width="3.7109375" style="229" customWidth="1"/>
    <col min="8460" max="8460" width="20.28515625" style="229" customWidth="1"/>
    <col min="8461" max="8474" width="9.5703125" style="229" customWidth="1"/>
    <col min="8475" max="8476" width="9" style="229" customWidth="1"/>
    <col min="8477" max="8712" width="9.140625" style="229"/>
    <col min="8713" max="8713" width="3.7109375" style="229" customWidth="1"/>
    <col min="8714" max="8714" width="14.42578125" style="229" customWidth="1"/>
    <col min="8715" max="8715" width="3.7109375" style="229" customWidth="1"/>
    <col min="8716" max="8716" width="20.28515625" style="229" customWidth="1"/>
    <col min="8717" max="8730" width="9.5703125" style="229" customWidth="1"/>
    <col min="8731" max="8732" width="9" style="229" customWidth="1"/>
    <col min="8733" max="8968" width="9.140625" style="229"/>
    <col min="8969" max="8969" width="3.7109375" style="229" customWidth="1"/>
    <col min="8970" max="8970" width="14.42578125" style="229" customWidth="1"/>
    <col min="8971" max="8971" width="3.7109375" style="229" customWidth="1"/>
    <col min="8972" max="8972" width="20.28515625" style="229" customWidth="1"/>
    <col min="8973" max="8986" width="9.5703125" style="229" customWidth="1"/>
    <col min="8987" max="8988" width="9" style="229" customWidth="1"/>
    <col min="8989" max="9224" width="9.140625" style="229"/>
    <col min="9225" max="9225" width="3.7109375" style="229" customWidth="1"/>
    <col min="9226" max="9226" width="14.42578125" style="229" customWidth="1"/>
    <col min="9227" max="9227" width="3.7109375" style="229" customWidth="1"/>
    <col min="9228" max="9228" width="20.28515625" style="229" customWidth="1"/>
    <col min="9229" max="9242" width="9.5703125" style="229" customWidth="1"/>
    <col min="9243" max="9244" width="9" style="229" customWidth="1"/>
    <col min="9245" max="9480" width="9.140625" style="229"/>
    <col min="9481" max="9481" width="3.7109375" style="229" customWidth="1"/>
    <col min="9482" max="9482" width="14.42578125" style="229" customWidth="1"/>
    <col min="9483" max="9483" width="3.7109375" style="229" customWidth="1"/>
    <col min="9484" max="9484" width="20.28515625" style="229" customWidth="1"/>
    <col min="9485" max="9498" width="9.5703125" style="229" customWidth="1"/>
    <col min="9499" max="9500" width="9" style="229" customWidth="1"/>
    <col min="9501" max="9736" width="9.140625" style="229"/>
    <col min="9737" max="9737" width="3.7109375" style="229" customWidth="1"/>
    <col min="9738" max="9738" width="14.42578125" style="229" customWidth="1"/>
    <col min="9739" max="9739" width="3.7109375" style="229" customWidth="1"/>
    <col min="9740" max="9740" width="20.28515625" style="229" customWidth="1"/>
    <col min="9741" max="9754" width="9.5703125" style="229" customWidth="1"/>
    <col min="9755" max="9756" width="9" style="229" customWidth="1"/>
    <col min="9757" max="9992" width="9.140625" style="229"/>
    <col min="9993" max="9993" width="3.7109375" style="229" customWidth="1"/>
    <col min="9994" max="9994" width="14.42578125" style="229" customWidth="1"/>
    <col min="9995" max="9995" width="3.7109375" style="229" customWidth="1"/>
    <col min="9996" max="9996" width="20.28515625" style="229" customWidth="1"/>
    <col min="9997" max="10010" width="9.5703125" style="229" customWidth="1"/>
    <col min="10011" max="10012" width="9" style="229" customWidth="1"/>
    <col min="10013" max="10248" width="9.140625" style="229"/>
    <col min="10249" max="10249" width="3.7109375" style="229" customWidth="1"/>
    <col min="10250" max="10250" width="14.42578125" style="229" customWidth="1"/>
    <col min="10251" max="10251" width="3.7109375" style="229" customWidth="1"/>
    <col min="10252" max="10252" width="20.28515625" style="229" customWidth="1"/>
    <col min="10253" max="10266" width="9.5703125" style="229" customWidth="1"/>
    <col min="10267" max="10268" width="9" style="229" customWidth="1"/>
    <col min="10269" max="10504" width="9.140625" style="229"/>
    <col min="10505" max="10505" width="3.7109375" style="229" customWidth="1"/>
    <col min="10506" max="10506" width="14.42578125" style="229" customWidth="1"/>
    <col min="10507" max="10507" width="3.7109375" style="229" customWidth="1"/>
    <col min="10508" max="10508" width="20.28515625" style="229" customWidth="1"/>
    <col min="10509" max="10522" width="9.5703125" style="229" customWidth="1"/>
    <col min="10523" max="10524" width="9" style="229" customWidth="1"/>
    <col min="10525" max="10760" width="9.140625" style="229"/>
    <col min="10761" max="10761" width="3.7109375" style="229" customWidth="1"/>
    <col min="10762" max="10762" width="14.42578125" style="229" customWidth="1"/>
    <col min="10763" max="10763" width="3.7109375" style="229" customWidth="1"/>
    <col min="10764" max="10764" width="20.28515625" style="229" customWidth="1"/>
    <col min="10765" max="10778" width="9.5703125" style="229" customWidth="1"/>
    <col min="10779" max="10780" width="9" style="229" customWidth="1"/>
    <col min="10781" max="11016" width="9.140625" style="229"/>
    <col min="11017" max="11017" width="3.7109375" style="229" customWidth="1"/>
    <col min="11018" max="11018" width="14.42578125" style="229" customWidth="1"/>
    <col min="11019" max="11019" width="3.7109375" style="229" customWidth="1"/>
    <col min="11020" max="11020" width="20.28515625" style="229" customWidth="1"/>
    <col min="11021" max="11034" width="9.5703125" style="229" customWidth="1"/>
    <col min="11035" max="11036" width="9" style="229" customWidth="1"/>
    <col min="11037" max="11272" width="9.140625" style="229"/>
    <col min="11273" max="11273" width="3.7109375" style="229" customWidth="1"/>
    <col min="11274" max="11274" width="14.42578125" style="229" customWidth="1"/>
    <col min="11275" max="11275" width="3.7109375" style="229" customWidth="1"/>
    <col min="11276" max="11276" width="20.28515625" style="229" customWidth="1"/>
    <col min="11277" max="11290" width="9.5703125" style="229" customWidth="1"/>
    <col min="11291" max="11292" width="9" style="229" customWidth="1"/>
    <col min="11293" max="11528" width="9.140625" style="229"/>
    <col min="11529" max="11529" width="3.7109375" style="229" customWidth="1"/>
    <col min="11530" max="11530" width="14.42578125" style="229" customWidth="1"/>
    <col min="11531" max="11531" width="3.7109375" style="229" customWidth="1"/>
    <col min="11532" max="11532" width="20.28515625" style="229" customWidth="1"/>
    <col min="11533" max="11546" width="9.5703125" style="229" customWidth="1"/>
    <col min="11547" max="11548" width="9" style="229" customWidth="1"/>
    <col min="11549" max="11784" width="9.140625" style="229"/>
    <col min="11785" max="11785" width="3.7109375" style="229" customWidth="1"/>
    <col min="11786" max="11786" width="14.42578125" style="229" customWidth="1"/>
    <col min="11787" max="11787" width="3.7109375" style="229" customWidth="1"/>
    <col min="11788" max="11788" width="20.28515625" style="229" customWidth="1"/>
    <col min="11789" max="11802" width="9.5703125" style="229" customWidth="1"/>
    <col min="11803" max="11804" width="9" style="229" customWidth="1"/>
    <col min="11805" max="12040" width="9.140625" style="229"/>
    <col min="12041" max="12041" width="3.7109375" style="229" customWidth="1"/>
    <col min="12042" max="12042" width="14.42578125" style="229" customWidth="1"/>
    <col min="12043" max="12043" width="3.7109375" style="229" customWidth="1"/>
    <col min="12044" max="12044" width="20.28515625" style="229" customWidth="1"/>
    <col min="12045" max="12058" width="9.5703125" style="229" customWidth="1"/>
    <col min="12059" max="12060" width="9" style="229" customWidth="1"/>
    <col min="12061" max="12296" width="9.140625" style="229"/>
    <col min="12297" max="12297" width="3.7109375" style="229" customWidth="1"/>
    <col min="12298" max="12298" width="14.42578125" style="229" customWidth="1"/>
    <col min="12299" max="12299" width="3.7109375" style="229" customWidth="1"/>
    <col min="12300" max="12300" width="20.28515625" style="229" customWidth="1"/>
    <col min="12301" max="12314" width="9.5703125" style="229" customWidth="1"/>
    <col min="12315" max="12316" width="9" style="229" customWidth="1"/>
    <col min="12317" max="12552" width="9.140625" style="229"/>
    <col min="12553" max="12553" width="3.7109375" style="229" customWidth="1"/>
    <col min="12554" max="12554" width="14.42578125" style="229" customWidth="1"/>
    <col min="12555" max="12555" width="3.7109375" style="229" customWidth="1"/>
    <col min="12556" max="12556" width="20.28515625" style="229" customWidth="1"/>
    <col min="12557" max="12570" width="9.5703125" style="229" customWidth="1"/>
    <col min="12571" max="12572" width="9" style="229" customWidth="1"/>
    <col min="12573" max="12808" width="9.140625" style="229"/>
    <col min="12809" max="12809" width="3.7109375" style="229" customWidth="1"/>
    <col min="12810" max="12810" width="14.42578125" style="229" customWidth="1"/>
    <col min="12811" max="12811" width="3.7109375" style="229" customWidth="1"/>
    <col min="12812" max="12812" width="20.28515625" style="229" customWidth="1"/>
    <col min="12813" max="12826" width="9.5703125" style="229" customWidth="1"/>
    <col min="12827" max="12828" width="9" style="229" customWidth="1"/>
    <col min="12829" max="13064" width="9.140625" style="229"/>
    <col min="13065" max="13065" width="3.7109375" style="229" customWidth="1"/>
    <col min="13066" max="13066" width="14.42578125" style="229" customWidth="1"/>
    <col min="13067" max="13067" width="3.7109375" style="229" customWidth="1"/>
    <col min="13068" max="13068" width="20.28515625" style="229" customWidth="1"/>
    <col min="13069" max="13082" width="9.5703125" style="229" customWidth="1"/>
    <col min="13083" max="13084" width="9" style="229" customWidth="1"/>
    <col min="13085" max="13320" width="9.140625" style="229"/>
    <col min="13321" max="13321" width="3.7109375" style="229" customWidth="1"/>
    <col min="13322" max="13322" width="14.42578125" style="229" customWidth="1"/>
    <col min="13323" max="13323" width="3.7109375" style="229" customWidth="1"/>
    <col min="13324" max="13324" width="20.28515625" style="229" customWidth="1"/>
    <col min="13325" max="13338" width="9.5703125" style="229" customWidth="1"/>
    <col min="13339" max="13340" width="9" style="229" customWidth="1"/>
    <col min="13341" max="13576" width="9.140625" style="229"/>
    <col min="13577" max="13577" width="3.7109375" style="229" customWidth="1"/>
    <col min="13578" max="13578" width="14.42578125" style="229" customWidth="1"/>
    <col min="13579" max="13579" width="3.7109375" style="229" customWidth="1"/>
    <col min="13580" max="13580" width="20.28515625" style="229" customWidth="1"/>
    <col min="13581" max="13594" width="9.5703125" style="229" customWidth="1"/>
    <col min="13595" max="13596" width="9" style="229" customWidth="1"/>
    <col min="13597" max="13832" width="9.140625" style="229"/>
    <col min="13833" max="13833" width="3.7109375" style="229" customWidth="1"/>
    <col min="13834" max="13834" width="14.42578125" style="229" customWidth="1"/>
    <col min="13835" max="13835" width="3.7109375" style="229" customWidth="1"/>
    <col min="13836" max="13836" width="20.28515625" style="229" customWidth="1"/>
    <col min="13837" max="13850" width="9.5703125" style="229" customWidth="1"/>
    <col min="13851" max="13852" width="9" style="229" customWidth="1"/>
    <col min="13853" max="14088" width="9.140625" style="229"/>
    <col min="14089" max="14089" width="3.7109375" style="229" customWidth="1"/>
    <col min="14090" max="14090" width="14.42578125" style="229" customWidth="1"/>
    <col min="14091" max="14091" width="3.7109375" style="229" customWidth="1"/>
    <col min="14092" max="14092" width="20.28515625" style="229" customWidth="1"/>
    <col min="14093" max="14106" width="9.5703125" style="229" customWidth="1"/>
    <col min="14107" max="14108" width="9" style="229" customWidth="1"/>
    <col min="14109" max="14344" width="9.140625" style="229"/>
    <col min="14345" max="14345" width="3.7109375" style="229" customWidth="1"/>
    <col min="14346" max="14346" width="14.42578125" style="229" customWidth="1"/>
    <col min="14347" max="14347" width="3.7109375" style="229" customWidth="1"/>
    <col min="14348" max="14348" width="20.28515625" style="229" customWidth="1"/>
    <col min="14349" max="14362" width="9.5703125" style="229" customWidth="1"/>
    <col min="14363" max="14364" width="9" style="229" customWidth="1"/>
    <col min="14365" max="14600" width="9.140625" style="229"/>
    <col min="14601" max="14601" width="3.7109375" style="229" customWidth="1"/>
    <col min="14602" max="14602" width="14.42578125" style="229" customWidth="1"/>
    <col min="14603" max="14603" width="3.7109375" style="229" customWidth="1"/>
    <col min="14604" max="14604" width="20.28515625" style="229" customWidth="1"/>
    <col min="14605" max="14618" width="9.5703125" style="229" customWidth="1"/>
    <col min="14619" max="14620" width="9" style="229" customWidth="1"/>
    <col min="14621" max="14856" width="9.140625" style="229"/>
    <col min="14857" max="14857" width="3.7109375" style="229" customWidth="1"/>
    <col min="14858" max="14858" width="14.42578125" style="229" customWidth="1"/>
    <col min="14859" max="14859" width="3.7109375" style="229" customWidth="1"/>
    <col min="14860" max="14860" width="20.28515625" style="229" customWidth="1"/>
    <col min="14861" max="14874" width="9.5703125" style="229" customWidth="1"/>
    <col min="14875" max="14876" width="9" style="229" customWidth="1"/>
    <col min="14877" max="15112" width="9.140625" style="229"/>
    <col min="15113" max="15113" width="3.7109375" style="229" customWidth="1"/>
    <col min="15114" max="15114" width="14.42578125" style="229" customWidth="1"/>
    <col min="15115" max="15115" width="3.7109375" style="229" customWidth="1"/>
    <col min="15116" max="15116" width="20.28515625" style="229" customWidth="1"/>
    <col min="15117" max="15130" width="9.5703125" style="229" customWidth="1"/>
    <col min="15131" max="15132" width="9" style="229" customWidth="1"/>
    <col min="15133" max="15368" width="9.140625" style="229"/>
    <col min="15369" max="15369" width="3.7109375" style="229" customWidth="1"/>
    <col min="15370" max="15370" width="14.42578125" style="229" customWidth="1"/>
    <col min="15371" max="15371" width="3.7109375" style="229" customWidth="1"/>
    <col min="15372" max="15372" width="20.28515625" style="229" customWidth="1"/>
    <col min="15373" max="15386" width="9.5703125" style="229" customWidth="1"/>
    <col min="15387" max="15388" width="9" style="229" customWidth="1"/>
    <col min="15389" max="15624" width="9.140625" style="229"/>
    <col min="15625" max="15625" width="3.7109375" style="229" customWidth="1"/>
    <col min="15626" max="15626" width="14.42578125" style="229" customWidth="1"/>
    <col min="15627" max="15627" width="3.7109375" style="229" customWidth="1"/>
    <col min="15628" max="15628" width="20.28515625" style="229" customWidth="1"/>
    <col min="15629" max="15642" width="9.5703125" style="229" customWidth="1"/>
    <col min="15643" max="15644" width="9" style="229" customWidth="1"/>
    <col min="15645" max="15880" width="9.140625" style="229"/>
    <col min="15881" max="15881" width="3.7109375" style="229" customWidth="1"/>
    <col min="15882" max="15882" width="14.42578125" style="229" customWidth="1"/>
    <col min="15883" max="15883" width="3.7109375" style="229" customWidth="1"/>
    <col min="15884" max="15884" width="20.28515625" style="229" customWidth="1"/>
    <col min="15885" max="15898" width="9.5703125" style="229" customWidth="1"/>
    <col min="15899" max="15900" width="9" style="229" customWidth="1"/>
    <col min="15901" max="16136" width="9.140625" style="229"/>
    <col min="16137" max="16137" width="3.7109375" style="229" customWidth="1"/>
    <col min="16138" max="16138" width="14.42578125" style="229" customWidth="1"/>
    <col min="16139" max="16139" width="3.7109375" style="229" customWidth="1"/>
    <col min="16140" max="16140" width="20.28515625" style="229" customWidth="1"/>
    <col min="16141" max="16154" width="9.5703125" style="229" customWidth="1"/>
    <col min="16155" max="16156" width="9" style="229" customWidth="1"/>
    <col min="16157" max="16384" width="9.140625" style="229"/>
  </cols>
  <sheetData>
    <row r="1" spans="1:29" x14ac:dyDescent="0.25">
      <c r="D1" s="3925"/>
      <c r="E1" s="3925"/>
      <c r="F1" s="3925"/>
      <c r="G1" s="3925"/>
      <c r="H1" s="3925"/>
      <c r="I1" s="3925"/>
      <c r="J1" s="3925"/>
      <c r="K1" s="3925"/>
      <c r="L1" s="3925"/>
      <c r="M1" s="3925"/>
      <c r="N1" s="3925"/>
      <c r="O1" s="3925"/>
      <c r="P1" s="3925"/>
      <c r="Q1" s="3925"/>
      <c r="R1" s="3925"/>
      <c r="S1" s="3925"/>
      <c r="T1" s="3925"/>
      <c r="U1" s="3925"/>
      <c r="V1" s="3925"/>
      <c r="W1" s="3925"/>
      <c r="X1" s="3926"/>
      <c r="Y1" s="1399"/>
      <c r="Z1" s="1024"/>
      <c r="AA1" s="723"/>
      <c r="AB1" s="723"/>
    </row>
    <row r="2" spans="1:29" ht="15" customHeight="1" x14ac:dyDescent="0.25">
      <c r="A2" s="453">
        <v>1</v>
      </c>
      <c r="B2" s="453" t="s">
        <v>24</v>
      </c>
      <c r="C2" s="453">
        <f>1+'[29]Property crime'!C2</f>
        <v>65</v>
      </c>
      <c r="D2" s="3547" t="s">
        <v>1620</v>
      </c>
      <c r="E2" s="3548"/>
      <c r="F2" s="3548"/>
      <c r="G2" s="3548"/>
      <c r="H2" s="3548"/>
      <c r="I2" s="3548"/>
      <c r="J2" s="3548"/>
      <c r="K2" s="3548"/>
      <c r="L2" s="3548"/>
      <c r="M2" s="3548"/>
      <c r="N2" s="3548"/>
      <c r="O2" s="3548"/>
      <c r="P2" s="3548"/>
      <c r="Q2" s="3548"/>
      <c r="R2" s="3548"/>
      <c r="S2" s="3548"/>
      <c r="T2" s="3548"/>
      <c r="U2" s="3548"/>
      <c r="V2" s="3548"/>
      <c r="W2" s="3548"/>
      <c r="X2" s="3549"/>
      <c r="Y2" s="1400"/>
      <c r="Z2" s="1401"/>
      <c r="AA2" s="1401"/>
      <c r="AB2" s="1402"/>
    </row>
    <row r="3" spans="1:29" ht="15" customHeight="1" x14ac:dyDescent="0.25">
      <c r="A3" s="453">
        <v>2</v>
      </c>
      <c r="B3" s="453" t="s">
        <v>26</v>
      </c>
      <c r="C3" s="453"/>
      <c r="D3" s="3547" t="s">
        <v>1621</v>
      </c>
      <c r="E3" s="3548"/>
      <c r="F3" s="3548"/>
      <c r="G3" s="3548"/>
      <c r="H3" s="3548"/>
      <c r="I3" s="3548"/>
      <c r="J3" s="3548"/>
      <c r="K3" s="3548"/>
      <c r="L3" s="3548"/>
      <c r="M3" s="3548"/>
      <c r="N3" s="3548"/>
      <c r="O3" s="3548"/>
      <c r="P3" s="3548"/>
      <c r="Q3" s="3548"/>
      <c r="R3" s="3548"/>
      <c r="S3" s="3548"/>
      <c r="T3" s="3548"/>
      <c r="U3" s="3548"/>
      <c r="V3" s="3548"/>
      <c r="W3" s="3548"/>
      <c r="X3" s="3549"/>
      <c r="Y3" s="1400"/>
      <c r="Z3" s="1401"/>
      <c r="AA3" s="1401"/>
      <c r="AB3" s="1402"/>
    </row>
    <row r="4" spans="1:29" ht="12.75" customHeight="1" x14ac:dyDescent="0.25">
      <c r="A4" s="453">
        <v>3</v>
      </c>
      <c r="B4" s="453" t="s">
        <v>28</v>
      </c>
      <c r="C4" s="453"/>
      <c r="D4" s="3547" t="s">
        <v>1622</v>
      </c>
      <c r="E4" s="3548"/>
      <c r="F4" s="3548"/>
      <c r="G4" s="3548"/>
      <c r="H4" s="3548"/>
      <c r="I4" s="3548"/>
      <c r="J4" s="3548"/>
      <c r="K4" s="3548"/>
      <c r="L4" s="3548"/>
      <c r="M4" s="3548"/>
      <c r="N4" s="3548"/>
      <c r="O4" s="3548"/>
      <c r="P4" s="3548"/>
      <c r="Q4" s="3548"/>
      <c r="R4" s="3548"/>
      <c r="S4" s="3548"/>
      <c r="T4" s="3548"/>
      <c r="U4" s="3548"/>
      <c r="V4" s="3548"/>
      <c r="W4" s="3548"/>
      <c r="X4" s="3549"/>
      <c r="Y4" s="1400"/>
      <c r="Z4" s="1401"/>
      <c r="AA4" s="1401"/>
      <c r="AB4" s="1402"/>
    </row>
    <row r="5" spans="1:29" ht="15.75" customHeight="1" x14ac:dyDescent="0.25">
      <c r="A5" s="1170"/>
      <c r="B5" s="1170"/>
      <c r="C5" s="1170"/>
      <c r="D5" s="1403"/>
      <c r="E5" s="195"/>
      <c r="F5" s="195"/>
      <c r="G5" s="195"/>
      <c r="H5" s="1404"/>
      <c r="I5" s="195"/>
      <c r="J5" s="195"/>
      <c r="K5" s="195"/>
      <c r="L5" s="195"/>
      <c r="M5" s="195"/>
      <c r="N5" s="195"/>
      <c r="O5" s="195"/>
      <c r="P5" s="195"/>
      <c r="Q5" s="195"/>
      <c r="R5" s="195"/>
      <c r="S5" s="195"/>
      <c r="T5" s="195"/>
      <c r="U5" s="195"/>
      <c r="V5" s="195"/>
      <c r="W5" s="195"/>
      <c r="X5" s="195"/>
      <c r="Y5" s="117"/>
      <c r="Z5" s="117"/>
    </row>
    <row r="6" spans="1:29" x14ac:dyDescent="0.25">
      <c r="A6" s="453">
        <v>4</v>
      </c>
      <c r="B6" s="650" t="s">
        <v>1</v>
      </c>
      <c r="D6" s="119" t="s">
        <v>103</v>
      </c>
      <c r="E6" s="119" t="s">
        <v>1623</v>
      </c>
      <c r="F6" s="119"/>
      <c r="G6" s="119"/>
      <c r="H6" s="119"/>
      <c r="I6" s="1935"/>
      <c r="J6" s="1935"/>
      <c r="K6" s="119"/>
      <c r="L6" s="119"/>
      <c r="M6" s="117"/>
      <c r="N6" s="119"/>
      <c r="O6" s="119"/>
      <c r="P6" s="117"/>
      <c r="Q6" s="119"/>
      <c r="R6" s="119"/>
      <c r="S6" s="119"/>
      <c r="T6" s="119"/>
      <c r="U6" s="119"/>
      <c r="V6" s="1024"/>
      <c r="W6" s="1024"/>
      <c r="X6" s="1024"/>
      <c r="Y6" s="117"/>
      <c r="Z6" s="117"/>
      <c r="AA6" s="117"/>
      <c r="AB6" s="117"/>
    </row>
    <row r="7" spans="1:29" x14ac:dyDescent="0.25">
      <c r="A7" s="650"/>
      <c r="B7" s="745"/>
      <c r="C7" s="745"/>
      <c r="D7" s="2995"/>
      <c r="E7" s="800" t="s">
        <v>126</v>
      </c>
      <c r="F7" s="800" t="s">
        <v>127</v>
      </c>
      <c r="G7" s="800" t="s">
        <v>128</v>
      </c>
      <c r="H7" s="800" t="s">
        <v>129</v>
      </c>
      <c r="I7" s="1515" t="s">
        <v>130</v>
      </c>
      <c r="J7" s="1515" t="s">
        <v>131</v>
      </c>
      <c r="K7" s="800" t="s">
        <v>132</v>
      </c>
      <c r="L7" s="799" t="s">
        <v>133</v>
      </c>
      <c r="M7" s="799" t="s">
        <v>134</v>
      </c>
      <c r="N7" s="799" t="s">
        <v>135</v>
      </c>
      <c r="O7" s="799" t="s">
        <v>136</v>
      </c>
      <c r="P7" s="799" t="s">
        <v>137</v>
      </c>
      <c r="Q7" s="799" t="s">
        <v>138</v>
      </c>
      <c r="R7" s="799" t="s">
        <v>139</v>
      </c>
      <c r="S7" s="799" t="s">
        <v>140</v>
      </c>
      <c r="T7" s="799" t="s">
        <v>141</v>
      </c>
      <c r="U7" s="799" t="s">
        <v>142</v>
      </c>
      <c r="V7" s="799" t="s">
        <v>143</v>
      </c>
      <c r="W7" s="799" t="s">
        <v>144</v>
      </c>
      <c r="X7" s="2997" t="s">
        <v>145</v>
      </c>
    </row>
    <row r="8" spans="1:29" x14ac:dyDescent="0.25">
      <c r="A8" s="650"/>
      <c r="B8" s="745"/>
      <c r="C8" s="745"/>
      <c r="D8" s="2950" t="s">
        <v>1624</v>
      </c>
      <c r="E8" s="770"/>
      <c r="F8" s="770"/>
      <c r="G8" s="770"/>
      <c r="H8" s="770"/>
      <c r="I8" s="1517"/>
      <c r="J8" s="1517"/>
      <c r="K8" s="770"/>
      <c r="L8" s="1893"/>
      <c r="M8" s="1893"/>
      <c r="N8" s="1893"/>
      <c r="O8" s="1893"/>
      <c r="P8" s="1893"/>
      <c r="Q8" s="1893"/>
      <c r="R8" s="1893"/>
      <c r="S8" s="1893"/>
      <c r="T8" s="1893"/>
      <c r="U8" s="1893"/>
      <c r="V8" s="1893"/>
      <c r="W8" s="1893"/>
      <c r="X8" s="2998"/>
    </row>
    <row r="9" spans="1:29" x14ac:dyDescent="0.25">
      <c r="B9" s="3927"/>
      <c r="C9" s="1915"/>
      <c r="D9" s="2948" t="s">
        <v>1625</v>
      </c>
      <c r="E9" s="1916">
        <v>67.90893930971751</v>
      </c>
      <c r="F9" s="1916">
        <v>62.759382965122363</v>
      </c>
      <c r="G9" s="1916">
        <v>59.478235522736107</v>
      </c>
      <c r="H9" s="1916">
        <v>59.837588112021344</v>
      </c>
      <c r="I9" s="1916">
        <v>52.501135368408086</v>
      </c>
      <c r="J9" s="1916">
        <v>49.805772822817829</v>
      </c>
      <c r="K9" s="1916">
        <v>47.757934008508478</v>
      </c>
      <c r="L9" s="1916">
        <v>47.418095377055813</v>
      </c>
      <c r="M9" s="1916">
        <v>42.73800107013161</v>
      </c>
      <c r="N9" s="1916">
        <v>40.299999999999997</v>
      </c>
      <c r="O9" s="1916">
        <v>39.6</v>
      </c>
      <c r="P9" s="1916">
        <v>40.5</v>
      </c>
      <c r="Q9" s="1916">
        <v>38.6</v>
      </c>
      <c r="R9" s="1916">
        <v>37.299999999999997</v>
      </c>
      <c r="S9" s="1916">
        <v>34.1</v>
      </c>
      <c r="T9" s="1916">
        <v>31.9</v>
      </c>
      <c r="U9" s="1916">
        <v>30.9</v>
      </c>
      <c r="V9" s="1916">
        <v>31.1</v>
      </c>
      <c r="W9" s="1916">
        <v>32.200000000000003</v>
      </c>
      <c r="X9" s="2999">
        <v>32.971029159426344</v>
      </c>
    </row>
    <row r="10" spans="1:29" x14ac:dyDescent="0.25">
      <c r="B10" s="3927"/>
      <c r="C10" s="1915"/>
      <c r="D10" s="2948" t="s">
        <v>1626</v>
      </c>
      <c r="E10" s="1916">
        <v>67.906412653494357</v>
      </c>
      <c r="F10" s="1916">
        <v>70.412725858317103</v>
      </c>
      <c r="G10" s="1916">
        <v>68.366206762534006</v>
      </c>
      <c r="H10" s="1916">
        <v>70.35863974090303</v>
      </c>
      <c r="I10" s="1916">
        <v>65.449897962589432</v>
      </c>
      <c r="J10" s="1916">
        <v>64.38720369336427</v>
      </c>
      <c r="K10" s="1916">
        <v>69.819622935213999</v>
      </c>
      <c r="L10" s="1916">
        <v>78.896688085955475</v>
      </c>
      <c r="M10" s="1916">
        <v>64.839997991589897</v>
      </c>
      <c r="N10" s="1916">
        <v>52.6</v>
      </c>
      <c r="O10" s="1916">
        <v>43.8</v>
      </c>
      <c r="P10" s="1916">
        <v>42.5</v>
      </c>
      <c r="Q10" s="1916">
        <v>39.299999999999997</v>
      </c>
      <c r="R10" s="1916">
        <v>37.6</v>
      </c>
      <c r="S10" s="1916">
        <v>35.299999999999997</v>
      </c>
      <c r="T10" s="1916">
        <v>31</v>
      </c>
      <c r="U10" s="1916">
        <v>29.4</v>
      </c>
      <c r="V10" s="1916">
        <v>31.3</v>
      </c>
      <c r="W10" s="1916">
        <v>32.299999999999997</v>
      </c>
      <c r="X10" s="2999">
        <v>32.474750821053625</v>
      </c>
    </row>
    <row r="11" spans="1:29" x14ac:dyDescent="0.25">
      <c r="B11" s="3927"/>
      <c r="C11" s="1915"/>
      <c r="D11" s="2948" t="s">
        <v>1627</v>
      </c>
      <c r="E11" s="1916">
        <v>520.50634190712015</v>
      </c>
      <c r="F11" s="1916">
        <v>500.25905801837609</v>
      </c>
      <c r="G11" s="1916">
        <v>489.01331130975518</v>
      </c>
      <c r="H11" s="1916">
        <v>485.04000762049913</v>
      </c>
      <c r="I11" s="1916">
        <v>538.9100793098354</v>
      </c>
      <c r="J11" s="1916">
        <v>569.66468591929822</v>
      </c>
      <c r="K11" s="1916">
        <v>584.30900751003276</v>
      </c>
      <c r="L11" s="1916">
        <v>621.57680204602934</v>
      </c>
      <c r="M11" s="1916">
        <v>605.67491407611556</v>
      </c>
      <c r="N11" s="1916">
        <v>575</v>
      </c>
      <c r="O11" s="1916">
        <v>485.3</v>
      </c>
      <c r="P11" s="1916">
        <v>443.2</v>
      </c>
      <c r="Q11" s="1916">
        <v>413.9</v>
      </c>
      <c r="R11" s="1916">
        <v>396.1</v>
      </c>
      <c r="S11" s="1916">
        <v>400</v>
      </c>
      <c r="T11" s="1916">
        <v>371.8</v>
      </c>
      <c r="U11" s="1916">
        <v>359.1</v>
      </c>
      <c r="V11" s="1916">
        <v>330.8</v>
      </c>
      <c r="W11" s="1916">
        <v>315.5</v>
      </c>
      <c r="X11" s="2999">
        <v>299.03732742707791</v>
      </c>
    </row>
    <row r="12" spans="1:29" x14ac:dyDescent="0.25">
      <c r="B12" s="3927"/>
      <c r="C12" s="1915"/>
      <c r="D12" s="2948" t="s">
        <v>1628</v>
      </c>
      <c r="E12" s="1916">
        <v>563.68942341704985</v>
      </c>
      <c r="F12" s="1916">
        <v>570.42045065869388</v>
      </c>
      <c r="G12" s="1916">
        <v>570.39205207928489</v>
      </c>
      <c r="H12" s="1916">
        <v>566.34120784911408</v>
      </c>
      <c r="I12" s="1916">
        <v>608.07853671875387</v>
      </c>
      <c r="J12" s="1916">
        <v>630.15816686371431</v>
      </c>
      <c r="K12" s="1916">
        <v>589.05244912190324</v>
      </c>
      <c r="L12" s="1916">
        <v>585.92467772063662</v>
      </c>
      <c r="M12" s="1916">
        <v>560.70342989921153</v>
      </c>
      <c r="N12" s="1916">
        <v>535.29999999999995</v>
      </c>
      <c r="O12" s="1916">
        <v>484</v>
      </c>
      <c r="P12" s="1916">
        <v>460.1</v>
      </c>
      <c r="Q12" s="1916">
        <v>439.1</v>
      </c>
      <c r="R12" s="1916">
        <v>418.5</v>
      </c>
      <c r="S12" s="1916">
        <v>416.2</v>
      </c>
      <c r="T12" s="1916">
        <v>397.3</v>
      </c>
      <c r="U12" s="1916">
        <v>380.8</v>
      </c>
      <c r="V12" s="1916">
        <v>355.6</v>
      </c>
      <c r="W12" s="1916">
        <v>345.7</v>
      </c>
      <c r="X12" s="2999">
        <v>338.05443410436595</v>
      </c>
    </row>
    <row r="13" spans="1:29" x14ac:dyDescent="0.25">
      <c r="B13" s="3927"/>
      <c r="C13" s="1915"/>
      <c r="D13" s="2948" t="s">
        <v>1629</v>
      </c>
      <c r="E13" s="1916"/>
      <c r="F13" s="1916"/>
      <c r="G13" s="1916"/>
      <c r="H13" s="1916"/>
      <c r="I13" s="1916"/>
      <c r="J13" s="1916"/>
      <c r="K13" s="1916"/>
      <c r="L13" s="1916"/>
      <c r="M13" s="1916">
        <v>142.5</v>
      </c>
      <c r="N13" s="1916">
        <v>148.4</v>
      </c>
      <c r="O13" s="1916">
        <v>145.19999999999999</v>
      </c>
      <c r="P13" s="1916">
        <v>137.6</v>
      </c>
      <c r="Q13" s="1916">
        <v>133.4</v>
      </c>
      <c r="R13" s="1916">
        <v>144.80000000000001</v>
      </c>
      <c r="S13" s="1916">
        <v>138.5</v>
      </c>
      <c r="T13" s="1916">
        <v>132.4</v>
      </c>
      <c r="U13" s="1916">
        <v>127.5</v>
      </c>
      <c r="V13" s="1916">
        <v>127</v>
      </c>
      <c r="W13" s="1916">
        <v>118.2</v>
      </c>
      <c r="X13" s="2999">
        <v>99.287148016903245</v>
      </c>
    </row>
    <row r="14" spans="1:29" x14ac:dyDescent="0.25">
      <c r="B14" s="1914"/>
      <c r="C14" s="1915"/>
      <c r="D14" s="2948" t="s">
        <v>1630</v>
      </c>
      <c r="E14" s="1916">
        <v>194.97448077214614</v>
      </c>
      <c r="F14" s="1916">
        <v>163.02901669106365</v>
      </c>
      <c r="G14" s="1916">
        <v>177.45093276331133</v>
      </c>
      <c r="H14" s="1916">
        <v>220.58963612116594</v>
      </c>
      <c r="I14" s="1916">
        <v>229.50781672086839</v>
      </c>
      <c r="J14" s="1916">
        <v>260.30486544349441</v>
      </c>
      <c r="K14" s="1916">
        <v>260.45644402790214</v>
      </c>
      <c r="L14" s="1916">
        <v>279.19980484504561</v>
      </c>
      <c r="M14" s="1916">
        <v>288.14950297778705</v>
      </c>
      <c r="N14" s="1916">
        <v>272.2</v>
      </c>
      <c r="O14" s="1916">
        <v>255.3</v>
      </c>
      <c r="P14" s="1916">
        <v>267.10000000000002</v>
      </c>
      <c r="Q14" s="1916">
        <v>247.3</v>
      </c>
      <c r="R14" s="1916">
        <v>249.3</v>
      </c>
      <c r="S14" s="1916">
        <v>230.6</v>
      </c>
      <c r="T14" s="1916">
        <v>203</v>
      </c>
      <c r="U14" s="1916">
        <v>200.1</v>
      </c>
      <c r="V14" s="1916">
        <v>202.6</v>
      </c>
      <c r="W14" s="1916">
        <v>225.3</v>
      </c>
      <c r="X14" s="2999">
        <v>238.96357528099816</v>
      </c>
    </row>
    <row r="15" spans="1:29" x14ac:dyDescent="0.25">
      <c r="B15" s="1914"/>
      <c r="C15" s="1915"/>
      <c r="D15" s="2949" t="s">
        <v>1631</v>
      </c>
      <c r="E15" s="1936">
        <v>115.42523624235687</v>
      </c>
      <c r="F15" s="1936">
        <v>124.86825642483475</v>
      </c>
      <c r="G15" s="1936">
        <v>133.43373493975903</v>
      </c>
      <c r="H15" s="1936">
        <v>154.73899790436275</v>
      </c>
      <c r="I15" s="1936">
        <v>173.52735465002374</v>
      </c>
      <c r="J15" s="1936">
        <v>206.50922856928531</v>
      </c>
      <c r="K15" s="1936">
        <v>201.2615948253916</v>
      </c>
      <c r="L15" s="1936">
        <v>223.38844477799452</v>
      </c>
      <c r="M15" s="1936">
        <v>205.99569916526156</v>
      </c>
      <c r="N15" s="1936">
        <v>195</v>
      </c>
      <c r="O15" s="1936">
        <v>159.4</v>
      </c>
      <c r="P15" s="1936">
        <v>150.1</v>
      </c>
      <c r="Q15" s="1936">
        <v>135.80000000000001</v>
      </c>
      <c r="R15" s="1936">
        <v>121.7</v>
      </c>
      <c r="S15" s="1936">
        <v>116.7</v>
      </c>
      <c r="T15" s="1936">
        <v>109.8</v>
      </c>
      <c r="U15" s="1936">
        <v>104.7</v>
      </c>
      <c r="V15" s="1936">
        <v>102.4</v>
      </c>
      <c r="W15" s="1936">
        <v>101.7</v>
      </c>
      <c r="X15" s="3000">
        <v>101.71298616342661</v>
      </c>
    </row>
    <row r="16" spans="1:29" x14ac:dyDescent="0.25">
      <c r="B16" s="1914"/>
      <c r="C16" s="1915"/>
      <c r="D16" s="2996" t="s">
        <v>261</v>
      </c>
      <c r="E16" s="1937">
        <v>1656.3</v>
      </c>
      <c r="F16" s="1937">
        <v>1618.5</v>
      </c>
      <c r="G16" s="1937">
        <v>1624.4</v>
      </c>
      <c r="H16" s="1937">
        <v>1675.1</v>
      </c>
      <c r="I16" s="1937">
        <v>1790.7</v>
      </c>
      <c r="J16" s="1937">
        <v>1901.9</v>
      </c>
      <c r="K16" s="1937">
        <v>1873.9</v>
      </c>
      <c r="L16" s="1937">
        <v>1951.7</v>
      </c>
      <c r="M16" s="1937">
        <v>1910.5</v>
      </c>
      <c r="N16" s="1937">
        <f>SUM(N9:N15)</f>
        <v>1818.8</v>
      </c>
      <c r="O16" s="1937">
        <f t="shared" ref="O16:W16" si="0">SUM(O9:O15)</f>
        <v>1612.6000000000001</v>
      </c>
      <c r="P16" s="1937">
        <f t="shared" si="0"/>
        <v>1541.1</v>
      </c>
      <c r="Q16" s="1937">
        <f t="shared" si="0"/>
        <v>1447.3999999999999</v>
      </c>
      <c r="R16" s="1937">
        <f t="shared" si="0"/>
        <v>1405.3</v>
      </c>
      <c r="S16" s="1937">
        <f t="shared" si="0"/>
        <v>1371.3999999999999</v>
      </c>
      <c r="T16" s="1937">
        <f t="shared" si="0"/>
        <v>1277.2</v>
      </c>
      <c r="U16" s="1937">
        <f t="shared" si="0"/>
        <v>1232.5</v>
      </c>
      <c r="V16" s="1937">
        <f t="shared" si="0"/>
        <v>1180.8000000000002</v>
      </c>
      <c r="W16" s="1937">
        <f t="shared" si="0"/>
        <v>1170.9000000000001</v>
      </c>
      <c r="X16" s="3001">
        <v>1142.5012509732519</v>
      </c>
      <c r="Y16" s="1211"/>
      <c r="Z16" s="374"/>
      <c r="AA16" s="374"/>
      <c r="AB16" s="374"/>
      <c r="AC16" s="374"/>
    </row>
    <row r="17" spans="2:28" x14ac:dyDescent="0.25">
      <c r="B17" s="1914"/>
      <c r="C17" s="1915"/>
      <c r="D17" s="426"/>
      <c r="E17" s="1211"/>
      <c r="F17" s="1211"/>
      <c r="G17" s="1211"/>
      <c r="H17" s="1211"/>
      <c r="I17" s="1211"/>
      <c r="J17" s="1211"/>
      <c r="K17" s="1211"/>
      <c r="L17" s="1211"/>
      <c r="M17" s="1211"/>
      <c r="N17" s="1211"/>
      <c r="O17" s="1211"/>
      <c r="P17" s="1211"/>
      <c r="Q17" s="1211"/>
      <c r="R17" s="1211"/>
      <c r="S17" s="1211"/>
      <c r="T17" s="1211"/>
      <c r="U17" s="1211"/>
      <c r="V17" s="1211"/>
      <c r="W17" s="1211"/>
      <c r="X17" s="1211"/>
      <c r="Y17" s="374"/>
      <c r="Z17" s="374"/>
      <c r="AA17" s="374"/>
      <c r="AB17" s="374"/>
    </row>
    <row r="18" spans="2:28" x14ac:dyDescent="0.25">
      <c r="B18" s="1914"/>
      <c r="C18" s="1915"/>
      <c r="D18" s="426"/>
      <c r="E18" s="1211"/>
      <c r="F18" s="1211"/>
      <c r="G18" s="1211"/>
      <c r="H18" s="1211"/>
      <c r="I18" s="1211"/>
      <c r="J18" s="1211"/>
      <c r="K18" s="1211"/>
      <c r="L18" s="1211"/>
      <c r="M18" s="1211"/>
      <c r="N18" s="1211"/>
      <c r="O18" s="1211"/>
      <c r="P18" s="1211"/>
      <c r="Q18" s="1211"/>
      <c r="R18" s="1211"/>
      <c r="S18" s="1211"/>
      <c r="T18" s="1211"/>
      <c r="U18" s="1211"/>
      <c r="V18" s="1211"/>
      <c r="W18" s="1211"/>
      <c r="X18" s="1211"/>
      <c r="Y18" s="374"/>
      <c r="Z18" s="374"/>
      <c r="AA18" s="374"/>
      <c r="AB18" s="374"/>
    </row>
    <row r="19" spans="2:28" x14ac:dyDescent="0.25">
      <c r="B19" s="1914"/>
      <c r="C19" s="1915"/>
      <c r="D19" s="426"/>
      <c r="E19" s="1211"/>
      <c r="F19" s="1211"/>
      <c r="G19" s="1211"/>
      <c r="H19" s="1211"/>
      <c r="I19" s="1211"/>
      <c r="J19" s="1211"/>
      <c r="K19" s="1211"/>
      <c r="L19" s="1211"/>
      <c r="M19" s="1211"/>
      <c r="N19" s="1211"/>
      <c r="O19" s="1211"/>
      <c r="P19" s="1211"/>
      <c r="Q19" s="1211"/>
      <c r="R19" s="1211"/>
      <c r="S19" s="1211"/>
      <c r="T19" s="1211"/>
      <c r="U19" s="1211"/>
      <c r="V19" s="1211"/>
      <c r="W19" s="1211"/>
      <c r="X19" s="1211"/>
      <c r="Y19" s="374"/>
      <c r="Z19" s="374"/>
      <c r="AA19" s="374"/>
      <c r="AB19" s="374"/>
    </row>
    <row r="20" spans="2:28" x14ac:dyDescent="0.25">
      <c r="B20" s="1914"/>
      <c r="C20" s="1915"/>
      <c r="D20" s="426"/>
      <c r="E20" s="1211"/>
      <c r="F20" s="1211"/>
      <c r="G20" s="1211"/>
      <c r="H20" s="1211"/>
      <c r="I20" s="1211"/>
      <c r="J20" s="1211"/>
      <c r="K20" s="1211"/>
      <c r="L20" s="1211"/>
      <c r="M20" s="1211"/>
      <c r="N20" s="1211"/>
      <c r="O20" s="1211"/>
      <c r="P20" s="1211"/>
      <c r="Q20" s="1211"/>
      <c r="R20" s="1211"/>
      <c r="S20" s="1211"/>
      <c r="T20" s="1211"/>
      <c r="U20" s="1211"/>
      <c r="V20" s="1211"/>
      <c r="W20" s="1211"/>
      <c r="X20" s="1211"/>
      <c r="Y20" s="374"/>
      <c r="Z20" s="374"/>
      <c r="AA20" s="374"/>
      <c r="AB20" s="374"/>
    </row>
    <row r="21" spans="2:28" x14ac:dyDescent="0.25">
      <c r="B21" s="1914"/>
      <c r="C21" s="1915"/>
      <c r="D21" s="426"/>
      <c r="E21" s="1211"/>
      <c r="F21" s="1211"/>
      <c r="G21" s="1211"/>
      <c r="H21" s="1211"/>
      <c r="I21" s="1211"/>
      <c r="J21" s="1211"/>
      <c r="K21" s="1211"/>
      <c r="L21" s="1211"/>
      <c r="M21" s="1211"/>
      <c r="N21" s="1211"/>
      <c r="O21" s="1211"/>
      <c r="P21" s="1211"/>
      <c r="Q21" s="1211"/>
      <c r="R21" s="1211"/>
      <c r="S21" s="1211"/>
      <c r="T21" s="1211"/>
      <c r="U21" s="1211"/>
      <c r="V21" s="1211"/>
      <c r="W21" s="1211"/>
      <c r="X21" s="1211"/>
      <c r="Y21" s="374"/>
      <c r="Z21" s="374"/>
      <c r="AA21" s="374"/>
      <c r="AB21" s="374"/>
    </row>
    <row r="22" spans="2:28" x14ac:dyDescent="0.25">
      <c r="B22" s="1914"/>
      <c r="C22" s="1915"/>
      <c r="D22" s="426"/>
      <c r="E22" s="1211"/>
      <c r="F22" s="1211"/>
      <c r="G22" s="1211"/>
      <c r="H22" s="1211"/>
      <c r="I22" s="1211"/>
      <c r="J22" s="1211"/>
      <c r="K22" s="1211"/>
      <c r="L22" s="1211"/>
      <c r="M22" s="1211"/>
      <c r="N22" s="1211"/>
      <c r="O22" s="1211"/>
      <c r="P22" s="1211"/>
      <c r="Q22" s="1211"/>
      <c r="R22" s="1211"/>
      <c r="S22" s="1211"/>
      <c r="T22" s="1211"/>
      <c r="U22" s="1211"/>
      <c r="V22" s="1211"/>
      <c r="W22" s="1211"/>
      <c r="X22" s="1211"/>
      <c r="Y22" s="374"/>
      <c r="Z22" s="374"/>
      <c r="AA22" s="374"/>
      <c r="AB22" s="374"/>
    </row>
    <row r="23" spans="2:28" x14ac:dyDescent="0.25">
      <c r="B23" s="1914"/>
      <c r="C23" s="1915"/>
      <c r="D23" s="426"/>
      <c r="E23" s="1211"/>
      <c r="F23" s="1211"/>
      <c r="G23" s="1211"/>
      <c r="H23" s="1211"/>
      <c r="I23" s="1211"/>
      <c r="J23" s="1211"/>
      <c r="K23" s="1211"/>
      <c r="L23" s="1211"/>
      <c r="M23" s="1211"/>
      <c r="N23" s="1211"/>
      <c r="O23" s="1211"/>
      <c r="P23" s="1211"/>
      <c r="Q23" s="1211"/>
      <c r="R23" s="1211"/>
      <c r="S23" s="1211"/>
      <c r="T23" s="1211"/>
      <c r="U23" s="1211"/>
      <c r="V23" s="1211"/>
      <c r="W23" s="1211"/>
      <c r="X23" s="1211"/>
      <c r="Y23" s="374"/>
      <c r="Z23" s="374"/>
      <c r="AA23" s="374"/>
      <c r="AB23" s="374"/>
    </row>
    <row r="24" spans="2:28" x14ac:dyDescent="0.25">
      <c r="B24" s="1914"/>
      <c r="C24" s="1915"/>
      <c r="D24" s="426"/>
      <c r="E24" s="1211"/>
      <c r="F24" s="1211"/>
      <c r="G24" s="1211"/>
      <c r="H24" s="1211"/>
      <c r="I24" s="1211"/>
      <c r="J24" s="1211"/>
      <c r="K24" s="1211"/>
      <c r="L24" s="1211"/>
      <c r="M24" s="1211"/>
      <c r="N24" s="1211"/>
      <c r="O24" s="1211"/>
      <c r="P24" s="1211"/>
      <c r="Q24" s="1211"/>
      <c r="R24" s="1211"/>
      <c r="S24" s="1211"/>
      <c r="T24" s="1211"/>
      <c r="U24" s="1211"/>
      <c r="V24" s="1211"/>
      <c r="W24" s="1211"/>
      <c r="X24" s="1211"/>
      <c r="Y24" s="374"/>
      <c r="Z24" s="374"/>
      <c r="AA24" s="374"/>
      <c r="AB24" s="374"/>
    </row>
    <row r="25" spans="2:28" x14ac:dyDescent="0.25">
      <c r="B25" s="1914"/>
      <c r="C25" s="1915"/>
      <c r="D25" s="426"/>
      <c r="E25" s="1211"/>
      <c r="F25" s="1211"/>
      <c r="G25" s="1211"/>
      <c r="H25" s="1211"/>
      <c r="I25" s="1211"/>
      <c r="J25" s="1211"/>
      <c r="K25" s="1211"/>
      <c r="L25" s="1211"/>
      <c r="M25" s="1211"/>
      <c r="N25" s="1211"/>
      <c r="O25" s="1211"/>
      <c r="P25" s="1211"/>
      <c r="Q25" s="1211"/>
      <c r="R25" s="1211"/>
      <c r="S25" s="1211"/>
      <c r="T25" s="1211"/>
      <c r="U25" s="1211"/>
      <c r="V25" s="1211"/>
      <c r="W25" s="1211"/>
      <c r="X25" s="1211"/>
      <c r="Y25" s="374"/>
      <c r="Z25" s="374"/>
      <c r="AA25" s="374"/>
      <c r="AB25" s="374"/>
    </row>
    <row r="26" spans="2:28" x14ac:dyDescent="0.25">
      <c r="B26" s="1914"/>
      <c r="C26" s="1915"/>
      <c r="D26" s="426"/>
      <c r="E26" s="1211"/>
      <c r="F26" s="1211"/>
      <c r="G26" s="1211"/>
      <c r="H26" s="1211"/>
      <c r="I26" s="1211"/>
      <c r="J26" s="1211"/>
      <c r="K26" s="1211"/>
      <c r="L26" s="1211"/>
      <c r="M26" s="1211"/>
      <c r="N26" s="1211"/>
      <c r="O26" s="1211"/>
      <c r="P26" s="1211"/>
      <c r="Q26" s="1211"/>
      <c r="R26" s="1211"/>
      <c r="S26" s="1211"/>
      <c r="T26" s="1211"/>
      <c r="U26" s="1211"/>
      <c r="V26" s="1211"/>
      <c r="W26" s="1211"/>
      <c r="X26" s="1211"/>
      <c r="Y26" s="374"/>
      <c r="Z26" s="374"/>
      <c r="AA26" s="374"/>
      <c r="AB26" s="374"/>
    </row>
    <row r="27" spans="2:28" x14ac:dyDescent="0.25">
      <c r="B27" s="1914"/>
      <c r="C27" s="1915"/>
      <c r="D27" s="426"/>
      <c r="E27" s="1211"/>
      <c r="F27" s="1211"/>
      <c r="G27" s="1211"/>
      <c r="H27" s="1211"/>
      <c r="I27" s="1211"/>
      <c r="J27" s="1211"/>
      <c r="K27" s="1211"/>
      <c r="L27" s="1211"/>
      <c r="M27" s="1211"/>
      <c r="N27" s="1211"/>
      <c r="O27" s="1211"/>
      <c r="P27" s="1211"/>
      <c r="Q27" s="1211"/>
      <c r="R27" s="1211"/>
      <c r="S27" s="1211"/>
      <c r="T27" s="1211"/>
      <c r="U27" s="1211"/>
      <c r="V27" s="1211"/>
      <c r="W27" s="1211"/>
      <c r="X27" s="1211"/>
      <c r="Y27" s="374"/>
      <c r="Z27" s="374"/>
      <c r="AA27" s="374"/>
      <c r="AB27" s="374"/>
    </row>
    <row r="28" spans="2:28" x14ac:dyDescent="0.25">
      <c r="B28" s="1914"/>
      <c r="C28" s="1915"/>
      <c r="D28" s="426"/>
      <c r="E28" s="1211"/>
      <c r="F28" s="1211"/>
      <c r="G28" s="1211"/>
      <c r="H28" s="1211"/>
      <c r="I28" s="1211"/>
      <c r="J28" s="1211"/>
      <c r="K28" s="1211"/>
      <c r="L28" s="1211"/>
      <c r="M28" s="1211"/>
      <c r="N28" s="1211"/>
      <c r="O28" s="1211"/>
      <c r="P28" s="1211"/>
      <c r="Q28" s="1211"/>
      <c r="R28" s="1211"/>
      <c r="S28" s="1211"/>
      <c r="T28" s="1211"/>
      <c r="U28" s="1211"/>
      <c r="V28" s="1211"/>
      <c r="W28" s="1211"/>
      <c r="X28" s="1211"/>
      <c r="Y28" s="374"/>
      <c r="Z28" s="374"/>
      <c r="AA28" s="374"/>
      <c r="AB28" s="374"/>
    </row>
    <row r="29" spans="2:28" x14ac:dyDescent="0.25">
      <c r="B29" s="1914"/>
      <c r="C29" s="1915"/>
      <c r="D29" s="426"/>
      <c r="E29" s="1211"/>
      <c r="F29" s="1211"/>
      <c r="G29" s="1211"/>
      <c r="H29" s="1211"/>
      <c r="I29" s="1211"/>
      <c r="J29" s="1211"/>
      <c r="K29" s="1211"/>
      <c r="L29" s="1211"/>
      <c r="M29" s="1211"/>
      <c r="N29" s="1211"/>
      <c r="O29" s="1211"/>
      <c r="P29" s="1211"/>
      <c r="Q29" s="1211"/>
      <c r="R29" s="1211"/>
      <c r="S29" s="1211"/>
      <c r="T29" s="1211"/>
      <c r="U29" s="1211"/>
      <c r="V29" s="1211"/>
      <c r="W29" s="1211"/>
      <c r="X29" s="1211"/>
      <c r="Y29" s="374"/>
      <c r="Z29" s="374"/>
      <c r="AA29" s="374"/>
      <c r="AB29" s="374"/>
    </row>
    <row r="30" spans="2:28" x14ac:dyDescent="0.25">
      <c r="B30" s="1914"/>
      <c r="C30" s="1915"/>
      <c r="D30" s="426"/>
      <c r="E30" s="1211"/>
      <c r="F30" s="1211"/>
      <c r="G30" s="1211"/>
      <c r="H30" s="1211"/>
      <c r="I30" s="1211"/>
      <c r="J30" s="1211"/>
      <c r="K30" s="1211"/>
      <c r="L30" s="1211"/>
      <c r="M30" s="1211"/>
      <c r="N30" s="1211"/>
      <c r="O30" s="1211"/>
      <c r="P30" s="1211"/>
      <c r="Q30" s="1211"/>
      <c r="R30" s="1211"/>
      <c r="S30" s="1211"/>
      <c r="T30" s="1211"/>
      <c r="U30" s="1211"/>
      <c r="V30" s="1211"/>
      <c r="W30" s="1211"/>
      <c r="X30" s="1211"/>
      <c r="Y30" s="374"/>
      <c r="Z30" s="374"/>
      <c r="AA30" s="374"/>
      <c r="AB30" s="374"/>
    </row>
    <row r="31" spans="2:28" x14ac:dyDescent="0.25">
      <c r="B31" s="1914"/>
      <c r="C31" s="1915"/>
      <c r="D31" s="426"/>
      <c r="E31" s="1211"/>
      <c r="F31" s="1211"/>
      <c r="G31" s="1211"/>
      <c r="H31" s="1211"/>
      <c r="I31" s="1211"/>
      <c r="J31" s="1211"/>
      <c r="K31" s="1211"/>
      <c r="L31" s="1211"/>
      <c r="M31" s="1211"/>
      <c r="N31" s="1211"/>
      <c r="O31" s="1211"/>
      <c r="P31" s="1211"/>
      <c r="Q31" s="1211"/>
      <c r="R31" s="1211"/>
      <c r="S31" s="1211"/>
      <c r="T31" s="1211"/>
      <c r="U31" s="1211"/>
      <c r="V31" s="1211"/>
      <c r="W31" s="1211"/>
      <c r="X31" s="1211"/>
      <c r="Y31" s="374"/>
      <c r="Z31" s="374"/>
      <c r="AA31" s="374"/>
      <c r="AB31" s="374"/>
    </row>
    <row r="32" spans="2:28" x14ac:dyDescent="0.25">
      <c r="B32" s="1914"/>
      <c r="C32" s="1915"/>
      <c r="D32" s="426"/>
      <c r="E32" s="1211"/>
      <c r="F32" s="1211"/>
      <c r="G32" s="1211"/>
      <c r="H32" s="1211"/>
      <c r="I32" s="1211"/>
      <c r="J32" s="1211"/>
      <c r="K32" s="1211"/>
      <c r="L32" s="1211"/>
      <c r="M32" s="1211"/>
      <c r="N32" s="1211"/>
      <c r="O32" s="1211"/>
      <c r="P32" s="1211"/>
      <c r="Q32" s="1211"/>
      <c r="R32" s="1211"/>
      <c r="S32" s="1211"/>
      <c r="T32" s="1211"/>
      <c r="U32" s="1211"/>
      <c r="V32" s="1211"/>
      <c r="W32" s="1211"/>
      <c r="X32" s="1211"/>
      <c r="Y32" s="374"/>
      <c r="Z32" s="374"/>
      <c r="AA32" s="374"/>
      <c r="AB32" s="374"/>
    </row>
    <row r="33" spans="1:28" x14ac:dyDescent="0.25">
      <c r="B33" s="1914"/>
      <c r="C33" s="1915"/>
      <c r="D33" s="426"/>
      <c r="E33" s="1211"/>
      <c r="F33" s="1211"/>
      <c r="G33" s="1211"/>
      <c r="H33" s="1211"/>
      <c r="I33" s="1211"/>
      <c r="J33" s="1211"/>
      <c r="K33" s="1211"/>
      <c r="L33" s="1211"/>
      <c r="M33" s="1211"/>
      <c r="N33" s="1211"/>
      <c r="O33" s="1211"/>
      <c r="P33" s="1211"/>
      <c r="Q33" s="1211"/>
      <c r="R33" s="1211"/>
      <c r="S33" s="1211"/>
      <c r="T33" s="1211"/>
      <c r="U33" s="1211"/>
      <c r="V33" s="1211"/>
      <c r="W33" s="1211"/>
      <c r="X33" s="1211"/>
      <c r="Y33" s="374"/>
      <c r="Z33" s="374"/>
      <c r="AA33" s="374"/>
      <c r="AB33" s="374"/>
    </row>
    <row r="34" spans="1:28" x14ac:dyDescent="0.25">
      <c r="B34" s="1914"/>
      <c r="C34" s="1915"/>
      <c r="D34" s="426"/>
      <c r="E34" s="1211"/>
      <c r="F34" s="1211"/>
      <c r="G34" s="1211"/>
      <c r="H34" s="1211"/>
      <c r="I34" s="1211"/>
      <c r="J34" s="1211"/>
      <c r="K34" s="1211"/>
      <c r="L34" s="1211"/>
      <c r="M34" s="1211"/>
      <c r="N34" s="1211"/>
      <c r="O34" s="1211"/>
      <c r="P34" s="1211"/>
      <c r="Q34" s="1211"/>
      <c r="R34" s="1211"/>
      <c r="S34" s="1211"/>
      <c r="T34" s="1211"/>
      <c r="U34" s="1211"/>
      <c r="V34" s="1211"/>
      <c r="W34" s="1211"/>
      <c r="X34" s="1211"/>
      <c r="Y34" s="374"/>
      <c r="Z34" s="374"/>
      <c r="AA34" s="374"/>
      <c r="AB34" s="374"/>
    </row>
    <row r="35" spans="1:28" x14ac:dyDescent="0.25">
      <c r="B35" s="1914"/>
      <c r="C35" s="1915"/>
      <c r="D35" s="426"/>
      <c r="E35" s="1211"/>
      <c r="F35" s="1211"/>
      <c r="G35" s="1211"/>
      <c r="H35" s="1211"/>
      <c r="I35" s="1211"/>
      <c r="J35" s="1211"/>
      <c r="K35" s="1211"/>
      <c r="L35" s="1211"/>
      <c r="M35" s="1211"/>
      <c r="N35" s="1211"/>
      <c r="O35" s="1211"/>
      <c r="P35" s="1211"/>
      <c r="Q35" s="1211"/>
      <c r="R35" s="1211"/>
      <c r="S35" s="1211"/>
      <c r="T35" s="1211"/>
      <c r="U35" s="1211"/>
      <c r="V35" s="1211"/>
      <c r="W35" s="1211"/>
      <c r="X35" s="1211"/>
      <c r="Y35" s="374"/>
      <c r="Z35" s="374"/>
      <c r="AA35" s="374"/>
      <c r="AB35" s="374"/>
    </row>
    <row r="36" spans="1:28" x14ac:dyDescent="0.25">
      <c r="B36" s="1914"/>
      <c r="C36" s="1915"/>
      <c r="D36" s="426"/>
      <c r="E36" s="1211"/>
      <c r="F36" s="1211"/>
      <c r="G36" s="1211"/>
      <c r="H36" s="1211"/>
      <c r="I36" s="1211"/>
      <c r="J36" s="1211"/>
      <c r="K36" s="1211"/>
      <c r="L36" s="1211"/>
      <c r="M36" s="1211"/>
      <c r="N36" s="1211"/>
      <c r="O36" s="1211"/>
      <c r="P36" s="1211"/>
      <c r="Q36" s="1211"/>
      <c r="R36" s="1211"/>
      <c r="S36" s="1211"/>
      <c r="T36" s="1211"/>
      <c r="U36" s="1211"/>
      <c r="V36" s="1211"/>
      <c r="W36" s="1211"/>
      <c r="X36" s="1211"/>
      <c r="Y36" s="374"/>
      <c r="Z36" s="374"/>
      <c r="AA36" s="374"/>
      <c r="AB36" s="374"/>
    </row>
    <row r="37" spans="1:28" x14ac:dyDescent="0.25">
      <c r="B37" s="1914"/>
      <c r="C37" s="1915"/>
      <c r="D37" s="426"/>
      <c r="E37" s="1211"/>
      <c r="F37" s="1211"/>
      <c r="G37" s="1211"/>
      <c r="H37" s="1211"/>
      <c r="I37" s="1211"/>
      <c r="J37" s="1211"/>
      <c r="K37" s="1211"/>
      <c r="L37" s="1211"/>
      <c r="M37" s="1211"/>
      <c r="N37" s="1211"/>
      <c r="O37" s="1211"/>
      <c r="P37" s="1211"/>
      <c r="Q37" s="1211"/>
      <c r="R37" s="1211"/>
      <c r="S37" s="1211"/>
      <c r="T37" s="1211"/>
      <c r="U37" s="1211"/>
      <c r="V37" s="1211"/>
      <c r="W37" s="1211"/>
      <c r="X37" s="1211"/>
      <c r="Y37" s="374"/>
      <c r="Z37" s="374"/>
      <c r="AA37" s="374"/>
      <c r="AB37" s="374"/>
    </row>
    <row r="38" spans="1:28" s="201" customFormat="1" ht="12.75" x14ac:dyDescent="0.2">
      <c r="A38" s="453"/>
      <c r="B38" s="1619"/>
      <c r="C38" s="1619"/>
      <c r="D38" s="277"/>
      <c r="E38" s="1405"/>
      <c r="F38" s="1405"/>
      <c r="G38" s="277"/>
      <c r="H38" s="1405"/>
      <c r="I38" s="476"/>
      <c r="J38" s="476"/>
      <c r="K38" s="1405"/>
      <c r="L38" s="1405"/>
      <c r="M38" s="476"/>
      <c r="N38" s="1405"/>
      <c r="O38" s="1405"/>
      <c r="P38" s="476"/>
      <c r="Q38" s="1405"/>
      <c r="R38" s="1405"/>
      <c r="S38" s="476"/>
      <c r="T38" s="476"/>
      <c r="U38" s="476"/>
      <c r="V38" s="1405"/>
      <c r="W38" s="476"/>
      <c r="X38" s="476"/>
      <c r="Y38" s="277"/>
      <c r="Z38" s="277"/>
    </row>
    <row r="39" spans="1:28" x14ac:dyDescent="0.25">
      <c r="D39" s="996"/>
      <c r="E39" s="996"/>
      <c r="F39" s="996"/>
      <c r="G39" s="996"/>
      <c r="H39" s="1406"/>
      <c r="I39" s="996"/>
      <c r="J39" s="996"/>
      <c r="K39" s="996"/>
      <c r="L39" s="996"/>
      <c r="M39" s="996"/>
      <c r="N39" s="996"/>
      <c r="O39" s="996"/>
      <c r="P39" s="996"/>
      <c r="Q39" s="996"/>
      <c r="R39" s="996"/>
      <c r="S39" s="996"/>
      <c r="T39" s="996"/>
      <c r="U39" s="996"/>
      <c r="V39" s="996"/>
      <c r="W39" s="996"/>
      <c r="X39" s="996"/>
      <c r="Y39" s="996"/>
      <c r="Z39" s="996"/>
    </row>
    <row r="40" spans="1:28" ht="15" customHeight="1" x14ac:dyDescent="0.25">
      <c r="A40" s="453">
        <v>5</v>
      </c>
      <c r="B40" s="453" t="s">
        <v>78</v>
      </c>
      <c r="C40" s="453"/>
      <c r="D40" s="3556" t="s">
        <v>1632</v>
      </c>
      <c r="E40" s="3557"/>
      <c r="F40" s="3557"/>
      <c r="G40" s="3557"/>
      <c r="H40" s="3557"/>
      <c r="I40" s="3557"/>
      <c r="J40" s="3557"/>
      <c r="K40" s="3557"/>
      <c r="L40" s="3557"/>
      <c r="M40" s="3557"/>
      <c r="N40" s="3557"/>
      <c r="O40" s="3557"/>
      <c r="P40" s="3557"/>
      <c r="Q40" s="3557"/>
      <c r="R40" s="3557"/>
      <c r="S40" s="3557"/>
      <c r="T40" s="3557"/>
      <c r="U40" s="3557"/>
      <c r="V40" s="3557"/>
      <c r="W40" s="3557"/>
      <c r="X40" s="3558"/>
      <c r="Y40" s="1407"/>
      <c r="Z40" s="1408"/>
      <c r="AA40" s="1408"/>
      <c r="AB40" s="1697"/>
    </row>
    <row r="41" spans="1:28" ht="12.75" customHeight="1" x14ac:dyDescent="0.25">
      <c r="A41" s="472">
        <v>6</v>
      </c>
      <c r="B41" s="472" t="s">
        <v>80</v>
      </c>
      <c r="C41" s="472"/>
      <c r="D41" s="3556" t="s">
        <v>1633</v>
      </c>
      <c r="E41" s="3557"/>
      <c r="F41" s="3557"/>
      <c r="G41" s="3557"/>
      <c r="H41" s="3557"/>
      <c r="I41" s="3557"/>
      <c r="J41" s="3557"/>
      <c r="K41" s="3557"/>
      <c r="L41" s="3557"/>
      <c r="M41" s="3557"/>
      <c r="N41" s="3557"/>
      <c r="O41" s="3557"/>
      <c r="P41" s="3557"/>
      <c r="Q41" s="3557"/>
      <c r="R41" s="3557"/>
      <c r="S41" s="3557"/>
      <c r="T41" s="3557"/>
      <c r="U41" s="3557"/>
      <c r="V41" s="3557"/>
      <c r="W41" s="3557"/>
      <c r="X41" s="3558"/>
      <c r="Y41" s="1407"/>
      <c r="Z41" s="1408"/>
      <c r="AA41" s="1408"/>
      <c r="AB41" s="1697"/>
    </row>
    <row r="42" spans="1:28" ht="12.75" customHeight="1" x14ac:dyDescent="0.25">
      <c r="A42" s="453">
        <v>7</v>
      </c>
      <c r="B42" s="453" t="s">
        <v>20</v>
      </c>
      <c r="C42" s="453"/>
      <c r="D42" s="3556" t="s">
        <v>1634</v>
      </c>
      <c r="E42" s="3557"/>
      <c r="F42" s="3557"/>
      <c r="G42" s="3557"/>
      <c r="H42" s="3557"/>
      <c r="I42" s="3557"/>
      <c r="J42" s="3557"/>
      <c r="K42" s="3557"/>
      <c r="L42" s="3557"/>
      <c r="M42" s="3557"/>
      <c r="N42" s="3557"/>
      <c r="O42" s="3557"/>
      <c r="P42" s="3557"/>
      <c r="Q42" s="3557"/>
      <c r="R42" s="3557"/>
      <c r="S42" s="3557"/>
      <c r="T42" s="3557"/>
      <c r="U42" s="3557"/>
      <c r="V42" s="3557"/>
      <c r="W42" s="3557"/>
      <c r="X42" s="3558"/>
      <c r="Y42" s="1407"/>
      <c r="Z42" s="1408"/>
      <c r="AA42" s="1408"/>
      <c r="AB42" s="1697"/>
    </row>
    <row r="43" spans="1:28" ht="25.5" customHeight="1" x14ac:dyDescent="0.25">
      <c r="A43" s="453">
        <v>8</v>
      </c>
      <c r="B43" s="453" t="s">
        <v>83</v>
      </c>
      <c r="C43" s="453"/>
      <c r="D43" s="3568" t="s">
        <v>1635</v>
      </c>
      <c r="E43" s="3569"/>
      <c r="F43" s="3569"/>
      <c r="G43" s="3569"/>
      <c r="H43" s="3569"/>
      <c r="I43" s="3569"/>
      <c r="J43" s="3569"/>
      <c r="K43" s="3569"/>
      <c r="L43" s="3569"/>
      <c r="M43" s="3569"/>
      <c r="N43" s="3569"/>
      <c r="O43" s="3569"/>
      <c r="P43" s="3569"/>
      <c r="Q43" s="3569"/>
      <c r="R43" s="3569"/>
      <c r="S43" s="3569"/>
      <c r="T43" s="3569"/>
      <c r="U43" s="3569"/>
      <c r="V43" s="3569"/>
      <c r="W43" s="3569"/>
      <c r="X43" s="3570"/>
      <c r="Y43" s="1407"/>
      <c r="Z43" s="1408"/>
      <c r="AA43" s="1408"/>
      <c r="AB43" s="1696"/>
    </row>
  </sheetData>
  <mergeCells count="9">
    <mergeCell ref="D40:X40"/>
    <mergeCell ref="D41:X41"/>
    <mergeCell ref="D42:X42"/>
    <mergeCell ref="D43:X43"/>
    <mergeCell ref="D1:X1"/>
    <mergeCell ref="D2:X2"/>
    <mergeCell ref="D3:X3"/>
    <mergeCell ref="D4:X4"/>
    <mergeCell ref="B9:B13"/>
  </mergeCells>
  <pageMargins left="0.74803149606299213" right="0.74803149606299213" top="0.98425196850393704" bottom="0.98425196850393704" header="0.51181102362204722" footer="0.51181102362204722"/>
  <pageSetup paperSize="9" scale="5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CT65"/>
  <sheetViews>
    <sheetView showGridLines="0" view="pageBreakPreview" zoomScaleNormal="100" zoomScaleSheetLayoutView="100" workbookViewId="0">
      <selection activeCell="R35" sqref="R35"/>
    </sheetView>
  </sheetViews>
  <sheetFormatPr defaultRowHeight="15" x14ac:dyDescent="0.2"/>
  <cols>
    <col min="1" max="1" width="3.7109375" style="453" customWidth="1"/>
    <col min="2" max="2" width="14.42578125" style="670" customWidth="1"/>
    <col min="3" max="3" width="3.7109375" style="670" customWidth="1"/>
    <col min="4" max="4" width="23.42578125" style="1664" customWidth="1"/>
    <col min="5" max="9" width="10.7109375" style="1664" bestFit="1" customWidth="1"/>
    <col min="10" max="10" width="9.28515625" style="1664" bestFit="1" customWidth="1"/>
    <col min="11" max="15" width="9.28515625" style="1664" customWidth="1"/>
    <col min="16" max="16" width="9.140625" style="1664"/>
    <col min="17" max="17" width="12.5703125" style="1933" customWidth="1"/>
    <col min="18" max="257" width="9.140625" style="1664"/>
    <col min="258" max="258" width="3.7109375" style="1664" customWidth="1"/>
    <col min="259" max="259" width="14.42578125" style="1664" customWidth="1"/>
    <col min="260" max="260" width="9" style="1664" bestFit="1" customWidth="1"/>
    <col min="261" max="261" width="23.42578125" style="1664" customWidth="1"/>
    <col min="262" max="266" width="10.7109375" style="1664" bestFit="1" customWidth="1"/>
    <col min="267" max="267" width="9.28515625" style="1664" bestFit="1" customWidth="1"/>
    <col min="268" max="271" width="9.28515625" style="1664" customWidth="1"/>
    <col min="272" max="513" width="9.140625" style="1664"/>
    <col min="514" max="514" width="3.7109375" style="1664" customWidth="1"/>
    <col min="515" max="515" width="14.42578125" style="1664" customWidth="1"/>
    <col min="516" max="516" width="9" style="1664" bestFit="1" customWidth="1"/>
    <col min="517" max="517" width="23.42578125" style="1664" customWidth="1"/>
    <col min="518" max="522" width="10.7109375" style="1664" bestFit="1" customWidth="1"/>
    <col min="523" max="523" width="9.28515625" style="1664" bestFit="1" customWidth="1"/>
    <col min="524" max="527" width="9.28515625" style="1664" customWidth="1"/>
    <col min="528" max="769" width="9.140625" style="1664"/>
    <col min="770" max="770" width="3.7109375" style="1664" customWidth="1"/>
    <col min="771" max="771" width="14.42578125" style="1664" customWidth="1"/>
    <col min="772" max="772" width="9" style="1664" bestFit="1" customWidth="1"/>
    <col min="773" max="773" width="23.42578125" style="1664" customWidth="1"/>
    <col min="774" max="778" width="10.7109375" style="1664" bestFit="1" customWidth="1"/>
    <col min="779" max="779" width="9.28515625" style="1664" bestFit="1" customWidth="1"/>
    <col min="780" max="783" width="9.28515625" style="1664" customWidth="1"/>
    <col min="784" max="1025" width="9.140625" style="1664"/>
    <col min="1026" max="1026" width="3.7109375" style="1664" customWidth="1"/>
    <col min="1027" max="1027" width="14.42578125" style="1664" customWidth="1"/>
    <col min="1028" max="1028" width="9" style="1664" bestFit="1" customWidth="1"/>
    <col min="1029" max="1029" width="23.42578125" style="1664" customWidth="1"/>
    <col min="1030" max="1034" width="10.7109375" style="1664" bestFit="1" customWidth="1"/>
    <col min="1035" max="1035" width="9.28515625" style="1664" bestFit="1" customWidth="1"/>
    <col min="1036" max="1039" width="9.28515625" style="1664" customWidth="1"/>
    <col min="1040" max="1281" width="9.140625" style="1664"/>
    <col min="1282" max="1282" width="3.7109375" style="1664" customWidth="1"/>
    <col min="1283" max="1283" width="14.42578125" style="1664" customWidth="1"/>
    <col min="1284" max="1284" width="9" style="1664" bestFit="1" customWidth="1"/>
    <col min="1285" max="1285" width="23.42578125" style="1664" customWidth="1"/>
    <col min="1286" max="1290" width="10.7109375" style="1664" bestFit="1" customWidth="1"/>
    <col min="1291" max="1291" width="9.28515625" style="1664" bestFit="1" customWidth="1"/>
    <col min="1292" max="1295" width="9.28515625" style="1664" customWidth="1"/>
    <col min="1296" max="1537" width="9.140625" style="1664"/>
    <col min="1538" max="1538" width="3.7109375" style="1664" customWidth="1"/>
    <col min="1539" max="1539" width="14.42578125" style="1664" customWidth="1"/>
    <col min="1540" max="1540" width="9" style="1664" bestFit="1" customWidth="1"/>
    <col min="1541" max="1541" width="23.42578125" style="1664" customWidth="1"/>
    <col min="1542" max="1546" width="10.7109375" style="1664" bestFit="1" customWidth="1"/>
    <col min="1547" max="1547" width="9.28515625" style="1664" bestFit="1" customWidth="1"/>
    <col min="1548" max="1551" width="9.28515625" style="1664" customWidth="1"/>
    <col min="1552" max="1793" width="9.140625" style="1664"/>
    <col min="1794" max="1794" width="3.7109375" style="1664" customWidth="1"/>
    <col min="1795" max="1795" width="14.42578125" style="1664" customWidth="1"/>
    <col min="1796" max="1796" width="9" style="1664" bestFit="1" customWidth="1"/>
    <col min="1797" max="1797" width="23.42578125" style="1664" customWidth="1"/>
    <col min="1798" max="1802" width="10.7109375" style="1664" bestFit="1" customWidth="1"/>
    <col min="1803" max="1803" width="9.28515625" style="1664" bestFit="1" customWidth="1"/>
    <col min="1804" max="1807" width="9.28515625" style="1664" customWidth="1"/>
    <col min="1808" max="2049" width="9.140625" style="1664"/>
    <col min="2050" max="2050" width="3.7109375" style="1664" customWidth="1"/>
    <col min="2051" max="2051" width="14.42578125" style="1664" customWidth="1"/>
    <col min="2052" max="2052" width="9" style="1664" bestFit="1" customWidth="1"/>
    <col min="2053" max="2053" width="23.42578125" style="1664" customWidth="1"/>
    <col min="2054" max="2058" width="10.7109375" style="1664" bestFit="1" customWidth="1"/>
    <col min="2059" max="2059" width="9.28515625" style="1664" bestFit="1" customWidth="1"/>
    <col min="2060" max="2063" width="9.28515625" style="1664" customWidth="1"/>
    <col min="2064" max="2305" width="9.140625" style="1664"/>
    <col min="2306" max="2306" width="3.7109375" style="1664" customWidth="1"/>
    <col min="2307" max="2307" width="14.42578125" style="1664" customWidth="1"/>
    <col min="2308" max="2308" width="9" style="1664" bestFit="1" customWidth="1"/>
    <col min="2309" max="2309" width="23.42578125" style="1664" customWidth="1"/>
    <col min="2310" max="2314" width="10.7109375" style="1664" bestFit="1" customWidth="1"/>
    <col min="2315" max="2315" width="9.28515625" style="1664" bestFit="1" customWidth="1"/>
    <col min="2316" max="2319" width="9.28515625" style="1664" customWidth="1"/>
    <col min="2320" max="2561" width="9.140625" style="1664"/>
    <col min="2562" max="2562" width="3.7109375" style="1664" customWidth="1"/>
    <col min="2563" max="2563" width="14.42578125" style="1664" customWidth="1"/>
    <col min="2564" max="2564" width="9" style="1664" bestFit="1" customWidth="1"/>
    <col min="2565" max="2565" width="23.42578125" style="1664" customWidth="1"/>
    <col min="2566" max="2570" width="10.7109375" style="1664" bestFit="1" customWidth="1"/>
    <col min="2571" max="2571" width="9.28515625" style="1664" bestFit="1" customWidth="1"/>
    <col min="2572" max="2575" width="9.28515625" style="1664" customWidth="1"/>
    <col min="2576" max="2817" width="9.140625" style="1664"/>
    <col min="2818" max="2818" width="3.7109375" style="1664" customWidth="1"/>
    <col min="2819" max="2819" width="14.42578125" style="1664" customWidth="1"/>
    <col min="2820" max="2820" width="9" style="1664" bestFit="1" customWidth="1"/>
    <col min="2821" max="2821" width="23.42578125" style="1664" customWidth="1"/>
    <col min="2822" max="2826" width="10.7109375" style="1664" bestFit="1" customWidth="1"/>
    <col min="2827" max="2827" width="9.28515625" style="1664" bestFit="1" customWidth="1"/>
    <col min="2828" max="2831" width="9.28515625" style="1664" customWidth="1"/>
    <col min="2832" max="3073" width="9.140625" style="1664"/>
    <col min="3074" max="3074" width="3.7109375" style="1664" customWidth="1"/>
    <col min="3075" max="3075" width="14.42578125" style="1664" customWidth="1"/>
    <col min="3076" max="3076" width="9" style="1664" bestFit="1" customWidth="1"/>
    <col min="3077" max="3077" width="23.42578125" style="1664" customWidth="1"/>
    <col min="3078" max="3082" width="10.7109375" style="1664" bestFit="1" customWidth="1"/>
    <col min="3083" max="3083" width="9.28515625" style="1664" bestFit="1" customWidth="1"/>
    <col min="3084" max="3087" width="9.28515625" style="1664" customWidth="1"/>
    <col min="3088" max="3329" width="9.140625" style="1664"/>
    <col min="3330" max="3330" width="3.7109375" style="1664" customWidth="1"/>
    <col min="3331" max="3331" width="14.42578125" style="1664" customWidth="1"/>
    <col min="3332" max="3332" width="9" style="1664" bestFit="1" customWidth="1"/>
    <col min="3333" max="3333" width="23.42578125" style="1664" customWidth="1"/>
    <col min="3334" max="3338" width="10.7109375" style="1664" bestFit="1" customWidth="1"/>
    <col min="3339" max="3339" width="9.28515625" style="1664" bestFit="1" customWidth="1"/>
    <col min="3340" max="3343" width="9.28515625" style="1664" customWidth="1"/>
    <col min="3344" max="3585" width="9.140625" style="1664"/>
    <col min="3586" max="3586" width="3.7109375" style="1664" customWidth="1"/>
    <col min="3587" max="3587" width="14.42578125" style="1664" customWidth="1"/>
    <col min="3588" max="3588" width="9" style="1664" bestFit="1" customWidth="1"/>
    <col min="3589" max="3589" width="23.42578125" style="1664" customWidth="1"/>
    <col min="3590" max="3594" width="10.7109375" style="1664" bestFit="1" customWidth="1"/>
    <col min="3595" max="3595" width="9.28515625" style="1664" bestFit="1" customWidth="1"/>
    <col min="3596" max="3599" width="9.28515625" style="1664" customWidth="1"/>
    <col min="3600" max="3841" width="9.140625" style="1664"/>
    <col min="3842" max="3842" width="3.7109375" style="1664" customWidth="1"/>
    <col min="3843" max="3843" width="14.42578125" style="1664" customWidth="1"/>
    <col min="3844" max="3844" width="9" style="1664" bestFit="1" customWidth="1"/>
    <col min="3845" max="3845" width="23.42578125" style="1664" customWidth="1"/>
    <col min="3846" max="3850" width="10.7109375" style="1664" bestFit="1" customWidth="1"/>
    <col min="3851" max="3851" width="9.28515625" style="1664" bestFit="1" customWidth="1"/>
    <col min="3852" max="3855" width="9.28515625" style="1664" customWidth="1"/>
    <col min="3856" max="4097" width="9.140625" style="1664"/>
    <col min="4098" max="4098" width="3.7109375" style="1664" customWidth="1"/>
    <col min="4099" max="4099" width="14.42578125" style="1664" customWidth="1"/>
    <col min="4100" max="4100" width="9" style="1664" bestFit="1" customWidth="1"/>
    <col min="4101" max="4101" width="23.42578125" style="1664" customWidth="1"/>
    <col min="4102" max="4106" width="10.7109375" style="1664" bestFit="1" customWidth="1"/>
    <col min="4107" max="4107" width="9.28515625" style="1664" bestFit="1" customWidth="1"/>
    <col min="4108" max="4111" width="9.28515625" style="1664" customWidth="1"/>
    <col min="4112" max="4353" width="9.140625" style="1664"/>
    <col min="4354" max="4354" width="3.7109375" style="1664" customWidth="1"/>
    <col min="4355" max="4355" width="14.42578125" style="1664" customWidth="1"/>
    <col min="4356" max="4356" width="9" style="1664" bestFit="1" customWidth="1"/>
    <col min="4357" max="4357" width="23.42578125" style="1664" customWidth="1"/>
    <col min="4358" max="4362" width="10.7109375" style="1664" bestFit="1" customWidth="1"/>
    <col min="4363" max="4363" width="9.28515625" style="1664" bestFit="1" customWidth="1"/>
    <col min="4364" max="4367" width="9.28515625" style="1664" customWidth="1"/>
    <col min="4368" max="4609" width="9.140625" style="1664"/>
    <col min="4610" max="4610" width="3.7109375" style="1664" customWidth="1"/>
    <col min="4611" max="4611" width="14.42578125" style="1664" customWidth="1"/>
    <col min="4612" max="4612" width="9" style="1664" bestFit="1" customWidth="1"/>
    <col min="4613" max="4613" width="23.42578125" style="1664" customWidth="1"/>
    <col min="4614" max="4618" width="10.7109375" style="1664" bestFit="1" customWidth="1"/>
    <col min="4619" max="4619" width="9.28515625" style="1664" bestFit="1" customWidth="1"/>
    <col min="4620" max="4623" width="9.28515625" style="1664" customWidth="1"/>
    <col min="4624" max="4865" width="9.140625" style="1664"/>
    <col min="4866" max="4866" width="3.7109375" style="1664" customWidth="1"/>
    <col min="4867" max="4867" width="14.42578125" style="1664" customWidth="1"/>
    <col min="4868" max="4868" width="9" style="1664" bestFit="1" customWidth="1"/>
    <col min="4869" max="4869" width="23.42578125" style="1664" customWidth="1"/>
    <col min="4870" max="4874" width="10.7109375" style="1664" bestFit="1" customWidth="1"/>
    <col min="4875" max="4875" width="9.28515625" style="1664" bestFit="1" customWidth="1"/>
    <col min="4876" max="4879" width="9.28515625" style="1664" customWidth="1"/>
    <col min="4880" max="5121" width="9.140625" style="1664"/>
    <col min="5122" max="5122" width="3.7109375" style="1664" customWidth="1"/>
    <col min="5123" max="5123" width="14.42578125" style="1664" customWidth="1"/>
    <col min="5124" max="5124" width="9" style="1664" bestFit="1" customWidth="1"/>
    <col min="5125" max="5125" width="23.42578125" style="1664" customWidth="1"/>
    <col min="5126" max="5130" width="10.7109375" style="1664" bestFit="1" customWidth="1"/>
    <col min="5131" max="5131" width="9.28515625" style="1664" bestFit="1" customWidth="1"/>
    <col min="5132" max="5135" width="9.28515625" style="1664" customWidth="1"/>
    <col min="5136" max="5377" width="9.140625" style="1664"/>
    <col min="5378" max="5378" width="3.7109375" style="1664" customWidth="1"/>
    <col min="5379" max="5379" width="14.42578125" style="1664" customWidth="1"/>
    <col min="5380" max="5380" width="9" style="1664" bestFit="1" customWidth="1"/>
    <col min="5381" max="5381" width="23.42578125" style="1664" customWidth="1"/>
    <col min="5382" max="5386" width="10.7109375" style="1664" bestFit="1" customWidth="1"/>
    <col min="5387" max="5387" width="9.28515625" style="1664" bestFit="1" customWidth="1"/>
    <col min="5388" max="5391" width="9.28515625" style="1664" customWidth="1"/>
    <col min="5392" max="5633" width="9.140625" style="1664"/>
    <col min="5634" max="5634" width="3.7109375" style="1664" customWidth="1"/>
    <col min="5635" max="5635" width="14.42578125" style="1664" customWidth="1"/>
    <col min="5636" max="5636" width="9" style="1664" bestFit="1" customWidth="1"/>
    <col min="5637" max="5637" width="23.42578125" style="1664" customWidth="1"/>
    <col min="5638" max="5642" width="10.7109375" style="1664" bestFit="1" customWidth="1"/>
    <col min="5643" max="5643" width="9.28515625" style="1664" bestFit="1" customWidth="1"/>
    <col min="5644" max="5647" width="9.28515625" style="1664" customWidth="1"/>
    <col min="5648" max="5889" width="9.140625" style="1664"/>
    <col min="5890" max="5890" width="3.7109375" style="1664" customWidth="1"/>
    <col min="5891" max="5891" width="14.42578125" style="1664" customWidth="1"/>
    <col min="5892" max="5892" width="9" style="1664" bestFit="1" customWidth="1"/>
    <col min="5893" max="5893" width="23.42578125" style="1664" customWidth="1"/>
    <col min="5894" max="5898" width="10.7109375" style="1664" bestFit="1" customWidth="1"/>
    <col min="5899" max="5899" width="9.28515625" style="1664" bestFit="1" customWidth="1"/>
    <col min="5900" max="5903" width="9.28515625" style="1664" customWidth="1"/>
    <col min="5904" max="6145" width="9.140625" style="1664"/>
    <col min="6146" max="6146" width="3.7109375" style="1664" customWidth="1"/>
    <col min="6147" max="6147" width="14.42578125" style="1664" customWidth="1"/>
    <col min="6148" max="6148" width="9" style="1664" bestFit="1" customWidth="1"/>
    <col min="6149" max="6149" width="23.42578125" style="1664" customWidth="1"/>
    <col min="6150" max="6154" width="10.7109375" style="1664" bestFit="1" customWidth="1"/>
    <col min="6155" max="6155" width="9.28515625" style="1664" bestFit="1" customWidth="1"/>
    <col min="6156" max="6159" width="9.28515625" style="1664" customWidth="1"/>
    <col min="6160" max="6401" width="9.140625" style="1664"/>
    <col min="6402" max="6402" width="3.7109375" style="1664" customWidth="1"/>
    <col min="6403" max="6403" width="14.42578125" style="1664" customWidth="1"/>
    <col min="6404" max="6404" width="9" style="1664" bestFit="1" customWidth="1"/>
    <col min="6405" max="6405" width="23.42578125" style="1664" customWidth="1"/>
    <col min="6406" max="6410" width="10.7109375" style="1664" bestFit="1" customWidth="1"/>
    <col min="6411" max="6411" width="9.28515625" style="1664" bestFit="1" customWidth="1"/>
    <col min="6412" max="6415" width="9.28515625" style="1664" customWidth="1"/>
    <col min="6416" max="6657" width="9.140625" style="1664"/>
    <col min="6658" max="6658" width="3.7109375" style="1664" customWidth="1"/>
    <col min="6659" max="6659" width="14.42578125" style="1664" customWidth="1"/>
    <col min="6660" max="6660" width="9" style="1664" bestFit="1" customWidth="1"/>
    <col min="6661" max="6661" width="23.42578125" style="1664" customWidth="1"/>
    <col min="6662" max="6666" width="10.7109375" style="1664" bestFit="1" customWidth="1"/>
    <col min="6667" max="6667" width="9.28515625" style="1664" bestFit="1" customWidth="1"/>
    <col min="6668" max="6671" width="9.28515625" style="1664" customWidth="1"/>
    <col min="6672" max="6913" width="9.140625" style="1664"/>
    <col min="6914" max="6914" width="3.7109375" style="1664" customWidth="1"/>
    <col min="6915" max="6915" width="14.42578125" style="1664" customWidth="1"/>
    <col min="6916" max="6916" width="9" style="1664" bestFit="1" customWidth="1"/>
    <col min="6917" max="6917" width="23.42578125" style="1664" customWidth="1"/>
    <col min="6918" max="6922" width="10.7109375" style="1664" bestFit="1" customWidth="1"/>
    <col min="6923" max="6923" width="9.28515625" style="1664" bestFit="1" customWidth="1"/>
    <col min="6924" max="6927" width="9.28515625" style="1664" customWidth="1"/>
    <col min="6928" max="7169" width="9.140625" style="1664"/>
    <col min="7170" max="7170" width="3.7109375" style="1664" customWidth="1"/>
    <col min="7171" max="7171" width="14.42578125" style="1664" customWidth="1"/>
    <col min="7172" max="7172" width="9" style="1664" bestFit="1" customWidth="1"/>
    <col min="7173" max="7173" width="23.42578125" style="1664" customWidth="1"/>
    <col min="7174" max="7178" width="10.7109375" style="1664" bestFit="1" customWidth="1"/>
    <col min="7179" max="7179" width="9.28515625" style="1664" bestFit="1" customWidth="1"/>
    <col min="7180" max="7183" width="9.28515625" style="1664" customWidth="1"/>
    <col min="7184" max="7425" width="9.140625" style="1664"/>
    <col min="7426" max="7426" width="3.7109375" style="1664" customWidth="1"/>
    <col min="7427" max="7427" width="14.42578125" style="1664" customWidth="1"/>
    <col min="7428" max="7428" width="9" style="1664" bestFit="1" customWidth="1"/>
    <col min="7429" max="7429" width="23.42578125" style="1664" customWidth="1"/>
    <col min="7430" max="7434" width="10.7109375" style="1664" bestFit="1" customWidth="1"/>
    <col min="7435" max="7435" width="9.28515625" style="1664" bestFit="1" customWidth="1"/>
    <col min="7436" max="7439" width="9.28515625" style="1664" customWidth="1"/>
    <col min="7440" max="7681" width="9.140625" style="1664"/>
    <col min="7682" max="7682" width="3.7109375" style="1664" customWidth="1"/>
    <col min="7683" max="7683" width="14.42578125" style="1664" customWidth="1"/>
    <col min="7684" max="7684" width="9" style="1664" bestFit="1" customWidth="1"/>
    <col min="7685" max="7685" width="23.42578125" style="1664" customWidth="1"/>
    <col min="7686" max="7690" width="10.7109375" style="1664" bestFit="1" customWidth="1"/>
    <col min="7691" max="7691" width="9.28515625" style="1664" bestFit="1" customWidth="1"/>
    <col min="7692" max="7695" width="9.28515625" style="1664" customWidth="1"/>
    <col min="7696" max="7937" width="9.140625" style="1664"/>
    <col min="7938" max="7938" width="3.7109375" style="1664" customWidth="1"/>
    <col min="7939" max="7939" width="14.42578125" style="1664" customWidth="1"/>
    <col min="7940" max="7940" width="9" style="1664" bestFit="1" customWidth="1"/>
    <col min="7941" max="7941" width="23.42578125" style="1664" customWidth="1"/>
    <col min="7942" max="7946" width="10.7109375" style="1664" bestFit="1" customWidth="1"/>
    <col min="7947" max="7947" width="9.28515625" style="1664" bestFit="1" customWidth="1"/>
    <col min="7948" max="7951" width="9.28515625" style="1664" customWidth="1"/>
    <col min="7952" max="8193" width="9.140625" style="1664"/>
    <col min="8194" max="8194" width="3.7109375" style="1664" customWidth="1"/>
    <col min="8195" max="8195" width="14.42578125" style="1664" customWidth="1"/>
    <col min="8196" max="8196" width="9" style="1664" bestFit="1" customWidth="1"/>
    <col min="8197" max="8197" width="23.42578125" style="1664" customWidth="1"/>
    <col min="8198" max="8202" width="10.7109375" style="1664" bestFit="1" customWidth="1"/>
    <col min="8203" max="8203" width="9.28515625" style="1664" bestFit="1" customWidth="1"/>
    <col min="8204" max="8207" width="9.28515625" style="1664" customWidth="1"/>
    <col min="8208" max="8449" width="9.140625" style="1664"/>
    <col min="8450" max="8450" width="3.7109375" style="1664" customWidth="1"/>
    <col min="8451" max="8451" width="14.42578125" style="1664" customWidth="1"/>
    <col min="8452" max="8452" width="9" style="1664" bestFit="1" customWidth="1"/>
    <col min="8453" max="8453" width="23.42578125" style="1664" customWidth="1"/>
    <col min="8454" max="8458" width="10.7109375" style="1664" bestFit="1" customWidth="1"/>
    <col min="8459" max="8459" width="9.28515625" style="1664" bestFit="1" customWidth="1"/>
    <col min="8460" max="8463" width="9.28515625" style="1664" customWidth="1"/>
    <col min="8464" max="8705" width="9.140625" style="1664"/>
    <col min="8706" max="8706" width="3.7109375" style="1664" customWidth="1"/>
    <col min="8707" max="8707" width="14.42578125" style="1664" customWidth="1"/>
    <col min="8708" max="8708" width="9" style="1664" bestFit="1" customWidth="1"/>
    <col min="8709" max="8709" width="23.42578125" style="1664" customWidth="1"/>
    <col min="8710" max="8714" width="10.7109375" style="1664" bestFit="1" customWidth="1"/>
    <col min="8715" max="8715" width="9.28515625" style="1664" bestFit="1" customWidth="1"/>
    <col min="8716" max="8719" width="9.28515625" style="1664" customWidth="1"/>
    <col min="8720" max="8961" width="9.140625" style="1664"/>
    <col min="8962" max="8962" width="3.7109375" style="1664" customWidth="1"/>
    <col min="8963" max="8963" width="14.42578125" style="1664" customWidth="1"/>
    <col min="8964" max="8964" width="9" style="1664" bestFit="1" customWidth="1"/>
    <col min="8965" max="8965" width="23.42578125" style="1664" customWidth="1"/>
    <col min="8966" max="8970" width="10.7109375" style="1664" bestFit="1" customWidth="1"/>
    <col min="8971" max="8971" width="9.28515625" style="1664" bestFit="1" customWidth="1"/>
    <col min="8972" max="8975" width="9.28515625" style="1664" customWidth="1"/>
    <col min="8976" max="9217" width="9.140625" style="1664"/>
    <col min="9218" max="9218" width="3.7109375" style="1664" customWidth="1"/>
    <col min="9219" max="9219" width="14.42578125" style="1664" customWidth="1"/>
    <col min="9220" max="9220" width="9" style="1664" bestFit="1" customWidth="1"/>
    <col min="9221" max="9221" width="23.42578125" style="1664" customWidth="1"/>
    <col min="9222" max="9226" width="10.7109375" style="1664" bestFit="1" customWidth="1"/>
    <col min="9227" max="9227" width="9.28515625" style="1664" bestFit="1" customWidth="1"/>
    <col min="9228" max="9231" width="9.28515625" style="1664" customWidth="1"/>
    <col min="9232" max="9473" width="9.140625" style="1664"/>
    <col min="9474" max="9474" width="3.7109375" style="1664" customWidth="1"/>
    <col min="9475" max="9475" width="14.42578125" style="1664" customWidth="1"/>
    <col min="9476" max="9476" width="9" style="1664" bestFit="1" customWidth="1"/>
    <col min="9477" max="9477" width="23.42578125" style="1664" customWidth="1"/>
    <col min="9478" max="9482" width="10.7109375" style="1664" bestFit="1" customWidth="1"/>
    <col min="9483" max="9483" width="9.28515625" style="1664" bestFit="1" customWidth="1"/>
    <col min="9484" max="9487" width="9.28515625" style="1664" customWidth="1"/>
    <col min="9488" max="9729" width="9.140625" style="1664"/>
    <col min="9730" max="9730" width="3.7109375" style="1664" customWidth="1"/>
    <col min="9731" max="9731" width="14.42578125" style="1664" customWidth="1"/>
    <col min="9732" max="9732" width="9" style="1664" bestFit="1" customWidth="1"/>
    <col min="9733" max="9733" width="23.42578125" style="1664" customWidth="1"/>
    <col min="9734" max="9738" width="10.7109375" style="1664" bestFit="1" customWidth="1"/>
    <col min="9739" max="9739" width="9.28515625" style="1664" bestFit="1" customWidth="1"/>
    <col min="9740" max="9743" width="9.28515625" style="1664" customWidth="1"/>
    <col min="9744" max="9985" width="9.140625" style="1664"/>
    <col min="9986" max="9986" width="3.7109375" style="1664" customWidth="1"/>
    <col min="9987" max="9987" width="14.42578125" style="1664" customWidth="1"/>
    <col min="9988" max="9988" width="9" style="1664" bestFit="1" customWidth="1"/>
    <col min="9989" max="9989" width="23.42578125" style="1664" customWidth="1"/>
    <col min="9990" max="9994" width="10.7109375" style="1664" bestFit="1" customWidth="1"/>
    <col min="9995" max="9995" width="9.28515625" style="1664" bestFit="1" customWidth="1"/>
    <col min="9996" max="9999" width="9.28515625" style="1664" customWidth="1"/>
    <col min="10000" max="10241" width="9.140625" style="1664"/>
    <col min="10242" max="10242" width="3.7109375" style="1664" customWidth="1"/>
    <col min="10243" max="10243" width="14.42578125" style="1664" customWidth="1"/>
    <col min="10244" max="10244" width="9" style="1664" bestFit="1" customWidth="1"/>
    <col min="10245" max="10245" width="23.42578125" style="1664" customWidth="1"/>
    <col min="10246" max="10250" width="10.7109375" style="1664" bestFit="1" customWidth="1"/>
    <col min="10251" max="10251" width="9.28515625" style="1664" bestFit="1" customWidth="1"/>
    <col min="10252" max="10255" width="9.28515625" style="1664" customWidth="1"/>
    <col min="10256" max="10497" width="9.140625" style="1664"/>
    <col min="10498" max="10498" width="3.7109375" style="1664" customWidth="1"/>
    <col min="10499" max="10499" width="14.42578125" style="1664" customWidth="1"/>
    <col min="10500" max="10500" width="9" style="1664" bestFit="1" customWidth="1"/>
    <col min="10501" max="10501" width="23.42578125" style="1664" customWidth="1"/>
    <col min="10502" max="10506" width="10.7109375" style="1664" bestFit="1" customWidth="1"/>
    <col min="10507" max="10507" width="9.28515625" style="1664" bestFit="1" customWidth="1"/>
    <col min="10508" max="10511" width="9.28515625" style="1664" customWidth="1"/>
    <col min="10512" max="10753" width="9.140625" style="1664"/>
    <col min="10754" max="10754" width="3.7109375" style="1664" customWidth="1"/>
    <col min="10755" max="10755" width="14.42578125" style="1664" customWidth="1"/>
    <col min="10756" max="10756" width="9" style="1664" bestFit="1" customWidth="1"/>
    <col min="10757" max="10757" width="23.42578125" style="1664" customWidth="1"/>
    <col min="10758" max="10762" width="10.7109375" style="1664" bestFit="1" customWidth="1"/>
    <col min="10763" max="10763" width="9.28515625" style="1664" bestFit="1" customWidth="1"/>
    <col min="10764" max="10767" width="9.28515625" style="1664" customWidth="1"/>
    <col min="10768" max="11009" width="9.140625" style="1664"/>
    <col min="11010" max="11010" width="3.7109375" style="1664" customWidth="1"/>
    <col min="11011" max="11011" width="14.42578125" style="1664" customWidth="1"/>
    <col min="11012" max="11012" width="9" style="1664" bestFit="1" customWidth="1"/>
    <col min="11013" max="11013" width="23.42578125" style="1664" customWidth="1"/>
    <col min="11014" max="11018" width="10.7109375" style="1664" bestFit="1" customWidth="1"/>
    <col min="11019" max="11019" width="9.28515625" style="1664" bestFit="1" customWidth="1"/>
    <col min="11020" max="11023" width="9.28515625" style="1664" customWidth="1"/>
    <col min="11024" max="11265" width="9.140625" style="1664"/>
    <col min="11266" max="11266" width="3.7109375" style="1664" customWidth="1"/>
    <col min="11267" max="11267" width="14.42578125" style="1664" customWidth="1"/>
    <col min="11268" max="11268" width="9" style="1664" bestFit="1" customWidth="1"/>
    <col min="11269" max="11269" width="23.42578125" style="1664" customWidth="1"/>
    <col min="11270" max="11274" width="10.7109375" style="1664" bestFit="1" customWidth="1"/>
    <col min="11275" max="11275" width="9.28515625" style="1664" bestFit="1" customWidth="1"/>
    <col min="11276" max="11279" width="9.28515625" style="1664" customWidth="1"/>
    <col min="11280" max="11521" width="9.140625" style="1664"/>
    <col min="11522" max="11522" width="3.7109375" style="1664" customWidth="1"/>
    <col min="11523" max="11523" width="14.42578125" style="1664" customWidth="1"/>
    <col min="11524" max="11524" width="9" style="1664" bestFit="1" customWidth="1"/>
    <col min="11525" max="11525" width="23.42578125" style="1664" customWidth="1"/>
    <col min="11526" max="11530" width="10.7109375" style="1664" bestFit="1" customWidth="1"/>
    <col min="11531" max="11531" width="9.28515625" style="1664" bestFit="1" customWidth="1"/>
    <col min="11532" max="11535" width="9.28515625" style="1664" customWidth="1"/>
    <col min="11536" max="11777" width="9.140625" style="1664"/>
    <col min="11778" max="11778" width="3.7109375" style="1664" customWidth="1"/>
    <col min="11779" max="11779" width="14.42578125" style="1664" customWidth="1"/>
    <col min="11780" max="11780" width="9" style="1664" bestFit="1" customWidth="1"/>
    <col min="11781" max="11781" width="23.42578125" style="1664" customWidth="1"/>
    <col min="11782" max="11786" width="10.7109375" style="1664" bestFit="1" customWidth="1"/>
    <col min="11787" max="11787" width="9.28515625" style="1664" bestFit="1" customWidth="1"/>
    <col min="11788" max="11791" width="9.28515625" style="1664" customWidth="1"/>
    <col min="11792" max="12033" width="9.140625" style="1664"/>
    <col min="12034" max="12034" width="3.7109375" style="1664" customWidth="1"/>
    <col min="12035" max="12035" width="14.42578125" style="1664" customWidth="1"/>
    <col min="12036" max="12036" width="9" style="1664" bestFit="1" customWidth="1"/>
    <col min="12037" max="12037" width="23.42578125" style="1664" customWidth="1"/>
    <col min="12038" max="12042" width="10.7109375" style="1664" bestFit="1" customWidth="1"/>
    <col min="12043" max="12043" width="9.28515625" style="1664" bestFit="1" customWidth="1"/>
    <col min="12044" max="12047" width="9.28515625" style="1664" customWidth="1"/>
    <col min="12048" max="12289" width="9.140625" style="1664"/>
    <col min="12290" max="12290" width="3.7109375" style="1664" customWidth="1"/>
    <col min="12291" max="12291" width="14.42578125" style="1664" customWidth="1"/>
    <col min="12292" max="12292" width="9" style="1664" bestFit="1" customWidth="1"/>
    <col min="12293" max="12293" width="23.42578125" style="1664" customWidth="1"/>
    <col min="12294" max="12298" width="10.7109375" style="1664" bestFit="1" customWidth="1"/>
    <col min="12299" max="12299" width="9.28515625" style="1664" bestFit="1" customWidth="1"/>
    <col min="12300" max="12303" width="9.28515625" style="1664" customWidth="1"/>
    <col min="12304" max="12545" width="9.140625" style="1664"/>
    <col min="12546" max="12546" width="3.7109375" style="1664" customWidth="1"/>
    <col min="12547" max="12547" width="14.42578125" style="1664" customWidth="1"/>
    <col min="12548" max="12548" width="9" style="1664" bestFit="1" customWidth="1"/>
    <col min="12549" max="12549" width="23.42578125" style="1664" customWidth="1"/>
    <col min="12550" max="12554" width="10.7109375" style="1664" bestFit="1" customWidth="1"/>
    <col min="12555" max="12555" width="9.28515625" style="1664" bestFit="1" customWidth="1"/>
    <col min="12556" max="12559" width="9.28515625" style="1664" customWidth="1"/>
    <col min="12560" max="12801" width="9.140625" style="1664"/>
    <col min="12802" max="12802" width="3.7109375" style="1664" customWidth="1"/>
    <col min="12803" max="12803" width="14.42578125" style="1664" customWidth="1"/>
    <col min="12804" max="12804" width="9" style="1664" bestFit="1" customWidth="1"/>
    <col min="12805" max="12805" width="23.42578125" style="1664" customWidth="1"/>
    <col min="12806" max="12810" width="10.7109375" style="1664" bestFit="1" customWidth="1"/>
    <col min="12811" max="12811" width="9.28515625" style="1664" bestFit="1" customWidth="1"/>
    <col min="12812" max="12815" width="9.28515625" style="1664" customWidth="1"/>
    <col min="12816" max="13057" width="9.140625" style="1664"/>
    <col min="13058" max="13058" width="3.7109375" style="1664" customWidth="1"/>
    <col min="13059" max="13059" width="14.42578125" style="1664" customWidth="1"/>
    <col min="13060" max="13060" width="9" style="1664" bestFit="1" customWidth="1"/>
    <col min="13061" max="13061" width="23.42578125" style="1664" customWidth="1"/>
    <col min="13062" max="13066" width="10.7109375" style="1664" bestFit="1" customWidth="1"/>
    <col min="13067" max="13067" width="9.28515625" style="1664" bestFit="1" customWidth="1"/>
    <col min="13068" max="13071" width="9.28515625" style="1664" customWidth="1"/>
    <col min="13072" max="13313" width="9.140625" style="1664"/>
    <col min="13314" max="13314" width="3.7109375" style="1664" customWidth="1"/>
    <col min="13315" max="13315" width="14.42578125" style="1664" customWidth="1"/>
    <col min="13316" max="13316" width="9" style="1664" bestFit="1" customWidth="1"/>
    <col min="13317" max="13317" width="23.42578125" style="1664" customWidth="1"/>
    <col min="13318" max="13322" width="10.7109375" style="1664" bestFit="1" customWidth="1"/>
    <col min="13323" max="13323" width="9.28515625" style="1664" bestFit="1" customWidth="1"/>
    <col min="13324" max="13327" width="9.28515625" style="1664" customWidth="1"/>
    <col min="13328" max="13569" width="9.140625" style="1664"/>
    <col min="13570" max="13570" width="3.7109375" style="1664" customWidth="1"/>
    <col min="13571" max="13571" width="14.42578125" style="1664" customWidth="1"/>
    <col min="13572" max="13572" width="9" style="1664" bestFit="1" customWidth="1"/>
    <col min="13573" max="13573" width="23.42578125" style="1664" customWidth="1"/>
    <col min="13574" max="13578" width="10.7109375" style="1664" bestFit="1" customWidth="1"/>
    <col min="13579" max="13579" width="9.28515625" style="1664" bestFit="1" customWidth="1"/>
    <col min="13580" max="13583" width="9.28515625" style="1664" customWidth="1"/>
    <col min="13584" max="13825" width="9.140625" style="1664"/>
    <col min="13826" max="13826" width="3.7109375" style="1664" customWidth="1"/>
    <col min="13827" max="13827" width="14.42578125" style="1664" customWidth="1"/>
    <col min="13828" max="13828" width="9" style="1664" bestFit="1" customWidth="1"/>
    <col min="13829" max="13829" width="23.42578125" style="1664" customWidth="1"/>
    <col min="13830" max="13834" width="10.7109375" style="1664" bestFit="1" customWidth="1"/>
    <col min="13835" max="13835" width="9.28515625" style="1664" bestFit="1" customWidth="1"/>
    <col min="13836" max="13839" width="9.28515625" style="1664" customWidth="1"/>
    <col min="13840" max="14081" width="9.140625" style="1664"/>
    <col min="14082" max="14082" width="3.7109375" style="1664" customWidth="1"/>
    <col min="14083" max="14083" width="14.42578125" style="1664" customWidth="1"/>
    <col min="14084" max="14084" width="9" style="1664" bestFit="1" customWidth="1"/>
    <col min="14085" max="14085" width="23.42578125" style="1664" customWidth="1"/>
    <col min="14086" max="14090" width="10.7109375" style="1664" bestFit="1" customWidth="1"/>
    <col min="14091" max="14091" width="9.28515625" style="1664" bestFit="1" customWidth="1"/>
    <col min="14092" max="14095" width="9.28515625" style="1664" customWidth="1"/>
    <col min="14096" max="14337" width="9.140625" style="1664"/>
    <col min="14338" max="14338" width="3.7109375" style="1664" customWidth="1"/>
    <col min="14339" max="14339" width="14.42578125" style="1664" customWidth="1"/>
    <col min="14340" max="14340" width="9" style="1664" bestFit="1" customWidth="1"/>
    <col min="14341" max="14341" width="23.42578125" style="1664" customWidth="1"/>
    <col min="14342" max="14346" width="10.7109375" style="1664" bestFit="1" customWidth="1"/>
    <col min="14347" max="14347" width="9.28515625" style="1664" bestFit="1" customWidth="1"/>
    <col min="14348" max="14351" width="9.28515625" style="1664" customWidth="1"/>
    <col min="14352" max="14593" width="9.140625" style="1664"/>
    <col min="14594" max="14594" width="3.7109375" style="1664" customWidth="1"/>
    <col min="14595" max="14595" width="14.42578125" style="1664" customWidth="1"/>
    <col min="14596" max="14596" width="9" style="1664" bestFit="1" customWidth="1"/>
    <col min="14597" max="14597" width="23.42578125" style="1664" customWidth="1"/>
    <col min="14598" max="14602" width="10.7109375" style="1664" bestFit="1" customWidth="1"/>
    <col min="14603" max="14603" width="9.28515625" style="1664" bestFit="1" customWidth="1"/>
    <col min="14604" max="14607" width="9.28515625" style="1664" customWidth="1"/>
    <col min="14608" max="14849" width="9.140625" style="1664"/>
    <col min="14850" max="14850" width="3.7109375" style="1664" customWidth="1"/>
    <col min="14851" max="14851" width="14.42578125" style="1664" customWidth="1"/>
    <col min="14852" max="14852" width="9" style="1664" bestFit="1" customWidth="1"/>
    <col min="14853" max="14853" width="23.42578125" style="1664" customWidth="1"/>
    <col min="14854" max="14858" width="10.7109375" style="1664" bestFit="1" customWidth="1"/>
    <col min="14859" max="14859" width="9.28515625" style="1664" bestFit="1" customWidth="1"/>
    <col min="14860" max="14863" width="9.28515625" style="1664" customWidth="1"/>
    <col min="14864" max="15105" width="9.140625" style="1664"/>
    <col min="15106" max="15106" width="3.7109375" style="1664" customWidth="1"/>
    <col min="15107" max="15107" width="14.42578125" style="1664" customWidth="1"/>
    <col min="15108" max="15108" width="9" style="1664" bestFit="1" customWidth="1"/>
    <col min="15109" max="15109" width="23.42578125" style="1664" customWidth="1"/>
    <col min="15110" max="15114" width="10.7109375" style="1664" bestFit="1" customWidth="1"/>
    <col min="15115" max="15115" width="9.28515625" style="1664" bestFit="1" customWidth="1"/>
    <col min="15116" max="15119" width="9.28515625" style="1664" customWidth="1"/>
    <col min="15120" max="15361" width="9.140625" style="1664"/>
    <col min="15362" max="15362" width="3.7109375" style="1664" customWidth="1"/>
    <col min="15363" max="15363" width="14.42578125" style="1664" customWidth="1"/>
    <col min="15364" max="15364" width="9" style="1664" bestFit="1" customWidth="1"/>
    <col min="15365" max="15365" width="23.42578125" style="1664" customWidth="1"/>
    <col min="15366" max="15370" width="10.7109375" style="1664" bestFit="1" customWidth="1"/>
    <col min="15371" max="15371" width="9.28515625" style="1664" bestFit="1" customWidth="1"/>
    <col min="15372" max="15375" width="9.28515625" style="1664" customWidth="1"/>
    <col min="15376" max="15617" width="9.140625" style="1664"/>
    <col min="15618" max="15618" width="3.7109375" style="1664" customWidth="1"/>
    <col min="15619" max="15619" width="14.42578125" style="1664" customWidth="1"/>
    <col min="15620" max="15620" width="9" style="1664" bestFit="1" customWidth="1"/>
    <col min="15621" max="15621" width="23.42578125" style="1664" customWidth="1"/>
    <col min="15622" max="15626" width="10.7109375" style="1664" bestFit="1" customWidth="1"/>
    <col min="15627" max="15627" width="9.28515625" style="1664" bestFit="1" customWidth="1"/>
    <col min="15628" max="15631" width="9.28515625" style="1664" customWidth="1"/>
    <col min="15632" max="15873" width="9.140625" style="1664"/>
    <col min="15874" max="15874" width="3.7109375" style="1664" customWidth="1"/>
    <col min="15875" max="15875" width="14.42578125" style="1664" customWidth="1"/>
    <col min="15876" max="15876" width="9" style="1664" bestFit="1" customWidth="1"/>
    <col min="15877" max="15877" width="23.42578125" style="1664" customWidth="1"/>
    <col min="15878" max="15882" width="10.7109375" style="1664" bestFit="1" customWidth="1"/>
    <col min="15883" max="15883" width="9.28515625" style="1664" bestFit="1" customWidth="1"/>
    <col min="15884" max="15887" width="9.28515625" style="1664" customWidth="1"/>
    <col min="15888" max="16129" width="9.140625" style="1664"/>
    <col min="16130" max="16130" width="3.7109375" style="1664" customWidth="1"/>
    <col min="16131" max="16131" width="14.42578125" style="1664" customWidth="1"/>
    <col min="16132" max="16132" width="9" style="1664" bestFit="1" customWidth="1"/>
    <col min="16133" max="16133" width="23.42578125" style="1664" customWidth="1"/>
    <col min="16134" max="16138" width="10.7109375" style="1664" bestFit="1" customWidth="1"/>
    <col min="16139" max="16139" width="9.28515625" style="1664" bestFit="1" customWidth="1"/>
    <col min="16140" max="16143" width="9.28515625" style="1664" customWidth="1"/>
    <col min="16144" max="16384" width="9.140625" style="1664"/>
  </cols>
  <sheetData>
    <row r="2" spans="1:98" ht="15" customHeight="1" x14ac:dyDescent="0.25">
      <c r="A2" s="453">
        <v>1</v>
      </c>
      <c r="B2" s="453" t="s">
        <v>24</v>
      </c>
      <c r="C2" s="453">
        <f>1+'[31]Property crime'!C2</f>
        <v>66</v>
      </c>
      <c r="D2" s="3547" t="s">
        <v>1636</v>
      </c>
      <c r="E2" s="3548"/>
      <c r="F2" s="3548"/>
      <c r="G2" s="3548"/>
      <c r="H2" s="3548"/>
      <c r="I2" s="3548"/>
      <c r="J2" s="3548"/>
      <c r="K2" s="3548"/>
      <c r="L2" s="3548"/>
      <c r="M2" s="3548"/>
      <c r="N2" s="3548"/>
      <c r="O2" s="3548"/>
      <c r="P2" s="3548"/>
      <c r="Q2" s="3549"/>
      <c r="R2" s="1697"/>
      <c r="S2" s="1697"/>
      <c r="T2" s="1697"/>
      <c r="U2" s="1697"/>
      <c r="V2" s="1697"/>
      <c r="W2" s="892"/>
      <c r="X2" s="892"/>
      <c r="Y2" s="892"/>
      <c r="Z2" s="892"/>
      <c r="AA2" s="892"/>
      <c r="AB2" s="892"/>
      <c r="AC2" s="892"/>
      <c r="AD2" s="892"/>
      <c r="AE2" s="892"/>
      <c r="AF2" s="892"/>
      <c r="AG2" s="892"/>
      <c r="AH2" s="892"/>
      <c r="AI2" s="892"/>
      <c r="AJ2" s="892"/>
      <c r="AK2" s="892"/>
      <c r="AL2" s="892"/>
      <c r="AM2" s="892"/>
      <c r="AN2" s="892"/>
      <c r="AO2" s="892"/>
      <c r="AP2" s="892"/>
      <c r="AQ2" s="892"/>
      <c r="AR2" s="892"/>
      <c r="AS2" s="892"/>
      <c r="AT2" s="892"/>
      <c r="AU2" s="892"/>
      <c r="AV2" s="892"/>
      <c r="AW2" s="892"/>
      <c r="AX2" s="892"/>
      <c r="AY2" s="892"/>
      <c r="AZ2" s="892"/>
      <c r="BA2" s="892"/>
      <c r="BB2" s="892"/>
      <c r="BC2" s="892"/>
      <c r="BD2" s="892"/>
      <c r="BE2" s="892"/>
      <c r="BF2" s="892"/>
      <c r="BG2" s="892"/>
      <c r="BH2" s="892"/>
      <c r="BI2" s="892"/>
      <c r="BJ2" s="892"/>
      <c r="BK2" s="892"/>
      <c r="BL2" s="892"/>
      <c r="BM2" s="892"/>
      <c r="BN2" s="892"/>
      <c r="BO2" s="892"/>
      <c r="BP2" s="892"/>
      <c r="BQ2" s="892"/>
      <c r="BR2" s="892"/>
      <c r="BS2" s="892"/>
      <c r="BT2" s="892"/>
      <c r="BU2" s="892"/>
      <c r="BV2" s="892"/>
      <c r="BW2" s="892"/>
      <c r="BX2" s="892"/>
      <c r="BY2" s="892"/>
      <c r="BZ2" s="892"/>
      <c r="CA2" s="892"/>
      <c r="CB2" s="892"/>
      <c r="CC2" s="892"/>
      <c r="CD2" s="892"/>
      <c r="CE2" s="892"/>
      <c r="CF2" s="892"/>
      <c r="CG2" s="892"/>
      <c r="CH2" s="892"/>
      <c r="CI2" s="892"/>
      <c r="CJ2" s="892"/>
      <c r="CK2" s="892"/>
      <c r="CL2" s="892"/>
      <c r="CM2" s="892"/>
      <c r="CN2" s="892"/>
      <c r="CO2" s="892"/>
      <c r="CP2" s="892"/>
      <c r="CQ2" s="892"/>
      <c r="CR2" s="892"/>
      <c r="CS2" s="892"/>
    </row>
    <row r="3" spans="1:98" ht="15" customHeight="1" x14ac:dyDescent="0.25">
      <c r="A3" s="453">
        <v>2</v>
      </c>
      <c r="B3" s="453" t="s">
        <v>26</v>
      </c>
      <c r="C3" s="453"/>
      <c r="D3" s="3562" t="s">
        <v>1621</v>
      </c>
      <c r="E3" s="3563"/>
      <c r="F3" s="3563"/>
      <c r="G3" s="3563"/>
      <c r="H3" s="3563"/>
      <c r="I3" s="3563"/>
      <c r="J3" s="3563"/>
      <c r="K3" s="3563"/>
      <c r="L3" s="3563"/>
      <c r="M3" s="3563"/>
      <c r="N3" s="3563"/>
      <c r="O3" s="3563"/>
      <c r="P3" s="3563"/>
      <c r="Q3" s="3564"/>
      <c r="R3" s="892"/>
      <c r="S3" s="892"/>
      <c r="T3" s="892"/>
      <c r="U3" s="892"/>
      <c r="V3" s="892"/>
      <c r="W3" s="892"/>
      <c r="X3" s="892"/>
      <c r="Y3" s="892"/>
      <c r="Z3" s="892"/>
      <c r="AA3" s="892"/>
      <c r="AB3" s="892"/>
      <c r="AC3" s="892"/>
      <c r="AD3" s="892"/>
      <c r="AE3" s="892"/>
      <c r="AF3" s="892"/>
      <c r="AG3" s="892"/>
      <c r="AH3" s="892"/>
      <c r="AI3" s="892"/>
      <c r="AJ3" s="892"/>
      <c r="AK3" s="892"/>
      <c r="AL3" s="892"/>
      <c r="AM3" s="892"/>
      <c r="AN3" s="892"/>
      <c r="AO3" s="892"/>
      <c r="AP3" s="892"/>
      <c r="AQ3" s="892"/>
      <c r="AR3" s="892"/>
      <c r="AS3" s="892"/>
      <c r="AT3" s="892"/>
      <c r="AU3" s="892"/>
      <c r="AV3" s="892"/>
      <c r="AW3" s="892"/>
      <c r="AX3" s="892"/>
      <c r="AY3" s="892"/>
      <c r="AZ3" s="892"/>
      <c r="BA3" s="892"/>
      <c r="BB3" s="892"/>
      <c r="BC3" s="892"/>
      <c r="BD3" s="892"/>
      <c r="BE3" s="892"/>
      <c r="BF3" s="892"/>
      <c r="BG3" s="892"/>
      <c r="BH3" s="892"/>
      <c r="BI3" s="892"/>
      <c r="BJ3" s="892"/>
      <c r="BK3" s="892"/>
      <c r="BL3" s="892"/>
      <c r="BM3" s="892"/>
      <c r="BN3" s="892"/>
      <c r="BO3" s="892"/>
      <c r="BP3" s="892"/>
      <c r="BQ3" s="892"/>
      <c r="BR3" s="892"/>
      <c r="BS3" s="892"/>
      <c r="BT3" s="892"/>
      <c r="BU3" s="892"/>
      <c r="BV3" s="892"/>
      <c r="BW3" s="892"/>
      <c r="BX3" s="892"/>
      <c r="BY3" s="892"/>
      <c r="BZ3" s="892"/>
      <c r="CA3" s="892"/>
      <c r="CB3" s="892"/>
      <c r="CC3" s="892"/>
      <c r="CD3" s="892"/>
      <c r="CE3" s="892"/>
      <c r="CF3" s="892"/>
      <c r="CG3" s="892"/>
      <c r="CH3" s="892"/>
      <c r="CI3" s="892"/>
      <c r="CJ3" s="892"/>
      <c r="CK3" s="892"/>
      <c r="CL3" s="892"/>
      <c r="CM3" s="892"/>
      <c r="CN3" s="892"/>
      <c r="CO3" s="892"/>
      <c r="CP3" s="892"/>
      <c r="CQ3" s="892"/>
      <c r="CR3" s="892"/>
      <c r="CS3" s="892"/>
    </row>
    <row r="4" spans="1:98" ht="12.75" customHeight="1" x14ac:dyDescent="0.25">
      <c r="A4" s="453">
        <v>3</v>
      </c>
      <c r="B4" s="453" t="s">
        <v>28</v>
      </c>
      <c r="C4" s="453"/>
      <c r="D4" s="3562" t="s">
        <v>1637</v>
      </c>
      <c r="E4" s="3563"/>
      <c r="F4" s="3563"/>
      <c r="G4" s="3563"/>
      <c r="H4" s="3563"/>
      <c r="I4" s="3563"/>
      <c r="J4" s="3563"/>
      <c r="K4" s="3563"/>
      <c r="L4" s="3563"/>
      <c r="M4" s="3563"/>
      <c r="N4" s="3563"/>
      <c r="O4" s="3563"/>
      <c r="P4" s="3563"/>
      <c r="Q4" s="3564"/>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2"/>
      <c r="AR4" s="892"/>
      <c r="AS4" s="892"/>
      <c r="AT4" s="892"/>
      <c r="AU4" s="892"/>
      <c r="AV4" s="892"/>
      <c r="AW4" s="892"/>
      <c r="AX4" s="892"/>
      <c r="AY4" s="892"/>
      <c r="AZ4" s="892"/>
      <c r="BA4" s="892"/>
      <c r="BB4" s="892"/>
      <c r="BC4" s="892"/>
      <c r="BD4" s="892"/>
      <c r="BE4" s="892"/>
      <c r="BF4" s="892"/>
      <c r="BG4" s="892"/>
      <c r="BH4" s="892"/>
      <c r="BI4" s="892"/>
      <c r="BJ4" s="892"/>
      <c r="BK4" s="892"/>
      <c r="BL4" s="892"/>
      <c r="BM4" s="892"/>
      <c r="BN4" s="892"/>
      <c r="BO4" s="892"/>
      <c r="BP4" s="892"/>
      <c r="BQ4" s="892"/>
      <c r="BR4" s="892"/>
      <c r="BS4" s="892"/>
      <c r="BT4" s="892"/>
      <c r="BU4" s="892"/>
      <c r="BV4" s="892"/>
      <c r="BW4" s="892"/>
      <c r="BX4" s="892"/>
      <c r="BY4" s="892"/>
      <c r="BZ4" s="892"/>
      <c r="CA4" s="892"/>
      <c r="CB4" s="892"/>
      <c r="CC4" s="892"/>
      <c r="CD4" s="892"/>
      <c r="CE4" s="892"/>
      <c r="CF4" s="892"/>
      <c r="CG4" s="892"/>
      <c r="CH4" s="892"/>
      <c r="CI4" s="892"/>
      <c r="CJ4" s="892"/>
      <c r="CK4" s="892"/>
      <c r="CL4" s="892"/>
      <c r="CM4" s="892"/>
      <c r="CN4" s="892"/>
      <c r="CO4" s="892"/>
      <c r="CP4" s="892"/>
      <c r="CQ4" s="892"/>
      <c r="CR4" s="892"/>
      <c r="CS4" s="892"/>
    </row>
    <row r="5" spans="1:98" x14ac:dyDescent="0.25">
      <c r="A5" s="1170"/>
      <c r="B5" s="1170"/>
      <c r="C5" s="1170"/>
      <c r="D5" s="401"/>
      <c r="E5" s="401"/>
      <c r="Q5" s="912"/>
      <c r="R5" s="892"/>
      <c r="S5" s="892"/>
      <c r="T5" s="892"/>
      <c r="U5" s="892"/>
      <c r="V5" s="892"/>
      <c r="W5" s="892"/>
      <c r="X5" s="1514"/>
      <c r="Y5" s="892"/>
      <c r="Z5" s="892"/>
      <c r="AA5" s="892"/>
      <c r="AB5" s="892"/>
      <c r="AC5" s="892"/>
      <c r="AD5" s="892"/>
      <c r="AE5" s="892"/>
      <c r="AF5" s="892"/>
      <c r="AG5" s="892"/>
      <c r="AH5" s="892"/>
      <c r="AI5" s="892"/>
      <c r="AJ5" s="892"/>
      <c r="AK5" s="892"/>
      <c r="AL5" s="892"/>
      <c r="AM5" s="892"/>
      <c r="AN5" s="892"/>
      <c r="AO5" s="892"/>
      <c r="AP5" s="892"/>
      <c r="AQ5" s="892"/>
      <c r="AR5" s="892"/>
      <c r="AS5" s="892"/>
      <c r="AT5" s="892"/>
      <c r="AU5" s="892"/>
      <c r="AV5" s="892"/>
      <c r="AW5" s="892"/>
      <c r="AX5" s="892"/>
      <c r="AY5" s="892"/>
      <c r="AZ5" s="892"/>
      <c r="BA5" s="892"/>
      <c r="BB5" s="892"/>
      <c r="BC5" s="892"/>
      <c r="BD5" s="892"/>
      <c r="BE5" s="892"/>
      <c r="BF5" s="892"/>
      <c r="BG5" s="892"/>
      <c r="BH5" s="892"/>
      <c r="BI5" s="892"/>
      <c r="BJ5" s="892"/>
      <c r="BK5" s="892"/>
      <c r="BL5" s="892"/>
      <c r="BM5" s="892"/>
      <c r="BN5" s="892"/>
      <c r="BO5" s="892"/>
      <c r="BP5" s="892"/>
      <c r="BQ5" s="892"/>
      <c r="BR5" s="892"/>
      <c r="BS5" s="892"/>
      <c r="BT5" s="892"/>
      <c r="BU5" s="892"/>
      <c r="BV5" s="892"/>
      <c r="BW5" s="892"/>
      <c r="BX5" s="892"/>
      <c r="BY5" s="892"/>
      <c r="BZ5" s="892"/>
      <c r="CA5" s="892"/>
      <c r="CB5" s="892"/>
      <c r="CC5" s="892"/>
      <c r="CD5" s="892"/>
      <c r="CE5" s="892"/>
      <c r="CF5" s="892"/>
      <c r="CG5" s="892"/>
      <c r="CH5" s="892"/>
      <c r="CI5" s="892"/>
      <c r="CJ5" s="892"/>
      <c r="CK5" s="892"/>
      <c r="CL5" s="892"/>
      <c r="CM5" s="892"/>
      <c r="CN5" s="892"/>
      <c r="CO5" s="892"/>
      <c r="CP5" s="892"/>
      <c r="CQ5" s="892"/>
      <c r="CR5" s="892"/>
      <c r="CS5" s="892"/>
    </row>
    <row r="6" spans="1:98" x14ac:dyDescent="0.25">
      <c r="A6" s="453">
        <v>4</v>
      </c>
      <c r="B6" s="650" t="s">
        <v>1</v>
      </c>
      <c r="C6" s="650"/>
      <c r="D6" s="425" t="s">
        <v>93</v>
      </c>
      <c r="E6" s="425" t="s">
        <v>1638</v>
      </c>
      <c r="F6" s="1668"/>
      <c r="Q6" s="912"/>
      <c r="R6" s="892"/>
      <c r="S6" s="892"/>
      <c r="T6" s="892"/>
      <c r="U6" s="892"/>
      <c r="V6" s="892"/>
      <c r="W6" s="892"/>
      <c r="X6" s="892"/>
      <c r="Y6" s="892"/>
      <c r="Z6" s="892"/>
      <c r="AA6" s="892"/>
      <c r="AB6" s="892"/>
      <c r="AC6" s="892"/>
      <c r="AD6" s="892"/>
      <c r="AE6" s="892"/>
      <c r="AF6" s="892"/>
      <c r="AG6" s="892"/>
      <c r="AH6" s="892"/>
      <c r="AI6" s="892"/>
      <c r="AJ6" s="892"/>
      <c r="AK6" s="892"/>
      <c r="AL6" s="892"/>
      <c r="AM6" s="892"/>
      <c r="AN6" s="892"/>
      <c r="AO6" s="892"/>
      <c r="AP6" s="892"/>
      <c r="AQ6" s="892"/>
      <c r="AR6" s="892"/>
      <c r="AS6" s="892"/>
      <c r="AT6" s="892"/>
      <c r="AU6" s="892"/>
      <c r="AV6" s="892"/>
      <c r="AW6" s="892"/>
      <c r="AX6" s="892"/>
      <c r="AY6" s="892"/>
      <c r="AZ6" s="892"/>
      <c r="BA6" s="892"/>
      <c r="BB6" s="892"/>
      <c r="BC6" s="892"/>
      <c r="BD6" s="892"/>
      <c r="BE6" s="892"/>
      <c r="BF6" s="892"/>
      <c r="BG6" s="892"/>
      <c r="BH6" s="892"/>
      <c r="BI6" s="892"/>
      <c r="BJ6" s="892"/>
      <c r="BK6" s="892"/>
      <c r="BL6" s="892"/>
      <c r="BM6" s="892"/>
      <c r="BN6" s="892"/>
      <c r="BO6" s="892"/>
      <c r="BP6" s="892"/>
      <c r="BQ6" s="892"/>
      <c r="BR6" s="892"/>
      <c r="BS6" s="892"/>
      <c r="BT6" s="892"/>
      <c r="BU6" s="892"/>
      <c r="BV6" s="892"/>
      <c r="BW6" s="892"/>
      <c r="BX6" s="892"/>
      <c r="BY6" s="892"/>
      <c r="BZ6" s="892"/>
      <c r="CA6" s="892"/>
      <c r="CB6" s="892"/>
      <c r="CC6" s="892"/>
      <c r="CD6" s="892"/>
      <c r="CE6" s="892"/>
      <c r="CF6" s="892"/>
      <c r="CG6" s="892"/>
      <c r="CH6" s="892"/>
      <c r="CI6" s="892"/>
      <c r="CJ6" s="892"/>
      <c r="CK6" s="892"/>
      <c r="CL6" s="892"/>
      <c r="CM6" s="892"/>
      <c r="CN6" s="892"/>
      <c r="CO6" s="892"/>
      <c r="CP6" s="892"/>
      <c r="CQ6" s="892"/>
      <c r="CR6" s="892"/>
      <c r="CS6" s="892"/>
    </row>
    <row r="7" spans="1:98" ht="45.6" customHeight="1" x14ac:dyDescent="0.25">
      <c r="D7" s="2995"/>
      <c r="E7" s="799" t="s">
        <v>133</v>
      </c>
      <c r="F7" s="799" t="s">
        <v>134</v>
      </c>
      <c r="G7" s="799" t="s">
        <v>135</v>
      </c>
      <c r="H7" s="799" t="s">
        <v>1639</v>
      </c>
      <c r="I7" s="799" t="s">
        <v>137</v>
      </c>
      <c r="J7" s="799" t="s">
        <v>1640</v>
      </c>
      <c r="K7" s="799" t="s">
        <v>139</v>
      </c>
      <c r="L7" s="799" t="s">
        <v>140</v>
      </c>
      <c r="M7" s="799" t="s">
        <v>141</v>
      </c>
      <c r="N7" s="799" t="s">
        <v>142</v>
      </c>
      <c r="O7" s="799" t="s">
        <v>143</v>
      </c>
      <c r="P7" s="799" t="s">
        <v>144</v>
      </c>
      <c r="Q7" s="799" t="s">
        <v>145</v>
      </c>
      <c r="R7" s="3004" t="s">
        <v>1641</v>
      </c>
      <c r="S7" s="892"/>
      <c r="T7" s="892"/>
      <c r="U7" s="892"/>
      <c r="V7" s="892"/>
      <c r="W7" s="892"/>
      <c r="X7" s="892"/>
      <c r="Y7" s="892"/>
      <c r="Z7" s="892"/>
      <c r="AA7" s="892"/>
      <c r="AB7" s="892"/>
      <c r="AC7" s="892"/>
      <c r="AD7" s="892"/>
      <c r="AE7" s="892"/>
      <c r="AF7" s="892"/>
      <c r="AG7" s="892"/>
      <c r="AH7" s="892"/>
      <c r="AI7" s="892"/>
      <c r="AJ7" s="892"/>
      <c r="AK7" s="892"/>
      <c r="AL7" s="892"/>
      <c r="AM7" s="892"/>
      <c r="AN7" s="892"/>
      <c r="AO7" s="892"/>
      <c r="AP7" s="892"/>
      <c r="AQ7" s="892"/>
      <c r="AR7" s="892"/>
      <c r="AS7" s="892"/>
      <c r="AT7" s="892"/>
      <c r="AU7" s="892"/>
      <c r="AV7" s="892"/>
      <c r="AW7" s="892"/>
      <c r="AX7" s="892"/>
      <c r="AY7" s="892"/>
      <c r="AZ7" s="892"/>
      <c r="BA7" s="892"/>
      <c r="BB7" s="892"/>
      <c r="BC7" s="892"/>
      <c r="BD7" s="892"/>
      <c r="BE7" s="892"/>
      <c r="BF7" s="892"/>
      <c r="BG7" s="892"/>
      <c r="BH7" s="892"/>
      <c r="BI7" s="892"/>
      <c r="BJ7" s="892"/>
      <c r="BK7" s="892"/>
      <c r="BL7" s="892"/>
      <c r="BM7" s="892"/>
      <c r="BN7" s="892"/>
      <c r="BO7" s="892"/>
      <c r="BP7" s="892"/>
      <c r="BQ7" s="892"/>
      <c r="BR7" s="892"/>
      <c r="BS7" s="892"/>
      <c r="BT7" s="892"/>
      <c r="BU7" s="892"/>
      <c r="BV7" s="892"/>
      <c r="BW7" s="892"/>
      <c r="BX7" s="892"/>
      <c r="BY7" s="892"/>
      <c r="BZ7" s="892"/>
      <c r="CA7" s="892"/>
      <c r="CB7" s="892"/>
      <c r="CC7" s="892"/>
      <c r="CD7" s="892"/>
      <c r="CE7" s="892"/>
      <c r="CF7" s="892"/>
      <c r="CG7" s="892"/>
      <c r="CH7" s="892"/>
      <c r="CI7" s="892"/>
      <c r="CJ7" s="892"/>
      <c r="CK7" s="892"/>
      <c r="CL7" s="892"/>
      <c r="CM7" s="892"/>
      <c r="CN7" s="892"/>
      <c r="CO7" s="892"/>
      <c r="CP7" s="892"/>
      <c r="CQ7" s="892"/>
      <c r="CR7" s="892"/>
      <c r="CS7" s="892"/>
      <c r="CT7" s="892"/>
    </row>
    <row r="8" spans="1:98" x14ac:dyDescent="0.25">
      <c r="D8" s="3002" t="s">
        <v>1642</v>
      </c>
      <c r="E8" s="1409">
        <v>14691</v>
      </c>
      <c r="F8" s="1409">
        <v>13793</v>
      </c>
      <c r="G8" s="1409">
        <v>12434</v>
      </c>
      <c r="H8" s="1409">
        <v>12783</v>
      </c>
      <c r="I8" s="1409">
        <v>13534</v>
      </c>
      <c r="J8" s="1409">
        <v>14152</v>
      </c>
      <c r="K8" s="1409">
        <v>14855</v>
      </c>
      <c r="L8" s="1409">
        <v>13852</v>
      </c>
      <c r="M8" s="1409">
        <v>10541</v>
      </c>
      <c r="N8" s="1409">
        <v>9417</v>
      </c>
      <c r="O8" s="1409">
        <v>9931</v>
      </c>
      <c r="P8" s="1409">
        <v>11180</v>
      </c>
      <c r="Q8" s="1409">
        <v>12773</v>
      </c>
      <c r="R8" s="3005">
        <f t="shared" ref="R8:R14" si="0">(Q8/O8)-1</f>
        <v>0.28617460477293322</v>
      </c>
      <c r="S8" s="892"/>
      <c r="T8" s="892"/>
      <c r="U8" s="892"/>
      <c r="V8" s="892"/>
      <c r="W8" s="892"/>
      <c r="X8" s="892"/>
      <c r="Y8" s="892"/>
      <c r="Z8" s="892"/>
      <c r="AA8" s="892"/>
      <c r="AB8" s="892"/>
      <c r="AC8" s="892"/>
      <c r="AD8" s="892"/>
      <c r="AE8" s="892"/>
      <c r="AF8" s="892"/>
      <c r="AG8" s="892"/>
      <c r="AH8" s="892"/>
      <c r="AI8" s="892"/>
      <c r="AJ8" s="892"/>
      <c r="AK8" s="892"/>
      <c r="AL8" s="892"/>
      <c r="AM8" s="892"/>
      <c r="AN8" s="892"/>
      <c r="AO8" s="892"/>
      <c r="AP8" s="892"/>
      <c r="AQ8" s="892"/>
      <c r="AR8" s="892"/>
      <c r="AS8" s="892"/>
      <c r="AT8" s="892"/>
      <c r="AU8" s="892"/>
      <c r="AV8" s="892"/>
      <c r="AW8" s="892"/>
      <c r="AX8" s="892"/>
      <c r="AY8" s="892"/>
      <c r="AZ8" s="892"/>
      <c r="BA8" s="892"/>
      <c r="BB8" s="892"/>
      <c r="BC8" s="892"/>
      <c r="BD8" s="892"/>
      <c r="BE8" s="892"/>
      <c r="BF8" s="892"/>
      <c r="BG8" s="892"/>
      <c r="BH8" s="892"/>
      <c r="BI8" s="892"/>
      <c r="BJ8" s="892"/>
      <c r="BK8" s="892"/>
      <c r="BL8" s="892"/>
      <c r="BM8" s="892"/>
      <c r="BN8" s="892"/>
      <c r="BO8" s="892"/>
      <c r="BP8" s="892"/>
      <c r="BQ8" s="892"/>
      <c r="BR8" s="892"/>
      <c r="BS8" s="892"/>
      <c r="BT8" s="892"/>
      <c r="BU8" s="892"/>
      <c r="BV8" s="892"/>
      <c r="BW8" s="892"/>
      <c r="BX8" s="892"/>
      <c r="BY8" s="892"/>
      <c r="BZ8" s="892"/>
      <c r="CA8" s="892"/>
      <c r="CB8" s="892"/>
      <c r="CC8" s="892"/>
      <c r="CD8" s="892"/>
      <c r="CE8" s="892"/>
      <c r="CF8" s="892"/>
      <c r="CG8" s="892"/>
      <c r="CH8" s="892"/>
      <c r="CI8" s="892"/>
      <c r="CJ8" s="892"/>
      <c r="CK8" s="892"/>
      <c r="CL8" s="892"/>
      <c r="CM8" s="892"/>
      <c r="CN8" s="892"/>
      <c r="CO8" s="892"/>
      <c r="CP8" s="892"/>
      <c r="CQ8" s="892"/>
      <c r="CR8" s="892"/>
      <c r="CS8" s="892"/>
      <c r="CT8" s="892"/>
    </row>
    <row r="9" spans="1:98" x14ac:dyDescent="0.25">
      <c r="D9" s="3002" t="s">
        <v>1643</v>
      </c>
      <c r="E9" s="1409">
        <v>986</v>
      </c>
      <c r="F9" s="1409">
        <v>901</v>
      </c>
      <c r="G9" s="1409">
        <v>930</v>
      </c>
      <c r="H9" s="1409">
        <v>829</v>
      </c>
      <c r="I9" s="1409">
        <v>892</v>
      </c>
      <c r="J9" s="1409">
        <v>1245</v>
      </c>
      <c r="K9" s="1409">
        <v>1437</v>
      </c>
      <c r="L9" s="1409">
        <v>1412</v>
      </c>
      <c r="M9" s="1409">
        <v>999</v>
      </c>
      <c r="N9" s="1409">
        <v>821</v>
      </c>
      <c r="O9" s="1409">
        <v>943</v>
      </c>
      <c r="P9" s="1409">
        <v>991</v>
      </c>
      <c r="Q9" s="1409">
        <v>1279</v>
      </c>
      <c r="R9" s="3005">
        <f t="shared" si="0"/>
        <v>0.35630965005302229</v>
      </c>
      <c r="S9" s="892"/>
      <c r="T9" s="892"/>
      <c r="U9" s="892"/>
      <c r="V9" s="892"/>
      <c r="W9" s="892"/>
      <c r="X9" s="892"/>
      <c r="Y9" s="892"/>
      <c r="Z9" s="892"/>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row>
    <row r="10" spans="1:98" x14ac:dyDescent="0.25">
      <c r="D10" s="3002" t="s">
        <v>1644</v>
      </c>
      <c r="E10" s="1409">
        <v>374</v>
      </c>
      <c r="F10" s="1409">
        <v>192</v>
      </c>
      <c r="G10" s="1409">
        <v>220</v>
      </c>
      <c r="H10" s="1409">
        <v>383</v>
      </c>
      <c r="I10" s="1409">
        <v>467</v>
      </c>
      <c r="J10" s="1409">
        <v>394</v>
      </c>
      <c r="K10" s="1409">
        <v>386</v>
      </c>
      <c r="L10" s="1409">
        <v>358</v>
      </c>
      <c r="M10" s="1409">
        <v>290</v>
      </c>
      <c r="N10" s="1409">
        <v>182</v>
      </c>
      <c r="O10" s="1409">
        <v>145</v>
      </c>
      <c r="P10" s="1409">
        <v>145</v>
      </c>
      <c r="Q10" s="1409">
        <v>119</v>
      </c>
      <c r="R10" s="3005">
        <f t="shared" si="0"/>
        <v>-0.17931034482758623</v>
      </c>
      <c r="S10" s="892"/>
      <c r="T10" s="892"/>
      <c r="U10" s="892"/>
      <c r="V10" s="892"/>
      <c r="W10" s="892"/>
      <c r="X10" s="892"/>
      <c r="Y10" s="892"/>
      <c r="Z10" s="892"/>
      <c r="AA10" s="892"/>
      <c r="AB10" s="892"/>
      <c r="AC10" s="892"/>
      <c r="AD10" s="892"/>
      <c r="AE10" s="892"/>
      <c r="AF10" s="892"/>
      <c r="AG10" s="892"/>
      <c r="AH10" s="892"/>
      <c r="AI10" s="892"/>
      <c r="AJ10" s="892"/>
      <c r="AK10" s="892"/>
      <c r="AL10" s="892"/>
      <c r="AM10" s="892"/>
      <c r="AN10" s="892"/>
      <c r="AO10" s="892"/>
      <c r="AP10" s="892"/>
      <c r="AQ10" s="892"/>
      <c r="AR10" s="892"/>
      <c r="AS10" s="892"/>
      <c r="AT10" s="892"/>
      <c r="AU10" s="892"/>
      <c r="AV10" s="892"/>
      <c r="AW10" s="892"/>
      <c r="AX10" s="892"/>
      <c r="AY10" s="892"/>
      <c r="AZ10" s="892"/>
      <c r="BA10" s="892"/>
      <c r="BB10" s="892"/>
      <c r="BC10" s="892"/>
      <c r="BD10" s="892"/>
      <c r="BE10" s="892"/>
      <c r="BF10" s="892"/>
      <c r="BG10" s="892"/>
      <c r="BH10" s="892"/>
      <c r="BI10" s="892"/>
      <c r="BJ10" s="892"/>
      <c r="BK10" s="892"/>
      <c r="BL10" s="892"/>
      <c r="BM10" s="892"/>
      <c r="BN10" s="892"/>
      <c r="BO10" s="892"/>
      <c r="BP10" s="892"/>
      <c r="BQ10" s="892"/>
      <c r="BR10" s="892"/>
      <c r="BS10" s="892"/>
      <c r="BT10" s="892"/>
      <c r="BU10" s="892"/>
      <c r="BV10" s="892"/>
      <c r="BW10" s="892"/>
      <c r="BX10" s="892"/>
      <c r="BY10" s="892"/>
      <c r="BZ10" s="892"/>
      <c r="CA10" s="892"/>
      <c r="CB10" s="892"/>
      <c r="CC10" s="892"/>
      <c r="CD10" s="892"/>
      <c r="CE10" s="892"/>
      <c r="CF10" s="892"/>
      <c r="CG10" s="892"/>
      <c r="CH10" s="892"/>
      <c r="CI10" s="892"/>
      <c r="CJ10" s="892"/>
      <c r="CK10" s="892"/>
      <c r="CL10" s="892"/>
      <c r="CM10" s="892"/>
      <c r="CN10" s="892"/>
      <c r="CO10" s="892"/>
      <c r="CP10" s="892"/>
      <c r="CQ10" s="892"/>
      <c r="CR10" s="892"/>
      <c r="CS10" s="892"/>
      <c r="CT10" s="892"/>
    </row>
    <row r="11" spans="1:98" x14ac:dyDescent="0.25">
      <c r="D11" s="3002" t="s">
        <v>1645</v>
      </c>
      <c r="E11" s="1409"/>
      <c r="F11" s="1409"/>
      <c r="G11" s="1409">
        <v>100436</v>
      </c>
      <c r="H11" s="1409">
        <v>91070</v>
      </c>
      <c r="I11" s="1409">
        <v>92021</v>
      </c>
      <c r="J11" s="1409">
        <v>77984</v>
      </c>
      <c r="K11" s="1409">
        <v>72194</v>
      </c>
      <c r="L11" s="1409">
        <v>67670</v>
      </c>
      <c r="M11" s="1409">
        <v>57951</v>
      </c>
      <c r="N11" s="1409">
        <v>57973</v>
      </c>
      <c r="O11" s="1409">
        <v>60476</v>
      </c>
      <c r="P11" s="1409">
        <v>69240</v>
      </c>
      <c r="Q11" s="1409"/>
      <c r="R11" s="3005">
        <f t="shared" si="0"/>
        <v>-1</v>
      </c>
      <c r="S11" s="892"/>
      <c r="T11" s="892"/>
      <c r="U11" s="892"/>
      <c r="V11" s="892"/>
      <c r="W11" s="892"/>
      <c r="X11" s="892"/>
      <c r="Y11" s="892"/>
      <c r="Z11" s="892"/>
      <c r="AA11" s="892"/>
      <c r="AB11" s="892"/>
      <c r="AC11" s="892"/>
      <c r="AD11" s="892"/>
      <c r="AE11" s="892"/>
      <c r="AF11" s="892"/>
      <c r="AG11" s="892"/>
      <c r="AH11" s="892"/>
      <c r="AI11" s="892"/>
      <c r="AJ11" s="892"/>
      <c r="AK11" s="892"/>
      <c r="AL11" s="892"/>
      <c r="AM11" s="892"/>
      <c r="AN11" s="892"/>
      <c r="AO11" s="892"/>
      <c r="AP11" s="892"/>
      <c r="AQ11" s="892"/>
      <c r="AR11" s="892"/>
      <c r="AS11" s="892"/>
      <c r="AT11" s="892"/>
      <c r="AU11" s="892"/>
      <c r="AV11" s="892"/>
      <c r="AW11" s="892"/>
      <c r="AX11" s="892"/>
      <c r="AY11" s="892"/>
      <c r="AZ11" s="892"/>
      <c r="BA11" s="892"/>
      <c r="BB11" s="892"/>
      <c r="BC11" s="892"/>
      <c r="BD11" s="892"/>
      <c r="BE11" s="892"/>
      <c r="BF11" s="892"/>
      <c r="BG11" s="892"/>
      <c r="BH11" s="892"/>
      <c r="BI11" s="892"/>
      <c r="BJ11" s="892"/>
      <c r="BK11" s="892"/>
      <c r="BL11" s="892"/>
      <c r="BM11" s="892"/>
      <c r="BN11" s="892"/>
      <c r="BO11" s="892"/>
      <c r="BP11" s="892"/>
      <c r="BQ11" s="892"/>
      <c r="BR11" s="892"/>
      <c r="BS11" s="892"/>
      <c r="BT11" s="892"/>
      <c r="BU11" s="892"/>
      <c r="BV11" s="892"/>
      <c r="BW11" s="892"/>
      <c r="BX11" s="892"/>
      <c r="BY11" s="892"/>
      <c r="BZ11" s="892"/>
      <c r="CA11" s="892"/>
      <c r="CB11" s="892"/>
      <c r="CC11" s="892"/>
      <c r="CD11" s="892"/>
      <c r="CE11" s="892"/>
      <c r="CF11" s="892"/>
      <c r="CG11" s="892"/>
      <c r="CH11" s="892"/>
      <c r="CI11" s="892"/>
      <c r="CJ11" s="892"/>
      <c r="CK11" s="892"/>
      <c r="CL11" s="892"/>
      <c r="CM11" s="892"/>
      <c r="CN11" s="892"/>
      <c r="CO11" s="892"/>
      <c r="CP11" s="892"/>
      <c r="CQ11" s="892"/>
      <c r="CR11" s="892"/>
      <c r="CS11" s="892"/>
      <c r="CT11" s="892"/>
    </row>
    <row r="12" spans="1:98" x14ac:dyDescent="0.25">
      <c r="D12" s="3002" t="s">
        <v>1646</v>
      </c>
      <c r="E12" s="1409">
        <v>127</v>
      </c>
      <c r="F12" s="1409">
        <v>54</v>
      </c>
      <c r="G12" s="1409">
        <v>58</v>
      </c>
      <c r="H12" s="1409">
        <v>59</v>
      </c>
      <c r="I12" s="1409">
        <v>129</v>
      </c>
      <c r="J12" s="1409">
        <v>144</v>
      </c>
      <c r="K12" s="1409">
        <v>102</v>
      </c>
      <c r="L12" s="1409">
        <v>93</v>
      </c>
      <c r="M12" s="1409">
        <v>39</v>
      </c>
      <c r="N12" s="1409">
        <v>35</v>
      </c>
      <c r="O12" s="1409">
        <v>7</v>
      </c>
      <c r="P12" s="1409">
        <v>21</v>
      </c>
      <c r="Q12" s="1409">
        <v>17</v>
      </c>
      <c r="R12" s="3005">
        <f t="shared" si="0"/>
        <v>1.4285714285714284</v>
      </c>
      <c r="S12" s="892"/>
      <c r="T12" s="892"/>
      <c r="U12" s="892"/>
      <c r="V12" s="892"/>
      <c r="W12" s="892"/>
      <c r="X12" s="892"/>
      <c r="Y12" s="892"/>
      <c r="Z12" s="892"/>
      <c r="AA12" s="892"/>
      <c r="AB12" s="892"/>
      <c r="AC12" s="892"/>
      <c r="AD12" s="892"/>
      <c r="AE12" s="892"/>
      <c r="AF12" s="892"/>
      <c r="AG12" s="892"/>
      <c r="AH12" s="892"/>
      <c r="AI12" s="892"/>
      <c r="AJ12" s="892"/>
      <c r="AK12" s="892"/>
      <c r="AL12" s="892"/>
      <c r="AM12" s="892"/>
      <c r="AN12" s="892"/>
      <c r="AO12" s="892"/>
      <c r="AP12" s="892"/>
      <c r="AQ12" s="892"/>
      <c r="AR12" s="892"/>
      <c r="AS12" s="892"/>
      <c r="AT12" s="892"/>
      <c r="AU12" s="892"/>
      <c r="AV12" s="892"/>
      <c r="AW12" s="892"/>
      <c r="AX12" s="892"/>
      <c r="AY12" s="892"/>
      <c r="AZ12" s="892"/>
      <c r="BA12" s="892"/>
      <c r="BB12" s="892"/>
      <c r="BC12" s="892"/>
      <c r="BD12" s="892"/>
      <c r="BE12" s="892"/>
      <c r="BF12" s="892"/>
      <c r="BG12" s="892"/>
      <c r="BH12" s="892"/>
      <c r="BI12" s="892"/>
      <c r="BJ12" s="892"/>
      <c r="BK12" s="892"/>
      <c r="BL12" s="892"/>
      <c r="BM12" s="892"/>
      <c r="BN12" s="892"/>
      <c r="BO12" s="892"/>
      <c r="BP12" s="892"/>
      <c r="BQ12" s="892"/>
      <c r="BR12" s="892"/>
      <c r="BS12" s="892"/>
      <c r="BT12" s="892"/>
      <c r="BU12" s="892"/>
      <c r="BV12" s="892"/>
      <c r="BW12" s="892"/>
      <c r="BX12" s="892"/>
      <c r="BY12" s="892"/>
      <c r="BZ12" s="892"/>
      <c r="CA12" s="892"/>
      <c r="CB12" s="892"/>
      <c r="CC12" s="892"/>
      <c r="CD12" s="892"/>
      <c r="CE12" s="892"/>
      <c r="CF12" s="892"/>
      <c r="CG12" s="892"/>
      <c r="CH12" s="892"/>
      <c r="CI12" s="892"/>
      <c r="CJ12" s="892"/>
      <c r="CK12" s="892"/>
      <c r="CL12" s="892"/>
      <c r="CM12" s="892"/>
      <c r="CN12" s="892"/>
      <c r="CO12" s="892"/>
      <c r="CP12" s="892"/>
      <c r="CQ12" s="892"/>
      <c r="CR12" s="892"/>
      <c r="CS12" s="892"/>
      <c r="CT12" s="892"/>
    </row>
    <row r="13" spans="1:98" x14ac:dyDescent="0.25">
      <c r="D13" s="3002" t="s">
        <v>1647</v>
      </c>
      <c r="E13" s="1409">
        <v>9063</v>
      </c>
      <c r="F13" s="1409">
        <v>9351</v>
      </c>
      <c r="G13" s="1409">
        <v>9391</v>
      </c>
      <c r="H13" s="1409">
        <v>10173</v>
      </c>
      <c r="I13" s="1409">
        <v>12761</v>
      </c>
      <c r="J13" s="1409">
        <v>14481</v>
      </c>
      <c r="K13" s="1409">
        <v>18438</v>
      </c>
      <c r="L13" s="1409">
        <v>18786</v>
      </c>
      <c r="M13" s="1409">
        <v>16889</v>
      </c>
      <c r="N13" s="1409">
        <v>16766</v>
      </c>
      <c r="O13" s="1409">
        <v>17950</v>
      </c>
      <c r="P13" s="1409">
        <v>19284</v>
      </c>
      <c r="Q13" s="1409">
        <v>20281</v>
      </c>
      <c r="R13" s="3005">
        <f t="shared" si="0"/>
        <v>0.12986072423398332</v>
      </c>
      <c r="S13" s="892"/>
      <c r="T13" s="892"/>
      <c r="U13" s="892"/>
      <c r="V13" s="892"/>
      <c r="W13" s="892"/>
      <c r="X13" s="892"/>
      <c r="Y13" s="892"/>
      <c r="Z13" s="892"/>
      <c r="AA13" s="892"/>
      <c r="AB13" s="892"/>
      <c r="AC13" s="892"/>
      <c r="AD13" s="892"/>
      <c r="AE13" s="892"/>
      <c r="AF13" s="892"/>
      <c r="AG13" s="892"/>
      <c r="AH13" s="892"/>
      <c r="AI13" s="892"/>
      <c r="AJ13" s="892"/>
      <c r="AK13" s="892"/>
      <c r="AL13" s="892"/>
      <c r="AM13" s="892"/>
      <c r="AN13" s="892"/>
      <c r="AO13" s="892"/>
      <c r="AP13" s="892"/>
      <c r="AQ13" s="892"/>
      <c r="AR13" s="892"/>
      <c r="AS13" s="892"/>
      <c r="AT13" s="892"/>
      <c r="AU13" s="892"/>
      <c r="AV13" s="892"/>
      <c r="AW13" s="892"/>
      <c r="AX13" s="892"/>
      <c r="AY13" s="892"/>
      <c r="AZ13" s="892"/>
      <c r="BA13" s="892"/>
      <c r="BB13" s="892"/>
      <c r="BC13" s="892"/>
      <c r="BD13" s="892"/>
      <c r="BE13" s="892"/>
      <c r="BF13" s="892"/>
      <c r="BG13" s="892"/>
      <c r="BH13" s="892"/>
      <c r="BI13" s="892"/>
      <c r="BJ13" s="892"/>
      <c r="BK13" s="892"/>
      <c r="BL13" s="892"/>
      <c r="BM13" s="892"/>
      <c r="BN13" s="892"/>
      <c r="BO13" s="892"/>
      <c r="BP13" s="892"/>
      <c r="BQ13" s="892"/>
      <c r="BR13" s="892"/>
      <c r="BS13" s="892"/>
      <c r="BT13" s="892"/>
      <c r="BU13" s="892"/>
      <c r="BV13" s="892"/>
      <c r="BW13" s="892"/>
      <c r="BX13" s="892"/>
      <c r="BY13" s="892"/>
      <c r="BZ13" s="892"/>
      <c r="CA13" s="892"/>
      <c r="CB13" s="892"/>
      <c r="CC13" s="892"/>
      <c r="CD13" s="892"/>
      <c r="CE13" s="892"/>
      <c r="CF13" s="892"/>
      <c r="CG13" s="892"/>
      <c r="CH13" s="892"/>
      <c r="CI13" s="892"/>
      <c r="CJ13" s="892"/>
      <c r="CK13" s="892"/>
      <c r="CL13" s="892"/>
      <c r="CM13" s="892"/>
      <c r="CN13" s="892"/>
      <c r="CO13" s="892"/>
      <c r="CP13" s="892"/>
      <c r="CQ13" s="892"/>
      <c r="CR13" s="892"/>
      <c r="CS13" s="892"/>
      <c r="CT13" s="892"/>
    </row>
    <row r="14" spans="1:98" x14ac:dyDescent="0.25">
      <c r="B14" s="1619"/>
      <c r="C14" s="1619"/>
      <c r="D14" s="3003" t="s">
        <v>1648</v>
      </c>
      <c r="E14" s="1410">
        <v>5498</v>
      </c>
      <c r="F14" s="1410">
        <v>3677</v>
      </c>
      <c r="G14" s="1410">
        <v>3320</v>
      </c>
      <c r="H14" s="1410">
        <v>4384</v>
      </c>
      <c r="I14" s="1410">
        <v>6675</v>
      </c>
      <c r="J14" s="1410">
        <v>9836</v>
      </c>
      <c r="K14" s="1410">
        <v>13885</v>
      </c>
      <c r="L14" s="1410">
        <v>14504</v>
      </c>
      <c r="M14" s="1410">
        <v>14637</v>
      </c>
      <c r="N14" s="1410">
        <v>15912</v>
      </c>
      <c r="O14" s="1410">
        <v>16343</v>
      </c>
      <c r="P14" s="1410">
        <v>18573</v>
      </c>
      <c r="Q14" s="1410">
        <v>19170</v>
      </c>
      <c r="R14" s="3006">
        <f t="shared" si="0"/>
        <v>0.17297925717432538</v>
      </c>
      <c r="S14" s="892"/>
      <c r="T14" s="892"/>
      <c r="U14" s="892"/>
      <c r="V14" s="892"/>
      <c r="W14" s="892"/>
      <c r="X14" s="892"/>
      <c r="Y14" s="892"/>
      <c r="Z14" s="892"/>
      <c r="AA14" s="892"/>
      <c r="AB14" s="892"/>
      <c r="AC14" s="892"/>
      <c r="AD14" s="892"/>
      <c r="AE14" s="892"/>
      <c r="AF14" s="892"/>
      <c r="AG14" s="892"/>
      <c r="AH14" s="892"/>
      <c r="AI14" s="892"/>
      <c r="AJ14" s="892"/>
      <c r="AK14" s="892"/>
      <c r="AL14" s="892"/>
      <c r="AM14" s="892"/>
      <c r="AN14" s="892"/>
      <c r="AO14" s="892"/>
      <c r="AP14" s="892"/>
      <c r="AQ14" s="892"/>
      <c r="AR14" s="892"/>
      <c r="AS14" s="892"/>
      <c r="AT14" s="892"/>
      <c r="AU14" s="892"/>
      <c r="AV14" s="892"/>
      <c r="AW14" s="892"/>
      <c r="AX14" s="892"/>
      <c r="AY14" s="892"/>
      <c r="AZ14" s="892"/>
      <c r="BA14" s="892"/>
      <c r="BB14" s="892"/>
      <c r="BC14" s="892"/>
      <c r="BD14" s="892"/>
      <c r="BE14" s="892"/>
      <c r="BF14" s="892"/>
      <c r="BG14" s="892"/>
      <c r="BH14" s="892"/>
      <c r="BI14" s="892"/>
      <c r="BJ14" s="892"/>
      <c r="BK14" s="892"/>
      <c r="BL14" s="892"/>
      <c r="BM14" s="892"/>
      <c r="BN14" s="892"/>
      <c r="BO14" s="892"/>
      <c r="BP14" s="892"/>
      <c r="BQ14" s="892"/>
      <c r="BR14" s="892"/>
      <c r="BS14" s="892"/>
      <c r="BT14" s="892"/>
      <c r="BU14" s="892"/>
      <c r="BV14" s="892"/>
      <c r="BW14" s="892"/>
      <c r="BX14" s="892"/>
      <c r="BY14" s="892"/>
      <c r="BZ14" s="892"/>
      <c r="CA14" s="892"/>
      <c r="CB14" s="892"/>
      <c r="CC14" s="892"/>
      <c r="CD14" s="892"/>
      <c r="CE14" s="892"/>
      <c r="CF14" s="892"/>
      <c r="CG14" s="892"/>
      <c r="CH14" s="892"/>
      <c r="CI14" s="892"/>
      <c r="CJ14" s="892"/>
      <c r="CK14" s="892"/>
      <c r="CL14" s="892"/>
      <c r="CM14" s="892"/>
      <c r="CN14" s="892"/>
      <c r="CO14" s="892"/>
      <c r="CP14" s="892"/>
      <c r="CQ14" s="892"/>
      <c r="CR14" s="892"/>
      <c r="CS14" s="892"/>
      <c r="CT14" s="892"/>
    </row>
    <row r="15" spans="1:98" ht="12.75" customHeight="1" x14ac:dyDescent="0.25">
      <c r="B15" s="1619"/>
      <c r="C15" s="1619"/>
      <c r="D15" s="921"/>
      <c r="E15" s="1409"/>
      <c r="F15" s="1411"/>
      <c r="G15" s="1411"/>
      <c r="H15" s="1411"/>
      <c r="I15" s="1411"/>
      <c r="J15" s="1411"/>
      <c r="K15" s="1411"/>
      <c r="L15" s="1412"/>
      <c r="Q15" s="912"/>
      <c r="R15" s="892"/>
      <c r="S15" s="892"/>
      <c r="T15" s="892"/>
      <c r="U15" s="892"/>
      <c r="V15" s="892"/>
      <c r="W15" s="892"/>
      <c r="X15" s="892"/>
      <c r="Y15" s="892"/>
      <c r="Z15" s="892"/>
      <c r="AA15" s="892"/>
      <c r="AB15" s="892"/>
      <c r="AC15" s="892"/>
      <c r="AD15" s="892"/>
      <c r="AE15" s="892"/>
      <c r="AF15" s="892"/>
      <c r="AG15" s="892"/>
      <c r="AH15" s="892"/>
      <c r="AI15" s="892"/>
      <c r="AJ15" s="892"/>
      <c r="AK15" s="892"/>
      <c r="AL15" s="892"/>
      <c r="AM15" s="892"/>
      <c r="AN15" s="892"/>
      <c r="AO15" s="892"/>
      <c r="AP15" s="892"/>
      <c r="AQ15" s="892"/>
      <c r="AR15" s="892"/>
      <c r="AS15" s="892"/>
      <c r="AT15" s="892"/>
      <c r="AU15" s="892"/>
      <c r="AV15" s="892"/>
      <c r="AW15" s="892"/>
      <c r="AX15" s="892"/>
      <c r="AY15" s="892"/>
      <c r="AZ15" s="892"/>
      <c r="BA15" s="892"/>
      <c r="BB15" s="892"/>
      <c r="BC15" s="892"/>
      <c r="BD15" s="892"/>
      <c r="BE15" s="892"/>
      <c r="BF15" s="892"/>
      <c r="BG15" s="892"/>
      <c r="BH15" s="892"/>
      <c r="BI15" s="892"/>
      <c r="BJ15" s="892"/>
      <c r="BK15" s="892"/>
      <c r="BL15" s="892"/>
      <c r="BM15" s="892"/>
      <c r="BN15" s="892"/>
      <c r="BO15" s="892"/>
      <c r="BP15" s="892"/>
      <c r="BQ15" s="892"/>
      <c r="BR15" s="892"/>
      <c r="BS15" s="892"/>
      <c r="BT15" s="892"/>
      <c r="BU15" s="892"/>
      <c r="BV15" s="892"/>
      <c r="BW15" s="892"/>
      <c r="BX15" s="892"/>
      <c r="BY15" s="892"/>
      <c r="BZ15" s="892"/>
      <c r="CA15" s="892"/>
      <c r="CB15" s="892"/>
      <c r="CC15" s="892"/>
      <c r="CD15" s="892"/>
      <c r="CE15" s="892"/>
      <c r="CF15" s="892"/>
      <c r="CG15" s="892"/>
      <c r="CH15" s="892"/>
      <c r="CI15" s="892"/>
      <c r="CJ15" s="892"/>
      <c r="CK15" s="892"/>
      <c r="CL15" s="892"/>
      <c r="CM15" s="892"/>
      <c r="CN15" s="892"/>
      <c r="CO15" s="892"/>
      <c r="CP15" s="892"/>
      <c r="CQ15" s="892"/>
      <c r="CR15" s="892"/>
      <c r="CS15" s="892"/>
    </row>
    <row r="16" spans="1:98" x14ac:dyDescent="0.25">
      <c r="B16" s="1619"/>
      <c r="C16" s="1619"/>
      <c r="D16" s="921"/>
      <c r="E16" s="1409"/>
      <c r="F16" s="1409"/>
      <c r="G16" s="1409"/>
      <c r="H16" s="1409"/>
      <c r="I16" s="1409"/>
      <c r="J16" s="1409"/>
      <c r="K16" s="1413"/>
      <c r="L16" s="1412"/>
      <c r="Q16" s="912"/>
      <c r="R16" s="892"/>
      <c r="S16" s="892"/>
      <c r="T16" s="892"/>
      <c r="U16" s="892"/>
      <c r="V16" s="892"/>
      <c r="W16" s="892"/>
      <c r="X16" s="892"/>
      <c r="Y16" s="892"/>
      <c r="Z16" s="892"/>
      <c r="AA16" s="892"/>
      <c r="AB16" s="892"/>
      <c r="AC16" s="892"/>
      <c r="AD16" s="892"/>
      <c r="AE16" s="892"/>
      <c r="AF16" s="892"/>
      <c r="AG16" s="892"/>
      <c r="AH16" s="892"/>
      <c r="AI16" s="892"/>
      <c r="AJ16" s="892"/>
      <c r="AK16" s="892"/>
      <c r="AL16" s="892"/>
      <c r="AM16" s="892"/>
      <c r="AN16" s="892"/>
      <c r="AO16" s="892"/>
      <c r="AP16" s="892"/>
      <c r="AQ16" s="892"/>
      <c r="AR16" s="892"/>
      <c r="AS16" s="892"/>
      <c r="AT16" s="892"/>
      <c r="AU16" s="892"/>
      <c r="AV16" s="892"/>
      <c r="AW16" s="892"/>
      <c r="AX16" s="892"/>
      <c r="AY16" s="892"/>
      <c r="AZ16" s="892"/>
      <c r="BA16" s="892"/>
      <c r="BB16" s="892"/>
      <c r="BC16" s="892"/>
      <c r="BD16" s="892"/>
      <c r="BE16" s="892"/>
      <c r="BF16" s="892"/>
      <c r="BG16" s="892"/>
      <c r="BH16" s="892"/>
      <c r="BI16" s="892"/>
      <c r="BJ16" s="892"/>
      <c r="BK16" s="892"/>
      <c r="BL16" s="892"/>
      <c r="BM16" s="892"/>
      <c r="BN16" s="892"/>
      <c r="BO16" s="892"/>
      <c r="BP16" s="892"/>
      <c r="BQ16" s="892"/>
      <c r="BR16" s="892"/>
      <c r="BS16" s="892"/>
      <c r="BT16" s="892"/>
      <c r="BU16" s="892"/>
      <c r="BV16" s="892"/>
      <c r="BW16" s="892"/>
      <c r="BX16" s="892"/>
      <c r="BY16" s="892"/>
      <c r="BZ16" s="892"/>
      <c r="CA16" s="892"/>
      <c r="CB16" s="892"/>
      <c r="CC16" s="892"/>
      <c r="CD16" s="892"/>
      <c r="CE16" s="892"/>
      <c r="CF16" s="892"/>
      <c r="CG16" s="892"/>
      <c r="CH16" s="892"/>
      <c r="CI16" s="892"/>
      <c r="CJ16" s="892"/>
      <c r="CK16" s="892"/>
      <c r="CL16" s="892"/>
      <c r="CM16" s="892"/>
      <c r="CN16" s="892"/>
      <c r="CO16" s="892"/>
      <c r="CP16" s="892"/>
      <c r="CQ16" s="892"/>
      <c r="CR16" s="892"/>
      <c r="CS16" s="892"/>
    </row>
    <row r="17" spans="1:97" x14ac:dyDescent="0.25">
      <c r="B17" s="1173"/>
      <c r="C17" s="1173"/>
      <c r="Q17" s="912"/>
      <c r="R17" s="892"/>
      <c r="S17" s="892"/>
      <c r="T17" s="892"/>
      <c r="U17" s="892"/>
      <c r="V17" s="892"/>
      <c r="W17" s="892"/>
      <c r="X17" s="892"/>
      <c r="Y17" s="892"/>
      <c r="Z17" s="892"/>
      <c r="AA17" s="892"/>
      <c r="AB17" s="892"/>
      <c r="AC17" s="892"/>
      <c r="AD17" s="892"/>
      <c r="AE17" s="892"/>
      <c r="AF17" s="892"/>
      <c r="AG17" s="892"/>
      <c r="AH17" s="892"/>
      <c r="AI17" s="892"/>
      <c r="AJ17" s="892"/>
      <c r="AK17" s="892"/>
      <c r="AL17" s="892"/>
      <c r="AM17" s="892"/>
      <c r="AN17" s="892"/>
      <c r="AO17" s="892"/>
      <c r="AP17" s="892"/>
      <c r="AQ17" s="892"/>
      <c r="AR17" s="892"/>
      <c r="AS17" s="892"/>
      <c r="AT17" s="892"/>
      <c r="AU17" s="892"/>
      <c r="AV17" s="892"/>
      <c r="AW17" s="892"/>
      <c r="AX17" s="892"/>
      <c r="AY17" s="892"/>
      <c r="AZ17" s="892"/>
      <c r="BA17" s="892"/>
      <c r="BB17" s="892"/>
      <c r="BC17" s="892"/>
      <c r="BD17" s="892"/>
      <c r="BE17" s="892"/>
      <c r="BF17" s="892"/>
      <c r="BG17" s="892"/>
      <c r="BH17" s="892"/>
      <c r="BI17" s="892"/>
      <c r="BJ17" s="892"/>
      <c r="BK17" s="892"/>
      <c r="BL17" s="892"/>
      <c r="BM17" s="892"/>
      <c r="BN17" s="892"/>
      <c r="BO17" s="892"/>
      <c r="BP17" s="892"/>
      <c r="BQ17" s="892"/>
      <c r="BR17" s="892"/>
      <c r="BS17" s="892"/>
      <c r="BT17" s="892"/>
      <c r="BU17" s="892"/>
      <c r="BV17" s="892"/>
      <c r="BW17" s="892"/>
      <c r="BX17" s="892"/>
      <c r="BY17" s="892"/>
      <c r="BZ17" s="892"/>
      <c r="CA17" s="892"/>
      <c r="CB17" s="892"/>
      <c r="CC17" s="892"/>
      <c r="CD17" s="892"/>
      <c r="CE17" s="892"/>
      <c r="CF17" s="892"/>
      <c r="CG17" s="892"/>
      <c r="CH17" s="892"/>
      <c r="CI17" s="892"/>
      <c r="CJ17" s="892"/>
      <c r="CK17" s="892"/>
      <c r="CL17" s="892"/>
      <c r="CM17" s="892"/>
      <c r="CN17" s="892"/>
      <c r="CO17" s="892"/>
      <c r="CP17" s="892"/>
      <c r="CQ17" s="892"/>
      <c r="CR17" s="892"/>
      <c r="CS17" s="892"/>
    </row>
    <row r="18" spans="1:97" x14ac:dyDescent="0.25">
      <c r="A18" s="453">
        <v>5</v>
      </c>
      <c r="B18" s="453" t="s">
        <v>77</v>
      </c>
      <c r="C18" s="453"/>
      <c r="Q18" s="912"/>
      <c r="R18" s="892"/>
      <c r="S18" s="892"/>
      <c r="T18" s="892"/>
      <c r="U18" s="892"/>
      <c r="V18" s="892"/>
      <c r="W18" s="892"/>
      <c r="X18" s="892"/>
      <c r="Y18" s="892"/>
      <c r="Z18" s="892"/>
      <c r="AA18" s="892"/>
      <c r="AB18" s="892"/>
      <c r="AC18" s="892"/>
      <c r="AD18" s="892"/>
      <c r="AE18" s="892"/>
      <c r="AF18" s="892"/>
      <c r="AG18" s="892"/>
      <c r="AH18" s="892"/>
      <c r="AI18" s="892"/>
      <c r="AJ18" s="892"/>
      <c r="AK18" s="892"/>
      <c r="AL18" s="892"/>
      <c r="AM18" s="892"/>
      <c r="AN18" s="892"/>
      <c r="AO18" s="892"/>
      <c r="AP18" s="892"/>
      <c r="AQ18" s="892"/>
      <c r="AR18" s="892"/>
      <c r="AS18" s="892"/>
      <c r="AT18" s="892"/>
      <c r="AU18" s="892"/>
      <c r="AV18" s="892"/>
      <c r="AW18" s="892"/>
      <c r="AX18" s="892"/>
      <c r="AY18" s="892"/>
      <c r="AZ18" s="892"/>
      <c r="BA18" s="892"/>
      <c r="BB18" s="892"/>
      <c r="BC18" s="892"/>
      <c r="BD18" s="892"/>
      <c r="BE18" s="892"/>
      <c r="BF18" s="892"/>
      <c r="BG18" s="892"/>
      <c r="BH18" s="892"/>
      <c r="BI18" s="892"/>
      <c r="BJ18" s="892"/>
      <c r="BK18" s="892"/>
      <c r="BL18" s="892"/>
      <c r="BM18" s="892"/>
      <c r="BN18" s="892"/>
      <c r="BO18" s="892"/>
      <c r="BP18" s="892"/>
      <c r="BQ18" s="892"/>
      <c r="BR18" s="892"/>
      <c r="BS18" s="892"/>
      <c r="BT18" s="892"/>
      <c r="BU18" s="892"/>
      <c r="BV18" s="892"/>
      <c r="BW18" s="892"/>
      <c r="BX18" s="892"/>
      <c r="BY18" s="892"/>
      <c r="BZ18" s="892"/>
      <c r="CA18" s="892"/>
      <c r="CB18" s="892"/>
      <c r="CC18" s="892"/>
      <c r="CD18" s="892"/>
      <c r="CE18" s="892"/>
      <c r="CF18" s="892"/>
      <c r="CG18" s="892"/>
      <c r="CH18" s="892"/>
      <c r="CI18" s="892"/>
      <c r="CJ18" s="892"/>
      <c r="CK18" s="892"/>
      <c r="CL18" s="892"/>
      <c r="CM18" s="892"/>
      <c r="CN18" s="892"/>
      <c r="CO18" s="892"/>
      <c r="CP18" s="892"/>
      <c r="CQ18" s="892"/>
      <c r="CR18" s="892"/>
      <c r="CS18" s="892"/>
    </row>
    <row r="27" spans="1:97" x14ac:dyDescent="0.25">
      <c r="B27" s="737"/>
      <c r="C27" s="737"/>
      <c r="Q27" s="912"/>
      <c r="R27" s="892"/>
      <c r="S27" s="892"/>
      <c r="T27" s="892"/>
      <c r="U27" s="892"/>
      <c r="V27" s="892"/>
      <c r="W27" s="892"/>
      <c r="X27" s="892"/>
      <c r="Y27" s="892"/>
      <c r="Z27" s="892"/>
      <c r="AA27" s="892"/>
      <c r="AB27" s="892"/>
      <c r="AC27" s="892"/>
      <c r="AD27" s="892"/>
      <c r="AE27" s="892"/>
      <c r="AF27" s="892"/>
      <c r="AG27" s="892"/>
      <c r="AH27" s="892"/>
      <c r="AI27" s="892"/>
      <c r="AJ27" s="892"/>
      <c r="AK27" s="892"/>
      <c r="AL27" s="892"/>
      <c r="AM27" s="892"/>
      <c r="AN27" s="892"/>
      <c r="AO27" s="892"/>
      <c r="AP27" s="892"/>
      <c r="AQ27" s="892"/>
      <c r="AR27" s="892"/>
      <c r="AS27" s="892"/>
      <c r="AT27" s="892"/>
      <c r="AU27" s="892"/>
      <c r="AV27" s="892"/>
      <c r="AW27" s="892"/>
      <c r="AX27" s="892"/>
      <c r="AY27" s="892"/>
      <c r="AZ27" s="892"/>
      <c r="BA27" s="892"/>
      <c r="BB27" s="892"/>
      <c r="BC27" s="892"/>
      <c r="BD27" s="892"/>
      <c r="BE27" s="892"/>
      <c r="BF27" s="892"/>
      <c r="BG27" s="892"/>
      <c r="BH27" s="892"/>
      <c r="BI27" s="892"/>
      <c r="BJ27" s="892"/>
      <c r="BK27" s="892"/>
      <c r="BL27" s="892"/>
      <c r="BM27" s="892"/>
      <c r="BN27" s="892"/>
      <c r="BO27" s="892"/>
      <c r="BP27" s="892"/>
      <c r="BQ27" s="892"/>
      <c r="BR27" s="892"/>
      <c r="BS27" s="892"/>
      <c r="BT27" s="892"/>
      <c r="BU27" s="892"/>
      <c r="BV27" s="892"/>
      <c r="BW27" s="892"/>
      <c r="BX27" s="892"/>
      <c r="BY27" s="892"/>
      <c r="BZ27" s="892"/>
      <c r="CA27" s="892"/>
      <c r="CB27" s="892"/>
      <c r="CC27" s="892"/>
      <c r="CD27" s="892"/>
      <c r="CE27" s="892"/>
      <c r="CF27" s="892"/>
      <c r="CG27" s="892"/>
      <c r="CH27" s="892"/>
      <c r="CI27" s="892"/>
      <c r="CJ27" s="892"/>
      <c r="CK27" s="892"/>
      <c r="CL27" s="892"/>
      <c r="CM27" s="892"/>
      <c r="CN27" s="892"/>
      <c r="CO27" s="892"/>
      <c r="CP27" s="892"/>
      <c r="CQ27" s="892"/>
      <c r="CR27" s="892"/>
      <c r="CS27" s="892"/>
    </row>
    <row r="38" spans="1:18" ht="12.75" customHeight="1" x14ac:dyDescent="0.2">
      <c r="A38" s="453">
        <v>6</v>
      </c>
      <c r="B38" s="472" t="s">
        <v>1649</v>
      </c>
      <c r="D38" s="3556" t="s">
        <v>1650</v>
      </c>
      <c r="E38" s="3557"/>
      <c r="F38" s="3557"/>
      <c r="G38" s="3557"/>
      <c r="H38" s="3557"/>
      <c r="I38" s="3557"/>
      <c r="J38" s="3557"/>
      <c r="K38" s="3557"/>
      <c r="L38" s="3557"/>
      <c r="M38" s="3557"/>
      <c r="N38" s="3557"/>
      <c r="O38" s="3557"/>
      <c r="P38" s="3557"/>
      <c r="Q38" s="3557"/>
      <c r="R38" s="3558"/>
    </row>
    <row r="39" spans="1:18" ht="12.75" customHeight="1" x14ac:dyDescent="0.2">
      <c r="A39" s="453">
        <v>7</v>
      </c>
      <c r="B39" s="472" t="s">
        <v>80</v>
      </c>
      <c r="D39" s="3568" t="s">
        <v>1651</v>
      </c>
      <c r="E39" s="3569"/>
      <c r="F39" s="3569"/>
      <c r="G39" s="3569"/>
      <c r="H39" s="3569"/>
      <c r="I39" s="3569"/>
      <c r="J39" s="3569"/>
      <c r="K39" s="3569"/>
      <c r="L39" s="3569"/>
      <c r="M39" s="3569"/>
      <c r="N39" s="3569"/>
      <c r="O39" s="3569"/>
      <c r="P39" s="3569"/>
      <c r="Q39" s="3569"/>
      <c r="R39" s="3570"/>
    </row>
    <row r="40" spans="1:18" ht="12.75" customHeight="1" x14ac:dyDescent="0.2">
      <c r="A40" s="453">
        <v>8</v>
      </c>
      <c r="B40" s="472" t="s">
        <v>20</v>
      </c>
      <c r="D40" s="3556" t="s">
        <v>1652</v>
      </c>
      <c r="E40" s="3557"/>
      <c r="F40" s="3557"/>
      <c r="G40" s="3557"/>
      <c r="H40" s="3557"/>
      <c r="I40" s="3557"/>
      <c r="J40" s="3557"/>
      <c r="K40" s="3557"/>
      <c r="L40" s="3557"/>
      <c r="M40" s="3557"/>
      <c r="N40" s="3557"/>
      <c r="O40" s="3557"/>
      <c r="P40" s="3557"/>
      <c r="Q40" s="3557"/>
      <c r="R40" s="3558"/>
    </row>
    <row r="41" spans="1:18" ht="15" customHeight="1" x14ac:dyDescent="0.2">
      <c r="A41" s="453">
        <v>9</v>
      </c>
      <c r="B41" s="472" t="s">
        <v>83</v>
      </c>
      <c r="D41" s="3568" t="s">
        <v>1653</v>
      </c>
      <c r="E41" s="3569"/>
      <c r="F41" s="3569"/>
      <c r="G41" s="3569"/>
      <c r="H41" s="3569"/>
      <c r="I41" s="3569"/>
      <c r="J41" s="3569"/>
      <c r="K41" s="3569"/>
      <c r="L41" s="3569"/>
      <c r="M41" s="3569"/>
      <c r="N41" s="3569"/>
      <c r="O41" s="3569"/>
      <c r="P41" s="3569"/>
      <c r="Q41" s="3569"/>
      <c r="R41" s="3570"/>
    </row>
    <row r="45" spans="1:18" x14ac:dyDescent="0.2">
      <c r="D45" s="425" t="s">
        <v>93</v>
      </c>
      <c r="E45" s="425" t="s">
        <v>1638</v>
      </c>
      <c r="F45" s="1668"/>
    </row>
    <row r="46" spans="1:18" x14ac:dyDescent="0.2">
      <c r="D46" s="635"/>
      <c r="E46" s="799" t="s">
        <v>133</v>
      </c>
      <c r="F46" s="799" t="s">
        <v>134</v>
      </c>
      <c r="G46" s="799" t="s">
        <v>135</v>
      </c>
      <c r="H46" s="799" t="s">
        <v>1639</v>
      </c>
      <c r="I46" s="799" t="s">
        <v>137</v>
      </c>
      <c r="J46" s="799" t="s">
        <v>1640</v>
      </c>
      <c r="K46" s="799" t="s">
        <v>139</v>
      </c>
      <c r="L46" s="799" t="s">
        <v>140</v>
      </c>
      <c r="M46" s="799" t="s">
        <v>141</v>
      </c>
      <c r="N46" s="799" t="s">
        <v>142</v>
      </c>
      <c r="O46" s="799" t="s">
        <v>143</v>
      </c>
      <c r="P46" s="799" t="s">
        <v>144</v>
      </c>
      <c r="Q46" s="799" t="s">
        <v>145</v>
      </c>
    </row>
    <row r="47" spans="1:18" x14ac:dyDescent="0.2">
      <c r="D47" s="921" t="s">
        <v>1642</v>
      </c>
      <c r="E47" s="1409">
        <v>14691</v>
      </c>
      <c r="F47" s="1409">
        <v>13793</v>
      </c>
      <c r="G47" s="1409">
        <v>12434</v>
      </c>
      <c r="H47" s="1409">
        <v>12825</v>
      </c>
      <c r="I47" s="1409">
        <v>13599</v>
      </c>
      <c r="J47" s="1409">
        <v>14201</v>
      </c>
      <c r="K47" s="1409">
        <v>14915</v>
      </c>
      <c r="L47" s="1409">
        <v>13902</v>
      </c>
      <c r="M47" s="1409">
        <v>10627</v>
      </c>
      <c r="N47" s="1409">
        <v>9475</v>
      </c>
      <c r="O47" s="1409">
        <v>9990</v>
      </c>
      <c r="P47" s="1409">
        <v>11221</v>
      </c>
      <c r="Q47" s="1409">
        <v>12773</v>
      </c>
    </row>
    <row r="48" spans="1:18" x14ac:dyDescent="0.2">
      <c r="D48" s="921" t="s">
        <v>1643</v>
      </c>
      <c r="E48" s="1409">
        <v>986</v>
      </c>
      <c r="F48" s="1409">
        <v>901</v>
      </c>
      <c r="G48" s="1409">
        <v>930</v>
      </c>
      <c r="H48" s="1409">
        <v>829</v>
      </c>
      <c r="I48" s="1409">
        <v>892</v>
      </c>
      <c r="J48" s="1409">
        <v>1245</v>
      </c>
      <c r="K48" s="1409">
        <v>1437</v>
      </c>
      <c r="L48" s="1409">
        <v>1412</v>
      </c>
      <c r="M48" s="1409">
        <v>999</v>
      </c>
      <c r="N48" s="1409">
        <v>821</v>
      </c>
      <c r="O48" s="1409">
        <v>943</v>
      </c>
      <c r="P48" s="1409">
        <v>991</v>
      </c>
      <c r="Q48" s="1409">
        <v>1279</v>
      </c>
    </row>
    <row r="49" spans="4:17" x14ac:dyDescent="0.2">
      <c r="D49" s="921" t="s">
        <v>1644</v>
      </c>
      <c r="E49" s="1409">
        <v>374</v>
      </c>
      <c r="F49" s="1409">
        <v>192</v>
      </c>
      <c r="G49" s="1409">
        <v>220</v>
      </c>
      <c r="H49" s="1409">
        <v>383</v>
      </c>
      <c r="I49" s="1409">
        <v>467</v>
      </c>
      <c r="J49" s="1409">
        <v>395</v>
      </c>
      <c r="K49" s="1409">
        <v>386</v>
      </c>
      <c r="L49" s="1409">
        <v>358</v>
      </c>
      <c r="M49" s="1409">
        <v>291</v>
      </c>
      <c r="N49" s="1409">
        <v>182</v>
      </c>
      <c r="O49" s="1409">
        <v>145</v>
      </c>
      <c r="P49" s="1409">
        <v>145</v>
      </c>
      <c r="Q49" s="1409">
        <v>119</v>
      </c>
    </row>
    <row r="50" spans="4:17" x14ac:dyDescent="0.2">
      <c r="D50" s="921" t="s">
        <v>1654</v>
      </c>
      <c r="E50" s="1409"/>
      <c r="F50" s="1409"/>
      <c r="G50" s="1409">
        <v>100436</v>
      </c>
      <c r="H50" s="1409">
        <v>91070</v>
      </c>
      <c r="I50" s="1409">
        <v>92021</v>
      </c>
      <c r="J50" s="1409">
        <v>77984</v>
      </c>
      <c r="K50" s="1409">
        <v>72194</v>
      </c>
      <c r="L50" s="1409">
        <v>67670</v>
      </c>
      <c r="M50" s="1409">
        <v>57951</v>
      </c>
      <c r="N50" s="1409">
        <v>57973</v>
      </c>
      <c r="O50" s="1409">
        <v>60476</v>
      </c>
      <c r="P50" s="1409">
        <v>69240</v>
      </c>
      <c r="Q50" s="1409"/>
    </row>
    <row r="51" spans="4:17" x14ac:dyDescent="0.2">
      <c r="D51" s="921" t="s">
        <v>1646</v>
      </c>
      <c r="E51" s="1409">
        <v>127</v>
      </c>
      <c r="F51" s="1409">
        <v>54</v>
      </c>
      <c r="G51" s="1409">
        <v>58</v>
      </c>
      <c r="H51" s="1409">
        <v>59</v>
      </c>
      <c r="I51" s="1409">
        <v>129</v>
      </c>
      <c r="J51" s="1409">
        <v>144</v>
      </c>
      <c r="K51" s="1409">
        <v>102</v>
      </c>
      <c r="L51" s="1409">
        <v>93</v>
      </c>
      <c r="M51" s="1409">
        <v>39</v>
      </c>
      <c r="N51" s="1409">
        <v>35</v>
      </c>
      <c r="O51" s="1409">
        <v>7</v>
      </c>
      <c r="P51" s="1409">
        <v>21</v>
      </c>
      <c r="Q51" s="1409">
        <v>17</v>
      </c>
    </row>
    <row r="52" spans="4:17" x14ac:dyDescent="0.2">
      <c r="D52" s="921" t="s">
        <v>1647</v>
      </c>
      <c r="E52" s="1409">
        <v>9063</v>
      </c>
      <c r="F52" s="1409">
        <v>9351</v>
      </c>
      <c r="G52" s="1409">
        <v>9391</v>
      </c>
      <c r="H52" s="1409">
        <v>10173</v>
      </c>
      <c r="I52" s="1409">
        <v>12761</v>
      </c>
      <c r="J52" s="1409">
        <v>14481</v>
      </c>
      <c r="K52" s="1409">
        <v>18438</v>
      </c>
      <c r="L52" s="1409">
        <v>18786</v>
      </c>
      <c r="M52" s="1409">
        <v>16889</v>
      </c>
      <c r="N52" s="1409">
        <v>16766</v>
      </c>
      <c r="O52" s="1409">
        <v>17950</v>
      </c>
      <c r="P52" s="1409">
        <v>19284</v>
      </c>
      <c r="Q52" s="1409">
        <v>20281</v>
      </c>
    </row>
    <row r="53" spans="4:17" x14ac:dyDescent="0.2">
      <c r="D53" s="1932" t="s">
        <v>1648</v>
      </c>
      <c r="E53" s="1410">
        <v>5498</v>
      </c>
      <c r="F53" s="1410">
        <v>3677</v>
      </c>
      <c r="G53" s="1410">
        <v>3320</v>
      </c>
      <c r="H53" s="1410">
        <v>4387</v>
      </c>
      <c r="I53" s="1410">
        <v>6689</v>
      </c>
      <c r="J53" s="1410">
        <v>9862</v>
      </c>
      <c r="K53" s="1410">
        <v>13920</v>
      </c>
      <c r="L53" s="1410">
        <v>14534</v>
      </c>
      <c r="M53" s="1410">
        <v>14667</v>
      </c>
      <c r="N53" s="1410">
        <v>15951</v>
      </c>
      <c r="O53" s="1410">
        <v>16377</v>
      </c>
      <c r="P53" s="1410">
        <v>18615</v>
      </c>
      <c r="Q53" s="1410">
        <v>19170</v>
      </c>
    </row>
    <row r="55" spans="4:17" x14ac:dyDescent="0.2">
      <c r="F55" s="1664">
        <v>12783</v>
      </c>
      <c r="G55" s="1664">
        <v>13534</v>
      </c>
      <c r="H55" s="1664">
        <v>14152</v>
      </c>
      <c r="I55" s="1664">
        <v>14855</v>
      </c>
      <c r="J55" s="1664">
        <v>13852</v>
      </c>
      <c r="K55" s="1664">
        <v>10541</v>
      </c>
      <c r="L55" s="1664">
        <v>9417</v>
      </c>
      <c r="M55" s="1664">
        <v>9931</v>
      </c>
      <c r="N55" s="1664">
        <v>11180</v>
      </c>
      <c r="O55" s="1664">
        <v>12773</v>
      </c>
      <c r="P55" s="1664">
        <v>1593</v>
      </c>
    </row>
    <row r="57" spans="4:17" x14ac:dyDescent="0.2">
      <c r="D57" s="425" t="s">
        <v>93</v>
      </c>
      <c r="E57" s="425" t="s">
        <v>1638</v>
      </c>
      <c r="F57" s="1668"/>
    </row>
    <row r="58" spans="4:17" x14ac:dyDescent="0.2">
      <c r="D58" s="635"/>
      <c r="E58" s="1414" t="s">
        <v>135</v>
      </c>
      <c r="F58" s="1414" t="s">
        <v>136</v>
      </c>
      <c r="G58" s="1414" t="s">
        <v>137</v>
      </c>
      <c r="H58" s="1414" t="s">
        <v>138</v>
      </c>
      <c r="I58" s="1414" t="s">
        <v>139</v>
      </c>
      <c r="J58" s="1414" t="s">
        <v>140</v>
      </c>
      <c r="K58" s="1414" t="s">
        <v>141</v>
      </c>
      <c r="L58" s="1414" t="s">
        <v>142</v>
      </c>
      <c r="M58" s="1414" t="s">
        <v>143</v>
      </c>
      <c r="N58" s="1414" t="s">
        <v>144</v>
      </c>
      <c r="O58" s="1414" t="s">
        <v>145</v>
      </c>
    </row>
    <row r="59" spans="4:17" x14ac:dyDescent="0.2">
      <c r="D59" s="921" t="s">
        <v>1642</v>
      </c>
      <c r="E59" s="1934">
        <v>100</v>
      </c>
      <c r="F59" s="1934">
        <f>+H47/$G47*100</f>
        <v>103.1446035065144</v>
      </c>
      <c r="G59" s="1934">
        <f>+I47/$G47*100</f>
        <v>109.3694708058549</v>
      </c>
      <c r="H59" s="1934">
        <f>+J47/$G47*100</f>
        <v>114.21103426089753</v>
      </c>
      <c r="I59" s="1934">
        <f>+K47/$G47*100</f>
        <v>119.953353707576</v>
      </c>
      <c r="J59" s="1934">
        <f t="shared" ref="J59:O65" si="1">+L47/$G47*100</f>
        <v>111.80633746179829</v>
      </c>
      <c r="K59" s="1934">
        <f t="shared" si="1"/>
        <v>85.467267170661088</v>
      </c>
      <c r="L59" s="1934">
        <f t="shared" si="1"/>
        <v>76.202348399549621</v>
      </c>
      <c r="M59" s="1934">
        <f t="shared" si="1"/>
        <v>80.344217468232273</v>
      </c>
      <c r="N59" s="1934">
        <f t="shared" si="1"/>
        <v>90.244490912015436</v>
      </c>
      <c r="O59" s="1934">
        <f t="shared" si="1"/>
        <v>102.72639536754062</v>
      </c>
    </row>
    <row r="60" spans="4:17" x14ac:dyDescent="0.2">
      <c r="D60" s="921" t="s">
        <v>1643</v>
      </c>
      <c r="E60" s="1934">
        <v>100</v>
      </c>
      <c r="F60" s="1934">
        <f t="shared" ref="F60:I65" si="2">+H48/$G48*100</f>
        <v>89.13978494623656</v>
      </c>
      <c r="G60" s="1934">
        <f t="shared" si="2"/>
        <v>95.913978494623649</v>
      </c>
      <c r="H60" s="1934">
        <f t="shared" si="2"/>
        <v>133.87096774193549</v>
      </c>
      <c r="I60" s="1934">
        <f t="shared" si="2"/>
        <v>154.51612903225808</v>
      </c>
      <c r="J60" s="1934">
        <f t="shared" si="1"/>
        <v>151.82795698924733</v>
      </c>
      <c r="K60" s="1934">
        <f t="shared" si="1"/>
        <v>107.41935483870968</v>
      </c>
      <c r="L60" s="1934">
        <f t="shared" si="1"/>
        <v>88.27956989247312</v>
      </c>
      <c r="M60" s="1934">
        <f t="shared" si="1"/>
        <v>101.39784946236558</v>
      </c>
      <c r="N60" s="1934">
        <f t="shared" si="1"/>
        <v>106.55913978494624</v>
      </c>
      <c r="O60" s="1934">
        <f t="shared" si="1"/>
        <v>137.52688172043011</v>
      </c>
    </row>
    <row r="61" spans="4:17" x14ac:dyDescent="0.2">
      <c r="D61" s="921" t="s">
        <v>1644</v>
      </c>
      <c r="E61" s="1934">
        <v>100</v>
      </c>
      <c r="F61" s="1934">
        <f t="shared" si="2"/>
        <v>174.09090909090909</v>
      </c>
      <c r="G61" s="1934">
        <f t="shared" si="2"/>
        <v>212.27272727272725</v>
      </c>
      <c r="H61" s="1934">
        <f t="shared" si="2"/>
        <v>179.54545454545453</v>
      </c>
      <c r="I61" s="1934">
        <f t="shared" si="2"/>
        <v>175.45454545454547</v>
      </c>
      <c r="J61" s="1934">
        <f t="shared" si="1"/>
        <v>162.72727272727272</v>
      </c>
      <c r="K61" s="1934">
        <f t="shared" si="1"/>
        <v>132.27272727272728</v>
      </c>
      <c r="L61" s="1934">
        <f t="shared" si="1"/>
        <v>82.727272727272734</v>
      </c>
      <c r="M61" s="1934">
        <f t="shared" si="1"/>
        <v>65.909090909090907</v>
      </c>
      <c r="N61" s="1934">
        <f t="shared" si="1"/>
        <v>65.909090909090907</v>
      </c>
      <c r="O61" s="1934">
        <f t="shared" si="1"/>
        <v>54.090909090909086</v>
      </c>
    </row>
    <row r="62" spans="4:17" x14ac:dyDescent="0.2">
      <c r="D62" s="921" t="s">
        <v>1654</v>
      </c>
      <c r="E62" s="1934">
        <v>100</v>
      </c>
      <c r="F62" s="1934">
        <f t="shared" si="2"/>
        <v>90.674658488988015</v>
      </c>
      <c r="G62" s="1934">
        <f t="shared" si="2"/>
        <v>91.621530128639122</v>
      </c>
      <c r="H62" s="1934">
        <f t="shared" si="2"/>
        <v>77.645465769246087</v>
      </c>
      <c r="I62" s="1934">
        <f t="shared" si="2"/>
        <v>71.880600581464819</v>
      </c>
      <c r="J62" s="1934">
        <f t="shared" si="1"/>
        <v>67.376239595364211</v>
      </c>
      <c r="K62" s="1934">
        <f t="shared" si="1"/>
        <v>57.699430483093714</v>
      </c>
      <c r="L62" s="1934">
        <f t="shared" si="1"/>
        <v>57.721334979489427</v>
      </c>
      <c r="M62" s="1934">
        <f t="shared" si="1"/>
        <v>60.213469273965515</v>
      </c>
      <c r="N62" s="1934">
        <f t="shared" si="1"/>
        <v>68.939424110876573</v>
      </c>
      <c r="O62" s="1934"/>
    </row>
    <row r="63" spans="4:17" x14ac:dyDescent="0.2">
      <c r="D63" s="921" t="s">
        <v>1646</v>
      </c>
      <c r="E63" s="1934">
        <v>100</v>
      </c>
      <c r="F63" s="1934">
        <f t="shared" si="2"/>
        <v>101.72413793103448</v>
      </c>
      <c r="G63" s="1934">
        <f t="shared" si="2"/>
        <v>222.41379310344826</v>
      </c>
      <c r="H63" s="1934">
        <f t="shared" si="2"/>
        <v>248.27586206896552</v>
      </c>
      <c r="I63" s="1934">
        <f t="shared" si="2"/>
        <v>175.86206896551724</v>
      </c>
      <c r="J63" s="1934">
        <f t="shared" si="1"/>
        <v>160.34482758620689</v>
      </c>
      <c r="K63" s="1934">
        <f t="shared" si="1"/>
        <v>67.241379310344826</v>
      </c>
      <c r="L63" s="1934">
        <f t="shared" si="1"/>
        <v>60.344827586206897</v>
      </c>
      <c r="M63" s="1934">
        <f t="shared" si="1"/>
        <v>12.068965517241379</v>
      </c>
      <c r="N63" s="1934">
        <f t="shared" si="1"/>
        <v>36.206896551724135</v>
      </c>
      <c r="O63" s="1934">
        <f t="shared" si="1"/>
        <v>29.310344827586203</v>
      </c>
    </row>
    <row r="64" spans="4:17" x14ac:dyDescent="0.2">
      <c r="D64" s="921" t="s">
        <v>1647</v>
      </c>
      <c r="E64" s="1934">
        <v>100</v>
      </c>
      <c r="F64" s="1934">
        <f t="shared" si="2"/>
        <v>108.32712171227772</v>
      </c>
      <c r="G64" s="1934">
        <f t="shared" si="2"/>
        <v>135.88542221275691</v>
      </c>
      <c r="H64" s="1934">
        <f t="shared" si="2"/>
        <v>154.20083058247258</v>
      </c>
      <c r="I64" s="1934">
        <f t="shared" si="2"/>
        <v>196.33691832605686</v>
      </c>
      <c r="J64" s="1934">
        <f t="shared" si="1"/>
        <v>200.04259397295283</v>
      </c>
      <c r="K64" s="1934">
        <f t="shared" si="1"/>
        <v>179.84240230007453</v>
      </c>
      <c r="L64" s="1934">
        <f t="shared" si="1"/>
        <v>178.53263763177509</v>
      </c>
      <c r="M64" s="1934">
        <f t="shared" si="1"/>
        <v>191.14045362581194</v>
      </c>
      <c r="N64" s="1934">
        <f t="shared" si="1"/>
        <v>205.34554360557982</v>
      </c>
      <c r="O64" s="1934">
        <f t="shared" si="1"/>
        <v>215.96209136407199</v>
      </c>
    </row>
    <row r="65" spans="4:15" x14ac:dyDescent="0.2">
      <c r="D65" s="1932" t="s">
        <v>1648</v>
      </c>
      <c r="E65" s="1934">
        <v>100</v>
      </c>
      <c r="F65" s="1934">
        <f t="shared" si="2"/>
        <v>132.13855421686748</v>
      </c>
      <c r="G65" s="1934">
        <f t="shared" si="2"/>
        <v>201.47590361445782</v>
      </c>
      <c r="H65" s="1934">
        <f t="shared" si="2"/>
        <v>297.0481927710843</v>
      </c>
      <c r="I65" s="1934">
        <f t="shared" si="2"/>
        <v>419.2771084337349</v>
      </c>
      <c r="J65" s="1934">
        <f t="shared" si="1"/>
        <v>437.77108433734941</v>
      </c>
      <c r="K65" s="1934">
        <f t="shared" si="1"/>
        <v>441.77710843373495</v>
      </c>
      <c r="L65" s="1934">
        <f t="shared" si="1"/>
        <v>480.4518072289157</v>
      </c>
      <c r="M65" s="1934">
        <f t="shared" si="1"/>
        <v>493.2831325301205</v>
      </c>
      <c r="N65" s="1934">
        <f t="shared" si="1"/>
        <v>560.69277108433732</v>
      </c>
      <c r="O65" s="1934">
        <f t="shared" si="1"/>
        <v>577.40963855421694</v>
      </c>
    </row>
  </sheetData>
  <mergeCells count="7">
    <mergeCell ref="D40:R40"/>
    <mergeCell ref="D41:R41"/>
    <mergeCell ref="D2:Q2"/>
    <mergeCell ref="D3:Q3"/>
    <mergeCell ref="D4:Q4"/>
    <mergeCell ref="D38:R38"/>
    <mergeCell ref="D39:R39"/>
  </mergeCells>
  <pageMargins left="0.74803149606299213" right="0.74803149606299213" top="0.98425196850393704" bottom="0.98425196850393704" header="0.51181102362204722" footer="0.51181102362204722"/>
  <pageSetup paperSize="9" scale="6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3"/>
  <sheetViews>
    <sheetView showGridLines="0" view="pageBreakPreview" topLeftCell="F1" zoomScaleNormal="100" zoomScaleSheetLayoutView="100" workbookViewId="0">
      <selection activeCell="T24" sqref="T24"/>
    </sheetView>
  </sheetViews>
  <sheetFormatPr defaultColWidth="9.140625" defaultRowHeight="15" x14ac:dyDescent="0.25"/>
  <cols>
    <col min="1" max="1" width="3.7109375" style="453" customWidth="1"/>
    <col min="2" max="2" width="14.42578125" style="670" customWidth="1"/>
    <col min="3" max="3" width="3.7109375" style="670" customWidth="1"/>
    <col min="4" max="4" width="15.5703125" style="229" customWidth="1"/>
    <col min="5" max="5" width="12.85546875" style="229" customWidth="1"/>
    <col min="6" max="6" width="13.28515625" style="1923" customWidth="1"/>
    <col min="7" max="7" width="12.7109375" style="229" bestFit="1" customWidth="1"/>
    <col min="8" max="8" width="13.85546875" style="229" customWidth="1"/>
    <col min="9" max="9" width="13.140625" style="229" customWidth="1"/>
    <col min="10" max="10" width="13.42578125" style="229" customWidth="1"/>
    <col min="11" max="13" width="13.7109375" style="229" customWidth="1"/>
    <col min="14" max="14" width="12.7109375" style="229" bestFit="1" customWidth="1"/>
    <col min="15" max="16" width="12.42578125" style="229" customWidth="1"/>
    <col min="17" max="18" width="9.5703125" style="229" customWidth="1"/>
    <col min="19" max="20" width="9" style="229" customWidth="1"/>
    <col min="21" max="16384" width="9.140625" style="229"/>
  </cols>
  <sheetData>
    <row r="1" spans="1:22" x14ac:dyDescent="0.25">
      <c r="D1" s="996"/>
      <c r="E1" s="996"/>
      <c r="F1" s="1406"/>
      <c r="G1" s="996"/>
      <c r="H1" s="996"/>
      <c r="I1" s="996"/>
      <c r="J1" s="996"/>
      <c r="K1" s="996"/>
      <c r="L1" s="996"/>
      <c r="M1" s="996"/>
      <c r="N1" s="996"/>
      <c r="O1" s="996"/>
      <c r="P1" s="996"/>
      <c r="Q1" s="996"/>
      <c r="R1" s="996"/>
    </row>
    <row r="2" spans="1:22" ht="13.15" customHeight="1" x14ac:dyDescent="0.25">
      <c r="A2" s="453">
        <v>1</v>
      </c>
      <c r="B2" s="453" t="s">
        <v>24</v>
      </c>
      <c r="C2" s="453">
        <f>1+'Serious robberies'!C2</f>
        <v>67</v>
      </c>
      <c r="D2" s="3547" t="s">
        <v>1655</v>
      </c>
      <c r="E2" s="3548"/>
      <c r="F2" s="3548"/>
      <c r="G2" s="3548"/>
      <c r="H2" s="3548"/>
      <c r="I2" s="3548"/>
      <c r="J2" s="3548"/>
      <c r="K2" s="3548"/>
      <c r="L2" s="3548"/>
      <c r="M2" s="3548"/>
      <c r="N2" s="3548"/>
      <c r="O2" s="3548"/>
      <c r="P2" s="3549"/>
      <c r="Q2" s="1415"/>
      <c r="R2" s="1416"/>
      <c r="S2" s="1416"/>
      <c r="T2" s="1416"/>
      <c r="U2" s="1026"/>
      <c r="V2" s="1026"/>
    </row>
    <row r="3" spans="1:22" ht="15" customHeight="1" x14ac:dyDescent="0.25">
      <c r="A3" s="453">
        <v>2</v>
      </c>
      <c r="B3" s="453" t="s">
        <v>26</v>
      </c>
      <c r="C3" s="453"/>
      <c r="D3" s="3547" t="s">
        <v>1621</v>
      </c>
      <c r="E3" s="3548"/>
      <c r="F3" s="3548"/>
      <c r="G3" s="3548"/>
      <c r="H3" s="3548"/>
      <c r="I3" s="3548"/>
      <c r="J3" s="3548"/>
      <c r="K3" s="3548"/>
      <c r="L3" s="3548"/>
      <c r="M3" s="3548"/>
      <c r="N3" s="3548"/>
      <c r="O3" s="3548"/>
      <c r="P3" s="3549"/>
      <c r="Q3" s="1415"/>
      <c r="R3" s="1416"/>
      <c r="S3" s="1416"/>
      <c r="T3" s="1416"/>
    </row>
    <row r="4" spans="1:22" ht="12.75" customHeight="1" x14ac:dyDescent="0.25">
      <c r="A4" s="453">
        <v>3</v>
      </c>
      <c r="B4" s="453" t="s">
        <v>28</v>
      </c>
      <c r="C4" s="453"/>
      <c r="D4" s="3547" t="s">
        <v>1656</v>
      </c>
      <c r="E4" s="3548"/>
      <c r="F4" s="3548"/>
      <c r="G4" s="3548"/>
      <c r="H4" s="3548"/>
      <c r="I4" s="3548"/>
      <c r="J4" s="3548"/>
      <c r="K4" s="3548"/>
      <c r="L4" s="3548"/>
      <c r="M4" s="3548"/>
      <c r="N4" s="3548"/>
      <c r="O4" s="3548"/>
      <c r="P4" s="3549"/>
      <c r="Q4" s="1415"/>
      <c r="R4" s="1416"/>
      <c r="S4" s="1416"/>
      <c r="T4" s="1416"/>
    </row>
    <row r="5" spans="1:22" ht="13.5" customHeight="1" x14ac:dyDescent="0.25">
      <c r="A5" s="1170"/>
      <c r="B5" s="1170"/>
      <c r="C5" s="1170"/>
      <c r="D5" s="3929"/>
      <c r="E5" s="3929"/>
      <c r="F5" s="3929"/>
      <c r="G5" s="3929"/>
      <c r="H5" s="3929"/>
      <c r="I5" s="3929"/>
      <c r="J5" s="3929"/>
      <c r="K5" s="3929"/>
      <c r="L5" s="3929"/>
      <c r="M5" s="3929"/>
      <c r="N5" s="1417"/>
      <c r="O5" s="1417"/>
      <c r="P5" s="195"/>
      <c r="Q5" s="117"/>
      <c r="R5" s="117"/>
    </row>
    <row r="6" spans="1:22" x14ac:dyDescent="0.25">
      <c r="A6" s="453">
        <v>4</v>
      </c>
      <c r="B6" s="650" t="s">
        <v>1</v>
      </c>
      <c r="D6" s="120" t="s">
        <v>31</v>
      </c>
      <c r="E6" s="120" t="s">
        <v>1657</v>
      </c>
      <c r="F6" s="372"/>
      <c r="G6" s="372"/>
      <c r="H6" s="372"/>
      <c r="I6" s="372"/>
      <c r="J6" s="372"/>
      <c r="K6" s="372"/>
      <c r="L6" s="372"/>
      <c r="M6" s="372"/>
      <c r="N6" s="119"/>
      <c r="O6" s="1024"/>
      <c r="P6" s="1024"/>
      <c r="Q6" s="117"/>
      <c r="R6" s="117"/>
      <c r="S6" s="117"/>
      <c r="T6" s="117"/>
    </row>
    <row r="7" spans="1:22" x14ac:dyDescent="0.25">
      <c r="A7" s="650"/>
      <c r="B7" s="745"/>
      <c r="C7" s="745"/>
      <c r="D7" s="2995"/>
      <c r="E7" s="1517" t="s">
        <v>134</v>
      </c>
      <c r="F7" s="1517" t="s">
        <v>135</v>
      </c>
      <c r="G7" s="1517" t="s">
        <v>136</v>
      </c>
      <c r="H7" s="1517" t="s">
        <v>137</v>
      </c>
      <c r="I7" s="1517" t="s">
        <v>138</v>
      </c>
      <c r="J7" s="1517" t="s">
        <v>139</v>
      </c>
      <c r="K7" s="1517" t="s">
        <v>140</v>
      </c>
      <c r="L7" s="1517" t="s">
        <v>141</v>
      </c>
      <c r="M7" s="1517" t="s">
        <v>142</v>
      </c>
      <c r="N7" s="1515" t="s">
        <v>143</v>
      </c>
      <c r="O7" s="1515" t="s">
        <v>144</v>
      </c>
      <c r="P7" s="3010" t="s">
        <v>145</v>
      </c>
      <c r="Q7" s="723"/>
    </row>
    <row r="8" spans="1:22" ht="5.25" customHeight="1" x14ac:dyDescent="0.25">
      <c r="A8" s="650"/>
      <c r="B8" s="745"/>
      <c r="C8" s="745"/>
      <c r="D8" s="2949"/>
      <c r="E8" s="1048"/>
      <c r="F8" s="1048"/>
      <c r="G8" s="1048"/>
      <c r="H8" s="1048"/>
      <c r="I8" s="1048"/>
      <c r="J8" s="1048"/>
      <c r="K8" s="1048"/>
      <c r="L8" s="1048"/>
      <c r="M8" s="1048"/>
      <c r="N8" s="1048"/>
      <c r="O8" s="1048"/>
      <c r="P8" s="3011"/>
      <c r="Q8" s="770"/>
      <c r="R8" s="770"/>
      <c r="S8" s="770"/>
      <c r="T8" s="1893"/>
      <c r="U8" s="1893"/>
    </row>
    <row r="9" spans="1:22" x14ac:dyDescent="0.25">
      <c r="A9" s="650"/>
      <c r="B9" s="745"/>
      <c r="C9" s="745"/>
      <c r="D9" s="2948" t="s">
        <v>415</v>
      </c>
      <c r="E9" s="1924">
        <v>7893</v>
      </c>
      <c r="F9" s="1924">
        <v>9061</v>
      </c>
      <c r="G9" s="1924">
        <v>7511</v>
      </c>
      <c r="H9" s="1924">
        <v>7231</v>
      </c>
      <c r="I9" s="1924">
        <v>8003</v>
      </c>
      <c r="J9" s="1924">
        <v>8437</v>
      </c>
      <c r="K9" s="1924">
        <v>8946</v>
      </c>
      <c r="L9" s="1924">
        <v>9566</v>
      </c>
      <c r="M9" s="1924">
        <v>11654</v>
      </c>
      <c r="N9" s="1924">
        <v>12877</v>
      </c>
      <c r="O9" s="1924">
        <v>15063</v>
      </c>
      <c r="P9" s="3012">
        <v>16038</v>
      </c>
      <c r="Q9" s="770"/>
      <c r="R9" s="770"/>
      <c r="S9" s="770"/>
      <c r="T9" s="1893"/>
      <c r="U9" s="1893"/>
    </row>
    <row r="10" spans="1:22" x14ac:dyDescent="0.25">
      <c r="A10" s="650"/>
      <c r="B10" s="745"/>
      <c r="C10" s="745"/>
      <c r="D10" s="2948" t="s">
        <v>1658</v>
      </c>
      <c r="E10" s="1924">
        <v>3550</v>
      </c>
      <c r="F10" s="1924">
        <v>4063</v>
      </c>
      <c r="G10" s="1924">
        <v>5074</v>
      </c>
      <c r="H10" s="1924">
        <v>5462</v>
      </c>
      <c r="I10" s="1924">
        <v>4525</v>
      </c>
      <c r="J10" s="1924">
        <v>4561</v>
      </c>
      <c r="K10" s="1924">
        <v>5110</v>
      </c>
      <c r="L10" s="1924">
        <v>4209</v>
      </c>
      <c r="M10" s="1924">
        <v>4463</v>
      </c>
      <c r="N10" s="1924">
        <v>6168</v>
      </c>
      <c r="O10" s="1924">
        <v>8199</v>
      </c>
      <c r="P10" s="3012">
        <v>8776</v>
      </c>
      <c r="Q10" s="770"/>
      <c r="R10" s="770"/>
      <c r="S10" s="770"/>
      <c r="T10" s="1893"/>
      <c r="U10" s="1893"/>
    </row>
    <row r="11" spans="1:22" x14ac:dyDescent="0.25">
      <c r="A11" s="650"/>
      <c r="B11" s="745"/>
      <c r="C11" s="745"/>
      <c r="D11" s="2948" t="s">
        <v>581</v>
      </c>
      <c r="E11" s="1924">
        <v>9428</v>
      </c>
      <c r="F11" s="1924">
        <v>10722</v>
      </c>
      <c r="G11" s="1924">
        <v>14202</v>
      </c>
      <c r="H11" s="1924">
        <v>12582</v>
      </c>
      <c r="I11" s="1924">
        <v>12742</v>
      </c>
      <c r="J11" s="1924">
        <v>13574</v>
      </c>
      <c r="K11" s="1924">
        <v>14729</v>
      </c>
      <c r="L11" s="1924">
        <v>16457</v>
      </c>
      <c r="M11" s="1924">
        <v>25949</v>
      </c>
      <c r="N11" s="1924">
        <v>38159</v>
      </c>
      <c r="O11" s="1924">
        <v>74713</v>
      </c>
      <c r="P11" s="3012">
        <v>70264</v>
      </c>
      <c r="Q11" s="770"/>
      <c r="R11" s="770"/>
      <c r="S11" s="770"/>
      <c r="T11" s="1893"/>
      <c r="U11" s="1893"/>
    </row>
    <row r="12" spans="1:22" x14ac:dyDescent="0.25">
      <c r="A12" s="650"/>
      <c r="B12" s="745"/>
      <c r="C12" s="745"/>
      <c r="D12" s="2948" t="s">
        <v>1659</v>
      </c>
      <c r="E12" s="1924">
        <v>13599</v>
      </c>
      <c r="F12" s="1924">
        <v>19290</v>
      </c>
      <c r="G12" s="1924">
        <v>23206</v>
      </c>
      <c r="H12" s="1924">
        <v>26228</v>
      </c>
      <c r="I12" s="1924">
        <v>24100</v>
      </c>
      <c r="J12" s="1924">
        <v>23819</v>
      </c>
      <c r="K12" s="1924">
        <v>28693</v>
      </c>
      <c r="L12" s="1924">
        <v>32457</v>
      </c>
      <c r="M12" s="1924">
        <v>37415</v>
      </c>
      <c r="N12" s="1924">
        <v>42167</v>
      </c>
      <c r="O12" s="1924">
        <v>45954</v>
      </c>
      <c r="P12" s="3012">
        <v>47377</v>
      </c>
      <c r="Q12" s="770"/>
      <c r="R12" s="770"/>
      <c r="S12" s="770"/>
      <c r="T12" s="1893"/>
      <c r="U12" s="1893"/>
    </row>
    <row r="13" spans="1:22" x14ac:dyDescent="0.25">
      <c r="A13" s="650"/>
      <c r="B13" s="745"/>
      <c r="C13" s="745"/>
      <c r="D13" s="2948" t="s">
        <v>422</v>
      </c>
      <c r="E13" s="1924">
        <v>1706</v>
      </c>
      <c r="F13" s="1924">
        <v>1786</v>
      </c>
      <c r="G13" s="1924">
        <v>1977</v>
      </c>
      <c r="H13" s="1924">
        <v>2178</v>
      </c>
      <c r="I13" s="1924">
        <v>3198</v>
      </c>
      <c r="J13" s="1924">
        <v>3316</v>
      </c>
      <c r="K13" s="1924">
        <v>4837</v>
      </c>
      <c r="L13" s="1924">
        <v>4634</v>
      </c>
      <c r="M13" s="1924">
        <v>5254</v>
      </c>
      <c r="N13" s="1924">
        <v>7530</v>
      </c>
      <c r="O13" s="1924">
        <v>9609</v>
      </c>
      <c r="P13" s="3012">
        <v>11716</v>
      </c>
      <c r="Q13" s="770"/>
      <c r="R13" s="770"/>
      <c r="S13" s="770"/>
      <c r="T13" s="1893"/>
      <c r="U13" s="1893"/>
    </row>
    <row r="14" spans="1:22" x14ac:dyDescent="0.25">
      <c r="A14" s="650"/>
      <c r="B14" s="745"/>
      <c r="C14" s="745"/>
      <c r="D14" s="2948" t="s">
        <v>1660</v>
      </c>
      <c r="E14" s="1924">
        <v>1314</v>
      </c>
      <c r="F14" s="1924">
        <v>1714</v>
      </c>
      <c r="G14" s="1924">
        <v>1794</v>
      </c>
      <c r="H14" s="1924">
        <v>2068</v>
      </c>
      <c r="I14" s="1924">
        <v>1770</v>
      </c>
      <c r="J14" s="1924">
        <v>1642</v>
      </c>
      <c r="K14" s="1924">
        <v>2041</v>
      </c>
      <c r="L14" s="1924">
        <v>3178</v>
      </c>
      <c r="M14" s="1924">
        <v>4153</v>
      </c>
      <c r="N14" s="1924">
        <v>5844</v>
      </c>
      <c r="O14" s="1924">
        <v>7464</v>
      </c>
      <c r="P14" s="3012">
        <v>8841</v>
      </c>
      <c r="Q14" s="770"/>
      <c r="R14" s="770"/>
      <c r="S14" s="770"/>
      <c r="T14" s="1893"/>
      <c r="U14" s="1893"/>
    </row>
    <row r="15" spans="1:22" x14ac:dyDescent="0.25">
      <c r="A15" s="650"/>
      <c r="B15" s="745"/>
      <c r="C15" s="745"/>
      <c r="D15" s="2948" t="s">
        <v>419</v>
      </c>
      <c r="E15" s="1924">
        <v>3117</v>
      </c>
      <c r="F15" s="1924">
        <v>4383</v>
      </c>
      <c r="G15" s="1924">
        <v>5053</v>
      </c>
      <c r="H15" s="1924">
        <v>5759</v>
      </c>
      <c r="I15" s="1924">
        <v>6610</v>
      </c>
      <c r="J15" s="1924">
        <v>7109</v>
      </c>
      <c r="K15" s="1924">
        <v>7704</v>
      </c>
      <c r="L15" s="1924">
        <v>7166</v>
      </c>
      <c r="M15" s="1924">
        <v>7678</v>
      </c>
      <c r="N15" s="1924">
        <v>9157</v>
      </c>
      <c r="O15" s="1924">
        <v>11015</v>
      </c>
      <c r="P15" s="3012">
        <v>11632</v>
      </c>
      <c r="Q15" s="770"/>
      <c r="R15" s="770"/>
      <c r="S15" s="770"/>
      <c r="T15" s="1893"/>
      <c r="U15" s="1893"/>
    </row>
    <row r="16" spans="1:22" x14ac:dyDescent="0.25">
      <c r="A16" s="650"/>
      <c r="B16" s="745"/>
      <c r="C16" s="745"/>
      <c r="D16" s="2948" t="s">
        <v>1661</v>
      </c>
      <c r="E16" s="1924">
        <v>2142</v>
      </c>
      <c r="F16" s="1924">
        <v>2550</v>
      </c>
      <c r="G16" s="1924">
        <v>2085</v>
      </c>
      <c r="H16" s="1924">
        <v>2114</v>
      </c>
      <c r="I16" s="1924">
        <v>2201</v>
      </c>
      <c r="J16" s="1924">
        <v>1933</v>
      </c>
      <c r="K16" s="1924">
        <v>2371</v>
      </c>
      <c r="L16" s="1924">
        <v>2418</v>
      </c>
      <c r="M16" s="1924">
        <v>2672</v>
      </c>
      <c r="N16" s="1924">
        <v>2861</v>
      </c>
      <c r="O16" s="1924">
        <v>3252</v>
      </c>
      <c r="P16" s="3012">
        <v>3527</v>
      </c>
      <c r="Q16" s="770"/>
      <c r="R16" s="770"/>
      <c r="S16" s="770"/>
      <c r="T16" s="1893"/>
      <c r="U16" s="1893"/>
    </row>
    <row r="17" spans="1:22" x14ac:dyDescent="0.25">
      <c r="A17" s="650"/>
      <c r="B17" s="745"/>
      <c r="C17" s="745"/>
      <c r="D17" s="2948" t="s">
        <v>414</v>
      </c>
      <c r="E17" s="1924">
        <v>19940</v>
      </c>
      <c r="F17" s="1924">
        <v>30432</v>
      </c>
      <c r="G17" s="1924">
        <v>34788</v>
      </c>
      <c r="H17" s="1924">
        <v>41067</v>
      </c>
      <c r="I17" s="1924">
        <v>45985</v>
      </c>
      <c r="J17" s="1924">
        <v>52781</v>
      </c>
      <c r="K17" s="1924">
        <v>60409</v>
      </c>
      <c r="L17" s="1924">
        <v>70588</v>
      </c>
      <c r="M17" s="1924">
        <v>77069</v>
      </c>
      <c r="N17" s="1924">
        <v>82062</v>
      </c>
      <c r="O17" s="1924">
        <v>85463</v>
      </c>
      <c r="P17" s="3012">
        <v>88731</v>
      </c>
      <c r="Q17" s="770"/>
      <c r="R17" s="770"/>
      <c r="S17" s="770"/>
      <c r="T17" s="1893"/>
      <c r="U17" s="1893"/>
    </row>
    <row r="18" spans="1:22" x14ac:dyDescent="0.25">
      <c r="A18" s="650"/>
      <c r="B18" s="745"/>
      <c r="C18" s="745"/>
      <c r="D18" s="3007" t="s">
        <v>1662</v>
      </c>
      <c r="E18" s="1925">
        <f>SUM(E9:E17)</f>
        <v>62689</v>
      </c>
      <c r="F18" s="1925">
        <v>84001</v>
      </c>
      <c r="G18" s="1925">
        <v>95690</v>
      </c>
      <c r="H18" s="1925">
        <v>104689</v>
      </c>
      <c r="I18" s="1925">
        <v>109134</v>
      </c>
      <c r="J18" s="1925">
        <v>117172</v>
      </c>
      <c r="K18" s="1925">
        <v>134840</v>
      </c>
      <c r="L18" s="1925">
        <v>150673</v>
      </c>
      <c r="M18" s="1925">
        <v>176307</v>
      </c>
      <c r="N18" s="1925">
        <v>206825</v>
      </c>
      <c r="O18" s="1925">
        <v>260732</v>
      </c>
      <c r="P18" s="3013">
        <v>266902</v>
      </c>
      <c r="Q18" s="770"/>
      <c r="R18" s="770"/>
      <c r="S18" s="770"/>
      <c r="T18" s="1893"/>
      <c r="U18" s="1893"/>
    </row>
    <row r="19" spans="1:22" x14ac:dyDescent="0.25">
      <c r="A19" s="650"/>
      <c r="B19" s="745"/>
      <c r="C19" s="745"/>
      <c r="D19" s="277"/>
      <c r="E19" s="1926"/>
      <c r="F19" s="1926"/>
      <c r="G19" s="1926"/>
      <c r="H19" s="1926"/>
      <c r="I19" s="1926"/>
      <c r="J19" s="1926"/>
      <c r="K19" s="1926"/>
      <c r="L19" s="1926"/>
      <c r="M19" s="1926"/>
      <c r="N19" s="1517"/>
      <c r="O19" s="770"/>
      <c r="P19" s="770"/>
      <c r="Q19" s="770"/>
      <c r="R19" s="770"/>
      <c r="S19" s="770"/>
      <c r="T19" s="1893"/>
      <c r="U19" s="1893"/>
    </row>
    <row r="20" spans="1:22" x14ac:dyDescent="0.25">
      <c r="A20" s="650"/>
      <c r="B20" s="745"/>
      <c r="C20" s="745"/>
      <c r="D20" s="120" t="s">
        <v>55</v>
      </c>
      <c r="E20" s="3930" t="s">
        <v>1663</v>
      </c>
      <c r="F20" s="3930"/>
      <c r="G20" s="3930"/>
      <c r="H20" s="3930"/>
      <c r="I20" s="3930"/>
      <c r="J20" s="3930"/>
      <c r="K20" s="3930"/>
      <c r="L20" s="3930"/>
      <c r="M20" s="3930"/>
      <c r="N20" s="723"/>
      <c r="O20" s="770"/>
      <c r="P20" s="770"/>
      <c r="Q20" s="770"/>
      <c r="R20" s="770"/>
      <c r="S20" s="770"/>
      <c r="T20" s="1893"/>
      <c r="U20" s="1893"/>
    </row>
    <row r="21" spans="1:22" x14ac:dyDescent="0.25">
      <c r="A21" s="650"/>
      <c r="B21" s="745"/>
      <c r="C21" s="745"/>
      <c r="D21" s="3008"/>
      <c r="E21" s="1912" t="s">
        <v>134</v>
      </c>
      <c r="F21" s="1912" t="s">
        <v>135</v>
      </c>
      <c r="G21" s="1912" t="s">
        <v>136</v>
      </c>
      <c r="H21" s="1912" t="s">
        <v>137</v>
      </c>
      <c r="I21" s="1912" t="s">
        <v>138</v>
      </c>
      <c r="J21" s="1912" t="s">
        <v>139</v>
      </c>
      <c r="K21" s="1912" t="s">
        <v>140</v>
      </c>
      <c r="L21" s="1912" t="s">
        <v>141</v>
      </c>
      <c r="M21" s="1912" t="s">
        <v>142</v>
      </c>
      <c r="N21" s="1912" t="s">
        <v>143</v>
      </c>
      <c r="O21" s="1912" t="s">
        <v>144</v>
      </c>
      <c r="P21" s="3014" t="s">
        <v>145</v>
      </c>
      <c r="Q21" s="770"/>
      <c r="R21" s="770"/>
      <c r="S21" s="770"/>
      <c r="T21" s="1893"/>
      <c r="U21" s="1893"/>
    </row>
    <row r="22" spans="1:22" x14ac:dyDescent="0.25">
      <c r="A22" s="650"/>
      <c r="B22" s="745"/>
      <c r="C22" s="745"/>
      <c r="D22" s="2948" t="s">
        <v>415</v>
      </c>
      <c r="E22" s="1927">
        <v>114.2</v>
      </c>
      <c r="F22" s="1927">
        <v>131.4</v>
      </c>
      <c r="G22" s="1927">
        <v>109</v>
      </c>
      <c r="H22" s="1927">
        <v>104.9</v>
      </c>
      <c r="I22" s="1927">
        <v>115.9</v>
      </c>
      <c r="J22" s="1927">
        <v>128.19999999999999</v>
      </c>
      <c r="K22" s="1927">
        <v>134.6</v>
      </c>
      <c r="L22" s="1927">
        <v>141.80000000000001</v>
      </c>
      <c r="M22" s="1927">
        <v>170.6</v>
      </c>
      <c r="N22" s="1927">
        <v>195.5</v>
      </c>
      <c r="O22" s="1927">
        <v>227.5</v>
      </c>
      <c r="P22" s="3015">
        <v>236.30888551464699</v>
      </c>
      <c r="Q22" s="770"/>
      <c r="R22" s="770"/>
      <c r="S22" s="770"/>
      <c r="T22" s="1893"/>
      <c r="U22" s="1893"/>
    </row>
    <row r="23" spans="1:22" x14ac:dyDescent="0.25">
      <c r="A23" s="650"/>
      <c r="B23" s="745"/>
      <c r="C23" s="745"/>
      <c r="D23" s="2948" t="s">
        <v>1658</v>
      </c>
      <c r="E23" s="1927">
        <v>119.6</v>
      </c>
      <c r="F23" s="1927">
        <v>138.4</v>
      </c>
      <c r="G23" s="1927">
        <v>171.8</v>
      </c>
      <c r="H23" s="1927">
        <v>184.6</v>
      </c>
      <c r="I23" s="1927">
        <v>152.9</v>
      </c>
      <c r="J23" s="1927">
        <v>158.5</v>
      </c>
      <c r="K23" s="1927">
        <v>176.1</v>
      </c>
      <c r="L23" s="1927">
        <v>149</v>
      </c>
      <c r="M23" s="1927">
        <v>161.69999999999999</v>
      </c>
      <c r="N23" s="1927">
        <v>224.4</v>
      </c>
      <c r="O23" s="1927">
        <v>297.8</v>
      </c>
      <c r="P23" s="3015">
        <v>314.91800038140622</v>
      </c>
      <c r="Q23" s="770"/>
      <c r="R23" s="770"/>
      <c r="S23" s="770"/>
      <c r="T23" s="1893"/>
      <c r="U23" s="1893"/>
    </row>
    <row r="24" spans="1:22" x14ac:dyDescent="0.25">
      <c r="A24" s="650"/>
      <c r="B24" s="745"/>
      <c r="C24" s="745"/>
      <c r="D24" s="2948" t="s">
        <v>581</v>
      </c>
      <c r="E24" s="1927">
        <v>103.7</v>
      </c>
      <c r="F24" s="1927">
        <v>116.8</v>
      </c>
      <c r="G24" s="1927">
        <v>152.19999999999999</v>
      </c>
      <c r="H24" s="1927">
        <v>132.1</v>
      </c>
      <c r="I24" s="1927">
        <v>131.5</v>
      </c>
      <c r="J24" s="1927">
        <v>129.9</v>
      </c>
      <c r="K24" s="1927">
        <v>139.9</v>
      </c>
      <c r="L24" s="1927">
        <v>147</v>
      </c>
      <c r="M24" s="1927">
        <v>229.1</v>
      </c>
      <c r="N24" s="1927">
        <v>306.2</v>
      </c>
      <c r="O24" s="1927">
        <v>587</v>
      </c>
      <c r="P24" s="3015">
        <v>544.05727471369539</v>
      </c>
      <c r="Q24" s="770"/>
      <c r="R24" s="770"/>
      <c r="S24" s="770"/>
      <c r="T24" s="1893"/>
      <c r="U24" s="1893"/>
    </row>
    <row r="25" spans="1:22" x14ac:dyDescent="0.25">
      <c r="A25" s="650"/>
      <c r="B25" s="745"/>
      <c r="C25" s="745"/>
      <c r="D25" s="2948" t="s">
        <v>1659</v>
      </c>
      <c r="E25" s="1927">
        <v>139.6</v>
      </c>
      <c r="F25" s="1927">
        <v>197.2</v>
      </c>
      <c r="G25" s="1927">
        <v>235.7</v>
      </c>
      <c r="H25" s="1927">
        <v>264.3</v>
      </c>
      <c r="I25" s="1927">
        <v>240.7</v>
      </c>
      <c r="J25" s="1927">
        <v>235.7</v>
      </c>
      <c r="K25" s="1927">
        <v>274.60000000000002</v>
      </c>
      <c r="L25" s="1927">
        <v>304.89999999999998</v>
      </c>
      <c r="M25" s="1927">
        <v>345.8</v>
      </c>
      <c r="N25" s="1927">
        <v>407.6</v>
      </c>
      <c r="O25" s="1927">
        <v>439.5</v>
      </c>
      <c r="P25" s="3015">
        <v>443.0061303132016</v>
      </c>
      <c r="Q25" s="770"/>
      <c r="R25" s="770"/>
      <c r="S25" s="770"/>
      <c r="T25" s="1893"/>
      <c r="U25" s="1893"/>
    </row>
    <row r="26" spans="1:22" x14ac:dyDescent="0.25">
      <c r="A26" s="650"/>
      <c r="B26" s="745"/>
      <c r="C26" s="745"/>
      <c r="D26" s="2948" t="s">
        <v>422</v>
      </c>
      <c r="E26" s="1927">
        <v>32</v>
      </c>
      <c r="F26" s="1927">
        <v>33.6</v>
      </c>
      <c r="G26" s="1927">
        <v>37</v>
      </c>
      <c r="H26" s="1927">
        <v>40.6</v>
      </c>
      <c r="I26" s="1927">
        <v>59.2</v>
      </c>
      <c r="J26" s="1927">
        <v>62.9</v>
      </c>
      <c r="K26" s="1927">
        <v>92.5</v>
      </c>
      <c r="L26" s="1927">
        <v>85.2</v>
      </c>
      <c r="M26" s="1927">
        <v>94.6</v>
      </c>
      <c r="N26" s="1927">
        <v>138.1</v>
      </c>
      <c r="O26" s="1927">
        <v>174.1</v>
      </c>
      <c r="P26" s="3015">
        <v>208.08229953254275</v>
      </c>
      <c r="Q26" s="770"/>
      <c r="R26" s="770"/>
      <c r="S26" s="770"/>
      <c r="T26" s="1893"/>
      <c r="U26" s="1893"/>
    </row>
    <row r="27" spans="1:22" x14ac:dyDescent="0.25">
      <c r="A27" s="650"/>
      <c r="B27" s="745"/>
      <c r="C27" s="745"/>
      <c r="D27" s="2948" t="s">
        <v>1660</v>
      </c>
      <c r="E27" s="1927">
        <v>37.799999999999997</v>
      </c>
      <c r="F27" s="1927">
        <v>49.7</v>
      </c>
      <c r="G27" s="1927">
        <v>51.7</v>
      </c>
      <c r="H27" s="1927">
        <v>59</v>
      </c>
      <c r="I27" s="1927">
        <v>50.1</v>
      </c>
      <c r="J27" s="1927">
        <v>45.7</v>
      </c>
      <c r="K27" s="1927">
        <v>56.6</v>
      </c>
      <c r="L27" s="1927">
        <v>87.8</v>
      </c>
      <c r="M27" s="1927">
        <v>113.6</v>
      </c>
      <c r="N27" s="1927">
        <v>143.4</v>
      </c>
      <c r="O27" s="1927">
        <v>180.8</v>
      </c>
      <c r="P27" s="3015">
        <v>209.04056336517061</v>
      </c>
      <c r="Q27" s="770"/>
      <c r="R27" s="770"/>
      <c r="S27" s="770"/>
      <c r="T27" s="1893"/>
      <c r="U27" s="1893"/>
    </row>
    <row r="28" spans="1:22" x14ac:dyDescent="0.25">
      <c r="A28" s="650"/>
      <c r="B28" s="745"/>
      <c r="C28" s="745"/>
      <c r="D28" s="2948" t="s">
        <v>419</v>
      </c>
      <c r="E28" s="1927">
        <v>93.3</v>
      </c>
      <c r="F28" s="1927">
        <v>130.69999999999999</v>
      </c>
      <c r="G28" s="1927">
        <v>151.80000000000001</v>
      </c>
      <c r="H28" s="1927">
        <v>170.7</v>
      </c>
      <c r="I28" s="1927">
        <v>194.7</v>
      </c>
      <c r="J28" s="1927">
        <v>207.6</v>
      </c>
      <c r="K28" s="1927">
        <v>223.3</v>
      </c>
      <c r="L28" s="1927">
        <v>223.9</v>
      </c>
      <c r="M28" s="1927">
        <v>236</v>
      </c>
      <c r="N28" s="1927">
        <v>258.2</v>
      </c>
      <c r="O28" s="1927">
        <v>306.2</v>
      </c>
      <c r="P28" s="3015">
        <v>316.40735901797666</v>
      </c>
      <c r="Q28" s="770"/>
      <c r="R28" s="770"/>
      <c r="S28" s="770"/>
      <c r="T28" s="1893"/>
      <c r="U28" s="1893"/>
    </row>
    <row r="29" spans="1:22" ht="14.25" customHeight="1" x14ac:dyDescent="0.25">
      <c r="B29" s="1914"/>
      <c r="C29" s="1915"/>
      <c r="D29" s="2948" t="s">
        <v>1661</v>
      </c>
      <c r="E29" s="1927">
        <v>200.8</v>
      </c>
      <c r="F29" s="1927">
        <v>238</v>
      </c>
      <c r="G29" s="1927">
        <v>193.3</v>
      </c>
      <c r="H29" s="1927">
        <v>193.1</v>
      </c>
      <c r="I29" s="1927">
        <v>199.7</v>
      </c>
      <c r="J29" s="1927">
        <v>171.7</v>
      </c>
      <c r="K29" s="1927">
        <v>206.6</v>
      </c>
      <c r="L29" s="1927">
        <v>219</v>
      </c>
      <c r="M29" s="1927">
        <v>243.6</v>
      </c>
      <c r="N29" s="1927">
        <v>248.1</v>
      </c>
      <c r="O29" s="1927">
        <v>279.60000000000002</v>
      </c>
      <c r="P29" s="3015">
        <v>302.31070902104096</v>
      </c>
      <c r="Q29" s="1916"/>
      <c r="R29" s="1916"/>
      <c r="S29" s="1916"/>
      <c r="T29" s="1916"/>
      <c r="U29" s="1916"/>
    </row>
    <row r="30" spans="1:22" x14ac:dyDescent="0.25">
      <c r="B30" s="1914"/>
      <c r="C30" s="1915"/>
      <c r="D30" s="2948" t="s">
        <v>414</v>
      </c>
      <c r="E30" s="1927">
        <v>443.2</v>
      </c>
      <c r="F30" s="1927">
        <v>666.6</v>
      </c>
      <c r="G30" s="1927">
        <v>749.4</v>
      </c>
      <c r="H30" s="1927">
        <v>864.8</v>
      </c>
      <c r="I30" s="1927">
        <v>950.1</v>
      </c>
      <c r="J30" s="1927">
        <v>1003.1</v>
      </c>
      <c r="K30" s="1927">
        <v>1127.7</v>
      </c>
      <c r="L30" s="1927">
        <v>1351.3</v>
      </c>
      <c r="M30" s="1927">
        <v>1457.5</v>
      </c>
      <c r="N30" s="1927">
        <v>1389.9</v>
      </c>
      <c r="O30" s="1927">
        <v>1420.4</v>
      </c>
      <c r="P30" s="3015">
        <v>1450.7244150121342</v>
      </c>
      <c r="Q30" s="1916"/>
      <c r="R30" s="1916"/>
      <c r="S30" s="1916"/>
      <c r="T30" s="1916"/>
      <c r="U30" s="1916"/>
      <c r="V30" s="723"/>
    </row>
    <row r="31" spans="1:22" x14ac:dyDescent="0.25">
      <c r="B31" s="1914"/>
      <c r="C31" s="1915"/>
      <c r="D31" s="3007" t="s">
        <v>1664</v>
      </c>
      <c r="E31" s="1928">
        <v>135.1</v>
      </c>
      <c r="F31" s="1928">
        <v>180.3</v>
      </c>
      <c r="G31" s="1928">
        <v>204.1</v>
      </c>
      <c r="H31" s="1928">
        <v>220.9</v>
      </c>
      <c r="I31" s="1928">
        <v>228.1</v>
      </c>
      <c r="J31" s="1928">
        <v>240.7</v>
      </c>
      <c r="K31" s="1928">
        <v>273.39999999999998</v>
      </c>
      <c r="L31" s="1928">
        <v>301.39999999999998</v>
      </c>
      <c r="M31" s="1928">
        <v>348.5</v>
      </c>
      <c r="N31" s="1928">
        <v>395.6</v>
      </c>
      <c r="O31" s="1928">
        <v>492.1</v>
      </c>
      <c r="P31" s="3016">
        <v>494.24508833133001</v>
      </c>
      <c r="Q31" s="1916"/>
      <c r="R31" s="1916"/>
      <c r="S31" s="1916"/>
      <c r="T31" s="1916"/>
    </row>
    <row r="32" spans="1:22" x14ac:dyDescent="0.25">
      <c r="B32" s="1914"/>
      <c r="C32" s="1915"/>
      <c r="D32" s="1916"/>
      <c r="E32" s="1916"/>
      <c r="F32" s="1916"/>
      <c r="G32" s="1916"/>
      <c r="H32" s="1916"/>
      <c r="I32" s="1916"/>
      <c r="J32" s="1916"/>
      <c r="K32" s="1916"/>
      <c r="L32" s="1916"/>
      <c r="M32" s="1916"/>
      <c r="N32" s="1916"/>
      <c r="O32" s="1916"/>
      <c r="P32" s="1916"/>
      <c r="Q32" s="1916"/>
      <c r="R32" s="1916"/>
      <c r="S32" s="1916"/>
      <c r="T32" s="1916"/>
    </row>
    <row r="33" spans="1:21" ht="15" customHeight="1" x14ac:dyDescent="0.25">
      <c r="B33" s="1914"/>
      <c r="C33" s="179"/>
      <c r="D33" s="120" t="s">
        <v>262</v>
      </c>
      <c r="E33" s="3928" t="s">
        <v>1665</v>
      </c>
      <c r="F33" s="3928"/>
      <c r="G33" s="3928"/>
      <c r="H33" s="3928"/>
      <c r="I33" s="3928"/>
      <c r="J33" s="3928"/>
      <c r="K33" s="3928"/>
      <c r="L33" s="3928"/>
      <c r="M33" s="3928"/>
      <c r="N33" s="1467"/>
      <c r="O33" s="1916"/>
      <c r="P33" s="1916"/>
      <c r="Q33" s="1916"/>
      <c r="R33" s="1916"/>
      <c r="S33" s="1916"/>
      <c r="T33" s="1916"/>
    </row>
    <row r="34" spans="1:21" s="290" customFormat="1" ht="15.75" customHeight="1" x14ac:dyDescent="0.2">
      <c r="A34" s="1174"/>
      <c r="B34" s="1929"/>
      <c r="C34" s="1930"/>
      <c r="D34" s="3009"/>
      <c r="E34" s="1918" t="s">
        <v>1666</v>
      </c>
      <c r="F34" s="1918" t="s">
        <v>1667</v>
      </c>
      <c r="G34" s="1918" t="s">
        <v>1668</v>
      </c>
      <c r="H34" s="1918" t="s">
        <v>1669</v>
      </c>
      <c r="I34" s="1918" t="s">
        <v>1670</v>
      </c>
      <c r="J34" s="1918" t="s">
        <v>1671</v>
      </c>
      <c r="K34" s="1918" t="s">
        <v>1672</v>
      </c>
      <c r="L34" s="1918" t="s">
        <v>1673</v>
      </c>
      <c r="M34" s="1918" t="s">
        <v>1674</v>
      </c>
      <c r="N34" s="1918" t="s">
        <v>1675</v>
      </c>
      <c r="O34" s="1918" t="s">
        <v>1676</v>
      </c>
      <c r="P34" s="3017" t="s">
        <v>1677</v>
      </c>
      <c r="Q34" s="1517"/>
      <c r="R34" s="374"/>
      <c r="S34" s="374"/>
      <c r="T34" s="374"/>
      <c r="U34" s="374"/>
    </row>
    <row r="35" spans="1:21" x14ac:dyDescent="0.25">
      <c r="B35" s="1914"/>
      <c r="C35" s="1915"/>
      <c r="D35" s="2948" t="s">
        <v>415</v>
      </c>
      <c r="E35" s="1931">
        <v>0.14799999999999999</v>
      </c>
      <c r="F35" s="1931">
        <v>-0.17100000000000001</v>
      </c>
      <c r="G35" s="1931">
        <v>-3.6999999999999998E-2</v>
      </c>
      <c r="H35" s="1931">
        <v>0.107</v>
      </c>
      <c r="I35" s="1931">
        <v>5.3999999999999999E-2</v>
      </c>
      <c r="J35" s="1931">
        <v>0.06</v>
      </c>
      <c r="K35" s="1931">
        <v>6.9000000000000006E-2</v>
      </c>
      <c r="L35" s="1931">
        <v>0.218</v>
      </c>
      <c r="M35" s="1931">
        <v>0.105</v>
      </c>
      <c r="N35" s="1931">
        <v>0.17</v>
      </c>
      <c r="O35" s="1931">
        <v>6.6923895689196433E-2</v>
      </c>
      <c r="P35" s="3018">
        <f>(P9-F9)/F9</f>
        <v>0.77000331089283747</v>
      </c>
      <c r="Q35" s="1418"/>
      <c r="R35" s="374"/>
      <c r="S35" s="374"/>
      <c r="T35" s="723"/>
      <c r="U35" s="723"/>
    </row>
    <row r="36" spans="1:21" ht="12.75" customHeight="1" x14ac:dyDescent="0.25">
      <c r="B36" s="1914"/>
      <c r="C36" s="1915"/>
      <c r="D36" s="2948" t="s">
        <v>1658</v>
      </c>
      <c r="E36" s="1931">
        <v>0.14499999999999999</v>
      </c>
      <c r="F36" s="1931">
        <v>0.249</v>
      </c>
      <c r="G36" s="1931">
        <v>7.5999999999999998E-2</v>
      </c>
      <c r="H36" s="1931">
        <v>-0.17199999999999999</v>
      </c>
      <c r="I36" s="1931">
        <v>8.0000000000000002E-3</v>
      </c>
      <c r="J36" s="1931">
        <v>0.12</v>
      </c>
      <c r="K36" s="1931">
        <v>-0.17599999999999999</v>
      </c>
      <c r="L36" s="1931">
        <v>0.06</v>
      </c>
      <c r="M36" s="1931">
        <v>0.38200000000000001</v>
      </c>
      <c r="N36" s="1931">
        <v>0.32900000000000001</v>
      </c>
      <c r="O36" s="1931">
        <v>7.1681523995603902E-2</v>
      </c>
      <c r="P36" s="3018">
        <f t="shared" ref="P36:P44" si="0">(P10-F10)/F10</f>
        <v>1.159980310115678</v>
      </c>
      <c r="Q36" s="967"/>
      <c r="R36" s="3643"/>
      <c r="S36" s="3643"/>
      <c r="T36" s="1467"/>
      <c r="U36" s="1467"/>
    </row>
    <row r="37" spans="1:21" x14ac:dyDescent="0.25">
      <c r="B37" s="1914"/>
      <c r="C37" s="1915"/>
      <c r="D37" s="2948" t="s">
        <v>581</v>
      </c>
      <c r="E37" s="1931">
        <v>0.13700000000000001</v>
      </c>
      <c r="F37" s="1931">
        <v>0.32500000000000001</v>
      </c>
      <c r="G37" s="1931">
        <v>-0.114</v>
      </c>
      <c r="H37" s="1931">
        <v>1.2999999999999999E-2</v>
      </c>
      <c r="I37" s="1931">
        <v>6.5000000000000002E-2</v>
      </c>
      <c r="J37" s="1931">
        <v>8.5000000000000006E-2</v>
      </c>
      <c r="K37" s="1931">
        <v>0.11700000000000001</v>
      </c>
      <c r="L37" s="1931">
        <v>0.57699999999999996</v>
      </c>
      <c r="M37" s="1931">
        <v>0.47099999999999997</v>
      </c>
      <c r="N37" s="1931">
        <v>0.95799999999999996</v>
      </c>
      <c r="O37" s="1931">
        <v>-5.8968486747827065E-2</v>
      </c>
      <c r="P37" s="3018">
        <f t="shared" si="0"/>
        <v>5.5532549897407204</v>
      </c>
      <c r="Q37" s="770"/>
      <c r="R37" s="770"/>
      <c r="S37" s="770"/>
      <c r="T37" s="770"/>
      <c r="U37" s="770"/>
    </row>
    <row r="38" spans="1:21" x14ac:dyDescent="0.25">
      <c r="B38" s="1914"/>
      <c r="C38" s="1915"/>
      <c r="D38" s="2948" t="s">
        <v>1659</v>
      </c>
      <c r="E38" s="1931">
        <v>0.41799999999999998</v>
      </c>
      <c r="F38" s="1931">
        <v>0.20300000000000001</v>
      </c>
      <c r="G38" s="1931">
        <v>0.13</v>
      </c>
      <c r="H38" s="1931">
        <v>-8.1000000000000003E-2</v>
      </c>
      <c r="I38" s="1931">
        <v>-1.2E-2</v>
      </c>
      <c r="J38" s="1931">
        <v>0.20499999999999999</v>
      </c>
      <c r="K38" s="1931">
        <v>0.13100000000000001</v>
      </c>
      <c r="L38" s="1931">
        <v>0.153</v>
      </c>
      <c r="M38" s="1931">
        <v>0.127</v>
      </c>
      <c r="N38" s="1931">
        <v>0.09</v>
      </c>
      <c r="O38" s="1931">
        <v>3.1055495103373243E-2</v>
      </c>
      <c r="P38" s="3018">
        <f t="shared" si="0"/>
        <v>1.4560393986521514</v>
      </c>
      <c r="Q38" s="58"/>
      <c r="R38" s="58"/>
      <c r="S38" s="58"/>
      <c r="T38" s="58"/>
      <c r="U38" s="58"/>
    </row>
    <row r="39" spans="1:21" x14ac:dyDescent="0.25">
      <c r="B39" s="1914"/>
      <c r="C39" s="1915"/>
      <c r="D39" s="2948" t="s">
        <v>422</v>
      </c>
      <c r="E39" s="1931">
        <v>4.7E-2</v>
      </c>
      <c r="F39" s="1931">
        <v>0.107</v>
      </c>
      <c r="G39" s="1931">
        <v>0.10199999999999999</v>
      </c>
      <c r="H39" s="1931">
        <v>0.46800000000000003</v>
      </c>
      <c r="I39" s="1931">
        <v>3.6999999999999998E-2</v>
      </c>
      <c r="J39" s="1931">
        <v>0.45900000000000002</v>
      </c>
      <c r="K39" s="1931">
        <v>-4.2000000000000003E-2</v>
      </c>
      <c r="L39" s="1931">
        <v>0.13400000000000001</v>
      </c>
      <c r="M39" s="1931">
        <v>0.433</v>
      </c>
      <c r="N39" s="1931">
        <v>0.27600000000000002</v>
      </c>
      <c r="O39" s="1931">
        <v>0.21940049958368024</v>
      </c>
      <c r="P39" s="3018">
        <f t="shared" si="0"/>
        <v>5.5599104143337064</v>
      </c>
      <c r="Q39" s="58"/>
      <c r="R39" s="58"/>
      <c r="S39" s="58"/>
      <c r="T39" s="58"/>
      <c r="U39" s="58"/>
    </row>
    <row r="40" spans="1:21" x14ac:dyDescent="0.25">
      <c r="B40" s="1914"/>
      <c r="C40" s="1915"/>
      <c r="D40" s="2948" t="s">
        <v>1660</v>
      </c>
      <c r="E40" s="1931">
        <v>0.30399999999999999</v>
      </c>
      <c r="F40" s="1931">
        <v>4.7E-2</v>
      </c>
      <c r="G40" s="1931">
        <v>0.153</v>
      </c>
      <c r="H40" s="1931">
        <v>-0.14399999999999999</v>
      </c>
      <c r="I40" s="1931">
        <v>-7.1999999999999995E-2</v>
      </c>
      <c r="J40" s="1931">
        <v>0.24299999999999999</v>
      </c>
      <c r="K40" s="1931">
        <v>0.55700000000000005</v>
      </c>
      <c r="L40" s="1931">
        <v>0.307</v>
      </c>
      <c r="M40" s="1931">
        <v>0.40699999999999997</v>
      </c>
      <c r="N40" s="1931">
        <v>0.27700000000000002</v>
      </c>
      <c r="O40" s="1931">
        <v>0.18527952808687487</v>
      </c>
      <c r="P40" s="3018">
        <f t="shared" si="0"/>
        <v>4.1581096849474912</v>
      </c>
      <c r="Q40" s="58"/>
      <c r="R40" s="58"/>
      <c r="S40" s="58"/>
      <c r="T40" s="58"/>
      <c r="U40" s="58"/>
    </row>
    <row r="41" spans="1:21" x14ac:dyDescent="0.25">
      <c r="B41" s="1914"/>
      <c r="C41" s="1915"/>
      <c r="D41" s="2948" t="s">
        <v>419</v>
      </c>
      <c r="E41" s="1931">
        <v>0.40600000000000003</v>
      </c>
      <c r="F41" s="1931">
        <v>0.153</v>
      </c>
      <c r="G41" s="1931">
        <v>0.14000000000000001</v>
      </c>
      <c r="H41" s="1931">
        <v>0.14799999999999999</v>
      </c>
      <c r="I41" s="1931">
        <v>7.4999999999999997E-2</v>
      </c>
      <c r="J41" s="1931">
        <v>8.4000000000000005E-2</v>
      </c>
      <c r="K41" s="1931">
        <v>-7.0000000000000007E-2</v>
      </c>
      <c r="L41" s="1931">
        <v>7.0999999999999994E-2</v>
      </c>
      <c r="M41" s="1931">
        <v>0.193</v>
      </c>
      <c r="N41" s="1931">
        <v>0.20300000000000001</v>
      </c>
      <c r="O41" s="1931">
        <v>5.6782047787771406E-2</v>
      </c>
      <c r="P41" s="3018">
        <f t="shared" si="0"/>
        <v>1.6538900296600503</v>
      </c>
      <c r="Q41" s="58"/>
      <c r="R41" s="58"/>
      <c r="S41" s="58"/>
      <c r="T41" s="58"/>
      <c r="U41" s="58"/>
    </row>
    <row r="42" spans="1:21" x14ac:dyDescent="0.25">
      <c r="C42" s="1915"/>
      <c r="D42" s="2948" t="s">
        <v>1661</v>
      </c>
      <c r="E42" s="1931">
        <v>0.19</v>
      </c>
      <c r="F42" s="1931">
        <v>-0.182</v>
      </c>
      <c r="G42" s="1931">
        <v>1.4E-2</v>
      </c>
      <c r="H42" s="1931">
        <v>4.1000000000000002E-2</v>
      </c>
      <c r="I42" s="1931">
        <v>-0.122</v>
      </c>
      <c r="J42" s="1931">
        <v>0.22700000000000001</v>
      </c>
      <c r="K42" s="1931">
        <v>0.02</v>
      </c>
      <c r="L42" s="1931">
        <v>0.105</v>
      </c>
      <c r="M42" s="1931">
        <v>7.0999999999999994E-2</v>
      </c>
      <c r="N42" s="1931">
        <v>0.13700000000000001</v>
      </c>
      <c r="O42" s="1931">
        <v>8.623344625808449E-2</v>
      </c>
      <c r="P42" s="3018">
        <f t="shared" si="0"/>
        <v>0.38313725490196077</v>
      </c>
      <c r="Q42" s="68"/>
      <c r="R42" s="58"/>
      <c r="S42" s="58"/>
      <c r="T42" s="58"/>
      <c r="U42" s="58"/>
    </row>
    <row r="43" spans="1:21" x14ac:dyDescent="0.25">
      <c r="B43" s="1619"/>
      <c r="C43" s="1915"/>
      <c r="D43" s="2948" t="s">
        <v>414</v>
      </c>
      <c r="E43" s="1931">
        <v>0.52600000000000002</v>
      </c>
      <c r="F43" s="1931">
        <v>0.14299999999999999</v>
      </c>
      <c r="G43" s="1931">
        <v>0.18</v>
      </c>
      <c r="H43" s="1931">
        <v>0.12</v>
      </c>
      <c r="I43" s="1931">
        <v>0.14799999999999999</v>
      </c>
      <c r="J43" s="1931">
        <v>0.14499999999999999</v>
      </c>
      <c r="K43" s="1931">
        <v>0.16900000000000001</v>
      </c>
      <c r="L43" s="1931">
        <v>9.1999999999999998E-2</v>
      </c>
      <c r="M43" s="1931">
        <v>6.5000000000000002E-2</v>
      </c>
      <c r="N43" s="1931">
        <v>4.1000000000000002E-2</v>
      </c>
      <c r="O43" s="1931">
        <v>3.8554724533867102E-2</v>
      </c>
      <c r="P43" s="3018">
        <f t="shared" si="0"/>
        <v>1.9157137223974763</v>
      </c>
      <c r="Q43" s="58"/>
      <c r="R43" s="58"/>
      <c r="S43" s="68"/>
      <c r="T43" s="58"/>
      <c r="U43" s="58"/>
    </row>
    <row r="44" spans="1:21" x14ac:dyDescent="0.25">
      <c r="C44" s="1915"/>
      <c r="D44" s="3007" t="s">
        <v>261</v>
      </c>
      <c r="E44" s="1922">
        <v>0.34</v>
      </c>
      <c r="F44" s="1922">
        <v>0.13900000000000001</v>
      </c>
      <c r="G44" s="1922">
        <v>9.4E-2</v>
      </c>
      <c r="H44" s="1922">
        <v>4.2000000000000003E-2</v>
      </c>
      <c r="I44" s="1922">
        <v>7.3999999999999996E-2</v>
      </c>
      <c r="J44" s="1922">
        <v>0.151</v>
      </c>
      <c r="K44" s="1922">
        <v>0.11700000000000001</v>
      </c>
      <c r="L44" s="1922">
        <v>0.17</v>
      </c>
      <c r="M44" s="1922">
        <v>0.17299999999999999</v>
      </c>
      <c r="N44" s="1922">
        <v>0.26100000000000001</v>
      </c>
      <c r="O44" s="1922">
        <v>2.4198376030330371E-2</v>
      </c>
      <c r="P44" s="3019">
        <f t="shared" si="0"/>
        <v>2.1773669361079033</v>
      </c>
      <c r="Q44" s="68"/>
      <c r="R44" s="58"/>
      <c r="S44" s="58"/>
      <c r="T44" s="58"/>
      <c r="U44" s="58"/>
    </row>
    <row r="46" spans="1:21" ht="12.75" customHeight="1" x14ac:dyDescent="0.25">
      <c r="A46" s="453">
        <v>5</v>
      </c>
      <c r="B46" s="453" t="s">
        <v>78</v>
      </c>
      <c r="C46" s="1915"/>
      <c r="D46" s="3556" t="s">
        <v>1678</v>
      </c>
      <c r="E46" s="3557"/>
      <c r="F46" s="3557"/>
      <c r="G46" s="3557"/>
      <c r="H46" s="3557"/>
      <c r="I46" s="3557"/>
      <c r="J46" s="3557"/>
      <c r="K46" s="3557"/>
      <c r="L46" s="3557"/>
      <c r="M46" s="3557"/>
      <c r="N46" s="3557"/>
      <c r="O46" s="3557"/>
      <c r="P46" s="3558"/>
      <c r="Q46" s="688"/>
      <c r="R46" s="195"/>
      <c r="S46" s="195"/>
      <c r="T46" s="195"/>
    </row>
    <row r="47" spans="1:21" ht="12.75" customHeight="1" x14ac:dyDescent="0.25">
      <c r="A47" s="472">
        <v>6</v>
      </c>
      <c r="B47" s="472" t="s">
        <v>80</v>
      </c>
      <c r="C47" s="1915"/>
      <c r="D47" s="3556" t="s">
        <v>1679</v>
      </c>
      <c r="E47" s="3557"/>
      <c r="F47" s="3557"/>
      <c r="G47" s="3557"/>
      <c r="H47" s="3557"/>
      <c r="I47" s="3557"/>
      <c r="J47" s="3557"/>
      <c r="K47" s="3557"/>
      <c r="L47" s="3557"/>
      <c r="M47" s="3557"/>
      <c r="N47" s="3557"/>
      <c r="O47" s="3557"/>
      <c r="P47" s="3558"/>
      <c r="Q47" s="1407"/>
      <c r="R47" s="1408"/>
      <c r="S47" s="1408"/>
      <c r="T47" s="1696"/>
    </row>
    <row r="48" spans="1:21" s="201" customFormat="1" ht="12.75" customHeight="1" x14ac:dyDescent="0.2">
      <c r="A48" s="453">
        <v>7</v>
      </c>
      <c r="B48" s="453" t="s">
        <v>20</v>
      </c>
      <c r="C48" s="670"/>
      <c r="D48" s="3556" t="s">
        <v>1634</v>
      </c>
      <c r="E48" s="3557"/>
      <c r="F48" s="3557"/>
      <c r="G48" s="3557"/>
      <c r="H48" s="3557"/>
      <c r="I48" s="3557"/>
      <c r="J48" s="3557"/>
      <c r="K48" s="3557"/>
      <c r="L48" s="3557"/>
      <c r="M48" s="3557"/>
      <c r="N48" s="3557"/>
      <c r="O48" s="3557"/>
      <c r="P48" s="3558"/>
      <c r="Q48" s="1407"/>
      <c r="R48" s="1408"/>
      <c r="S48" s="1408"/>
      <c r="T48" s="1696"/>
    </row>
    <row r="49" spans="1:20" ht="25.15" customHeight="1" x14ac:dyDescent="0.25">
      <c r="A49" s="453">
        <v>8</v>
      </c>
      <c r="B49" s="453" t="s">
        <v>83</v>
      </c>
      <c r="C49" s="1619"/>
      <c r="D49" s="3568" t="s">
        <v>1680</v>
      </c>
      <c r="E49" s="3569"/>
      <c r="F49" s="3569"/>
      <c r="G49" s="3569"/>
      <c r="H49" s="3569"/>
      <c r="I49" s="3569"/>
      <c r="J49" s="3569"/>
      <c r="K49" s="3569"/>
      <c r="L49" s="3569"/>
      <c r="M49" s="3569"/>
      <c r="N49" s="3569"/>
      <c r="O49" s="3569"/>
      <c r="P49" s="3570"/>
      <c r="Q49" s="1407"/>
      <c r="R49" s="1408"/>
      <c r="S49" s="1408"/>
      <c r="T49" s="1696"/>
    </row>
    <row r="50" spans="1:20" ht="15" customHeight="1" x14ac:dyDescent="0.25">
      <c r="C50" s="453"/>
      <c r="F50" s="229"/>
    </row>
    <row r="51" spans="1:20" ht="12.75" customHeight="1" x14ac:dyDescent="0.25">
      <c r="C51" s="472"/>
      <c r="F51" s="229"/>
    </row>
    <row r="52" spans="1:20" ht="12.75" customHeight="1" x14ac:dyDescent="0.25">
      <c r="C52" s="453"/>
      <c r="F52" s="229"/>
    </row>
    <row r="53" spans="1:20" ht="25.5" customHeight="1" x14ac:dyDescent="0.25">
      <c r="C53" s="453"/>
      <c r="F53" s="229"/>
    </row>
  </sheetData>
  <mergeCells count="11">
    <mergeCell ref="E33:M33"/>
    <mergeCell ref="D2:P2"/>
    <mergeCell ref="D3:P3"/>
    <mergeCell ref="D4:P4"/>
    <mergeCell ref="D5:M5"/>
    <mergeCell ref="E20:M20"/>
    <mergeCell ref="R36:S36"/>
    <mergeCell ref="D46:P46"/>
    <mergeCell ref="D47:P47"/>
    <mergeCell ref="D48:P48"/>
    <mergeCell ref="D49:P49"/>
  </mergeCells>
  <pageMargins left="0.74803149606299213" right="0.74803149606299213" top="0.98425196850393704" bottom="0.98425196850393704" header="0.51181102362204722" footer="0.51181102362204722"/>
  <pageSetup paperSize="9" scale="55"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53"/>
  <sheetViews>
    <sheetView showGridLines="0" view="pageBreakPreview" topLeftCell="J19" zoomScaleNormal="100" zoomScaleSheetLayoutView="100" workbookViewId="0">
      <selection activeCell="P44" sqref="P44"/>
    </sheetView>
  </sheetViews>
  <sheetFormatPr defaultColWidth="9.140625" defaultRowHeight="15" x14ac:dyDescent="0.25"/>
  <cols>
    <col min="1" max="1" width="3.7109375" style="453" customWidth="1"/>
    <col min="2" max="2" width="14.42578125" style="670" customWidth="1"/>
    <col min="3" max="3" width="3.7109375" style="670" customWidth="1"/>
    <col min="4" max="4" width="15.5703125" style="229" customWidth="1"/>
    <col min="5" max="5" width="12.85546875" style="229" customWidth="1"/>
    <col min="6" max="6" width="13.28515625" style="1923" customWidth="1"/>
    <col min="7" max="7" width="11.7109375" style="229" customWidth="1"/>
    <col min="8" max="8" width="13.85546875" style="229" customWidth="1"/>
    <col min="9" max="9" width="13.140625" style="229" customWidth="1"/>
    <col min="10" max="10" width="13.42578125" style="229" customWidth="1"/>
    <col min="11" max="11" width="13.7109375" style="229" customWidth="1"/>
    <col min="12" max="13" width="12.5703125" style="229" customWidth="1"/>
    <col min="14" max="14" width="12.85546875" style="229" customWidth="1"/>
    <col min="15" max="16" width="12.7109375" style="229" customWidth="1"/>
    <col min="17" max="18" width="9.5703125" style="229" customWidth="1"/>
    <col min="19" max="20" width="9" style="229" customWidth="1"/>
    <col min="21" max="257" width="9.140625" style="229"/>
    <col min="258" max="258" width="3.7109375" style="229" customWidth="1"/>
    <col min="259" max="259" width="14.42578125" style="229" customWidth="1"/>
    <col min="260" max="260" width="3.7109375" style="229" customWidth="1"/>
    <col min="261" max="261" width="15.5703125" style="229" customWidth="1"/>
    <col min="262" max="262" width="12.85546875" style="229" customWidth="1"/>
    <col min="263" max="263" width="13.28515625" style="229" customWidth="1"/>
    <col min="264" max="264" width="11.7109375" style="229" customWidth="1"/>
    <col min="265" max="265" width="13.85546875" style="229" customWidth="1"/>
    <col min="266" max="266" width="13.140625" style="229" customWidth="1"/>
    <col min="267" max="267" width="13.42578125" style="229" customWidth="1"/>
    <col min="268" max="268" width="13.7109375" style="229" customWidth="1"/>
    <col min="269" max="269" width="12.5703125" style="229" customWidth="1"/>
    <col min="270" max="274" width="9.5703125" style="229" customWidth="1"/>
    <col min="275" max="276" width="9" style="229" customWidth="1"/>
    <col min="277" max="513" width="9.140625" style="229"/>
    <col min="514" max="514" width="3.7109375" style="229" customWidth="1"/>
    <col min="515" max="515" width="14.42578125" style="229" customWidth="1"/>
    <col min="516" max="516" width="3.7109375" style="229" customWidth="1"/>
    <col min="517" max="517" width="15.5703125" style="229" customWidth="1"/>
    <col min="518" max="518" width="12.85546875" style="229" customWidth="1"/>
    <col min="519" max="519" width="13.28515625" style="229" customWidth="1"/>
    <col min="520" max="520" width="11.7109375" style="229" customWidth="1"/>
    <col min="521" max="521" width="13.85546875" style="229" customWidth="1"/>
    <col min="522" max="522" width="13.140625" style="229" customWidth="1"/>
    <col min="523" max="523" width="13.42578125" style="229" customWidth="1"/>
    <col min="524" max="524" width="13.7109375" style="229" customWidth="1"/>
    <col min="525" max="525" width="12.5703125" style="229" customWidth="1"/>
    <col min="526" max="530" width="9.5703125" style="229" customWidth="1"/>
    <col min="531" max="532" width="9" style="229" customWidth="1"/>
    <col min="533" max="769" width="9.140625" style="229"/>
    <col min="770" max="770" width="3.7109375" style="229" customWidth="1"/>
    <col min="771" max="771" width="14.42578125" style="229" customWidth="1"/>
    <col min="772" max="772" width="3.7109375" style="229" customWidth="1"/>
    <col min="773" max="773" width="15.5703125" style="229" customWidth="1"/>
    <col min="774" max="774" width="12.85546875" style="229" customWidth="1"/>
    <col min="775" max="775" width="13.28515625" style="229" customWidth="1"/>
    <col min="776" max="776" width="11.7109375" style="229" customWidth="1"/>
    <col min="777" max="777" width="13.85546875" style="229" customWidth="1"/>
    <col min="778" max="778" width="13.140625" style="229" customWidth="1"/>
    <col min="779" max="779" width="13.42578125" style="229" customWidth="1"/>
    <col min="780" max="780" width="13.7109375" style="229" customWidth="1"/>
    <col min="781" max="781" width="12.5703125" style="229" customWidth="1"/>
    <col min="782" max="786" width="9.5703125" style="229" customWidth="1"/>
    <col min="787" max="788" width="9" style="229" customWidth="1"/>
    <col min="789" max="1025" width="9.140625" style="229"/>
    <col min="1026" max="1026" width="3.7109375" style="229" customWidth="1"/>
    <col min="1027" max="1027" width="14.42578125" style="229" customWidth="1"/>
    <col min="1028" max="1028" width="3.7109375" style="229" customWidth="1"/>
    <col min="1029" max="1029" width="15.5703125" style="229" customWidth="1"/>
    <col min="1030" max="1030" width="12.85546875" style="229" customWidth="1"/>
    <col min="1031" max="1031" width="13.28515625" style="229" customWidth="1"/>
    <col min="1032" max="1032" width="11.7109375" style="229" customWidth="1"/>
    <col min="1033" max="1033" width="13.85546875" style="229" customWidth="1"/>
    <col min="1034" max="1034" width="13.140625" style="229" customWidth="1"/>
    <col min="1035" max="1035" width="13.42578125" style="229" customWidth="1"/>
    <col min="1036" max="1036" width="13.7109375" style="229" customWidth="1"/>
    <col min="1037" max="1037" width="12.5703125" style="229" customWidth="1"/>
    <col min="1038" max="1042" width="9.5703125" style="229" customWidth="1"/>
    <col min="1043" max="1044" width="9" style="229" customWidth="1"/>
    <col min="1045" max="1281" width="9.140625" style="229"/>
    <col min="1282" max="1282" width="3.7109375" style="229" customWidth="1"/>
    <col min="1283" max="1283" width="14.42578125" style="229" customWidth="1"/>
    <col min="1284" max="1284" width="3.7109375" style="229" customWidth="1"/>
    <col min="1285" max="1285" width="15.5703125" style="229" customWidth="1"/>
    <col min="1286" max="1286" width="12.85546875" style="229" customWidth="1"/>
    <col min="1287" max="1287" width="13.28515625" style="229" customWidth="1"/>
    <col min="1288" max="1288" width="11.7109375" style="229" customWidth="1"/>
    <col min="1289" max="1289" width="13.85546875" style="229" customWidth="1"/>
    <col min="1290" max="1290" width="13.140625" style="229" customWidth="1"/>
    <col min="1291" max="1291" width="13.42578125" style="229" customWidth="1"/>
    <col min="1292" max="1292" width="13.7109375" style="229" customWidth="1"/>
    <col min="1293" max="1293" width="12.5703125" style="229" customWidth="1"/>
    <col min="1294" max="1298" width="9.5703125" style="229" customWidth="1"/>
    <col min="1299" max="1300" width="9" style="229" customWidth="1"/>
    <col min="1301" max="1537" width="9.140625" style="229"/>
    <col min="1538" max="1538" width="3.7109375" style="229" customWidth="1"/>
    <col min="1539" max="1539" width="14.42578125" style="229" customWidth="1"/>
    <col min="1540" max="1540" width="3.7109375" style="229" customWidth="1"/>
    <col min="1541" max="1541" width="15.5703125" style="229" customWidth="1"/>
    <col min="1542" max="1542" width="12.85546875" style="229" customWidth="1"/>
    <col min="1543" max="1543" width="13.28515625" style="229" customWidth="1"/>
    <col min="1544" max="1544" width="11.7109375" style="229" customWidth="1"/>
    <col min="1545" max="1545" width="13.85546875" style="229" customWidth="1"/>
    <col min="1546" max="1546" width="13.140625" style="229" customWidth="1"/>
    <col min="1547" max="1547" width="13.42578125" style="229" customWidth="1"/>
    <col min="1548" max="1548" width="13.7109375" style="229" customWidth="1"/>
    <col min="1549" max="1549" width="12.5703125" style="229" customWidth="1"/>
    <col min="1550" max="1554" width="9.5703125" style="229" customWidth="1"/>
    <col min="1555" max="1556" width="9" style="229" customWidth="1"/>
    <col min="1557" max="1793" width="9.140625" style="229"/>
    <col min="1794" max="1794" width="3.7109375" style="229" customWidth="1"/>
    <col min="1795" max="1795" width="14.42578125" style="229" customWidth="1"/>
    <col min="1796" max="1796" width="3.7109375" style="229" customWidth="1"/>
    <col min="1797" max="1797" width="15.5703125" style="229" customWidth="1"/>
    <col min="1798" max="1798" width="12.85546875" style="229" customWidth="1"/>
    <col min="1799" max="1799" width="13.28515625" style="229" customWidth="1"/>
    <col min="1800" max="1800" width="11.7109375" style="229" customWidth="1"/>
    <col min="1801" max="1801" width="13.85546875" style="229" customWidth="1"/>
    <col min="1802" max="1802" width="13.140625" style="229" customWidth="1"/>
    <col min="1803" max="1803" width="13.42578125" style="229" customWidth="1"/>
    <col min="1804" max="1804" width="13.7109375" style="229" customWidth="1"/>
    <col min="1805" max="1805" width="12.5703125" style="229" customWidth="1"/>
    <col min="1806" max="1810" width="9.5703125" style="229" customWidth="1"/>
    <col min="1811" max="1812" width="9" style="229" customWidth="1"/>
    <col min="1813" max="2049" width="9.140625" style="229"/>
    <col min="2050" max="2050" width="3.7109375" style="229" customWidth="1"/>
    <col min="2051" max="2051" width="14.42578125" style="229" customWidth="1"/>
    <col min="2052" max="2052" width="3.7109375" style="229" customWidth="1"/>
    <col min="2053" max="2053" width="15.5703125" style="229" customWidth="1"/>
    <col min="2054" max="2054" width="12.85546875" style="229" customWidth="1"/>
    <col min="2055" max="2055" width="13.28515625" style="229" customWidth="1"/>
    <col min="2056" max="2056" width="11.7109375" style="229" customWidth="1"/>
    <col min="2057" max="2057" width="13.85546875" style="229" customWidth="1"/>
    <col min="2058" max="2058" width="13.140625" style="229" customWidth="1"/>
    <col min="2059" max="2059" width="13.42578125" style="229" customWidth="1"/>
    <col min="2060" max="2060" width="13.7109375" style="229" customWidth="1"/>
    <col min="2061" max="2061" width="12.5703125" style="229" customWidth="1"/>
    <col min="2062" max="2066" width="9.5703125" style="229" customWidth="1"/>
    <col min="2067" max="2068" width="9" style="229" customWidth="1"/>
    <col min="2069" max="2305" width="9.140625" style="229"/>
    <col min="2306" max="2306" width="3.7109375" style="229" customWidth="1"/>
    <col min="2307" max="2307" width="14.42578125" style="229" customWidth="1"/>
    <col min="2308" max="2308" width="3.7109375" style="229" customWidth="1"/>
    <col min="2309" max="2309" width="15.5703125" style="229" customWidth="1"/>
    <col min="2310" max="2310" width="12.85546875" style="229" customWidth="1"/>
    <col min="2311" max="2311" width="13.28515625" style="229" customWidth="1"/>
    <col min="2312" max="2312" width="11.7109375" style="229" customWidth="1"/>
    <col min="2313" max="2313" width="13.85546875" style="229" customWidth="1"/>
    <col min="2314" max="2314" width="13.140625" style="229" customWidth="1"/>
    <col min="2315" max="2315" width="13.42578125" style="229" customWidth="1"/>
    <col min="2316" max="2316" width="13.7109375" style="229" customWidth="1"/>
    <col min="2317" max="2317" width="12.5703125" style="229" customWidth="1"/>
    <col min="2318" max="2322" width="9.5703125" style="229" customWidth="1"/>
    <col min="2323" max="2324" width="9" style="229" customWidth="1"/>
    <col min="2325" max="2561" width="9.140625" style="229"/>
    <col min="2562" max="2562" width="3.7109375" style="229" customWidth="1"/>
    <col min="2563" max="2563" width="14.42578125" style="229" customWidth="1"/>
    <col min="2564" max="2564" width="3.7109375" style="229" customWidth="1"/>
    <col min="2565" max="2565" width="15.5703125" style="229" customWidth="1"/>
    <col min="2566" max="2566" width="12.85546875" style="229" customWidth="1"/>
    <col min="2567" max="2567" width="13.28515625" style="229" customWidth="1"/>
    <col min="2568" max="2568" width="11.7109375" style="229" customWidth="1"/>
    <col min="2569" max="2569" width="13.85546875" style="229" customWidth="1"/>
    <col min="2570" max="2570" width="13.140625" style="229" customWidth="1"/>
    <col min="2571" max="2571" width="13.42578125" style="229" customWidth="1"/>
    <col min="2572" max="2572" width="13.7109375" style="229" customWidth="1"/>
    <col min="2573" max="2573" width="12.5703125" style="229" customWidth="1"/>
    <col min="2574" max="2578" width="9.5703125" style="229" customWidth="1"/>
    <col min="2579" max="2580" width="9" style="229" customWidth="1"/>
    <col min="2581" max="2817" width="9.140625" style="229"/>
    <col min="2818" max="2818" width="3.7109375" style="229" customWidth="1"/>
    <col min="2819" max="2819" width="14.42578125" style="229" customWidth="1"/>
    <col min="2820" max="2820" width="3.7109375" style="229" customWidth="1"/>
    <col min="2821" max="2821" width="15.5703125" style="229" customWidth="1"/>
    <col min="2822" max="2822" width="12.85546875" style="229" customWidth="1"/>
    <col min="2823" max="2823" width="13.28515625" style="229" customWidth="1"/>
    <col min="2824" max="2824" width="11.7109375" style="229" customWidth="1"/>
    <col min="2825" max="2825" width="13.85546875" style="229" customWidth="1"/>
    <col min="2826" max="2826" width="13.140625" style="229" customWidth="1"/>
    <col min="2827" max="2827" width="13.42578125" style="229" customWidth="1"/>
    <col min="2828" max="2828" width="13.7109375" style="229" customWidth="1"/>
    <col min="2829" max="2829" width="12.5703125" style="229" customWidth="1"/>
    <col min="2830" max="2834" width="9.5703125" style="229" customWidth="1"/>
    <col min="2835" max="2836" width="9" style="229" customWidth="1"/>
    <col min="2837" max="3073" width="9.140625" style="229"/>
    <col min="3074" max="3074" width="3.7109375" style="229" customWidth="1"/>
    <col min="3075" max="3075" width="14.42578125" style="229" customWidth="1"/>
    <col min="3076" max="3076" width="3.7109375" style="229" customWidth="1"/>
    <col min="3077" max="3077" width="15.5703125" style="229" customWidth="1"/>
    <col min="3078" max="3078" width="12.85546875" style="229" customWidth="1"/>
    <col min="3079" max="3079" width="13.28515625" style="229" customWidth="1"/>
    <col min="3080" max="3080" width="11.7109375" style="229" customWidth="1"/>
    <col min="3081" max="3081" width="13.85546875" style="229" customWidth="1"/>
    <col min="3082" max="3082" width="13.140625" style="229" customWidth="1"/>
    <col min="3083" max="3083" width="13.42578125" style="229" customWidth="1"/>
    <col min="3084" max="3084" width="13.7109375" style="229" customWidth="1"/>
    <col min="3085" max="3085" width="12.5703125" style="229" customWidth="1"/>
    <col min="3086" max="3090" width="9.5703125" style="229" customWidth="1"/>
    <col min="3091" max="3092" width="9" style="229" customWidth="1"/>
    <col min="3093" max="3329" width="9.140625" style="229"/>
    <col min="3330" max="3330" width="3.7109375" style="229" customWidth="1"/>
    <col min="3331" max="3331" width="14.42578125" style="229" customWidth="1"/>
    <col min="3332" max="3332" width="3.7109375" style="229" customWidth="1"/>
    <col min="3333" max="3333" width="15.5703125" style="229" customWidth="1"/>
    <col min="3334" max="3334" width="12.85546875" style="229" customWidth="1"/>
    <col min="3335" max="3335" width="13.28515625" style="229" customWidth="1"/>
    <col min="3336" max="3336" width="11.7109375" style="229" customWidth="1"/>
    <col min="3337" max="3337" width="13.85546875" style="229" customWidth="1"/>
    <col min="3338" max="3338" width="13.140625" style="229" customWidth="1"/>
    <col min="3339" max="3339" width="13.42578125" style="229" customWidth="1"/>
    <col min="3340" max="3340" width="13.7109375" style="229" customWidth="1"/>
    <col min="3341" max="3341" width="12.5703125" style="229" customWidth="1"/>
    <col min="3342" max="3346" width="9.5703125" style="229" customWidth="1"/>
    <col min="3347" max="3348" width="9" style="229" customWidth="1"/>
    <col min="3349" max="3585" width="9.140625" style="229"/>
    <col min="3586" max="3586" width="3.7109375" style="229" customWidth="1"/>
    <col min="3587" max="3587" width="14.42578125" style="229" customWidth="1"/>
    <col min="3588" max="3588" width="3.7109375" style="229" customWidth="1"/>
    <col min="3589" max="3589" width="15.5703125" style="229" customWidth="1"/>
    <col min="3590" max="3590" width="12.85546875" style="229" customWidth="1"/>
    <col min="3591" max="3591" width="13.28515625" style="229" customWidth="1"/>
    <col min="3592" max="3592" width="11.7109375" style="229" customWidth="1"/>
    <col min="3593" max="3593" width="13.85546875" style="229" customWidth="1"/>
    <col min="3594" max="3594" width="13.140625" style="229" customWidth="1"/>
    <col min="3595" max="3595" width="13.42578125" style="229" customWidth="1"/>
    <col min="3596" max="3596" width="13.7109375" style="229" customWidth="1"/>
    <col min="3597" max="3597" width="12.5703125" style="229" customWidth="1"/>
    <col min="3598" max="3602" width="9.5703125" style="229" customWidth="1"/>
    <col min="3603" max="3604" width="9" style="229" customWidth="1"/>
    <col min="3605" max="3841" width="9.140625" style="229"/>
    <col min="3842" max="3842" width="3.7109375" style="229" customWidth="1"/>
    <col min="3843" max="3843" width="14.42578125" style="229" customWidth="1"/>
    <col min="3844" max="3844" width="3.7109375" style="229" customWidth="1"/>
    <col min="3845" max="3845" width="15.5703125" style="229" customWidth="1"/>
    <col min="3846" max="3846" width="12.85546875" style="229" customWidth="1"/>
    <col min="3847" max="3847" width="13.28515625" style="229" customWidth="1"/>
    <col min="3848" max="3848" width="11.7109375" style="229" customWidth="1"/>
    <col min="3849" max="3849" width="13.85546875" style="229" customWidth="1"/>
    <col min="3850" max="3850" width="13.140625" style="229" customWidth="1"/>
    <col min="3851" max="3851" width="13.42578125" style="229" customWidth="1"/>
    <col min="3852" max="3852" width="13.7109375" style="229" customWidth="1"/>
    <col min="3853" max="3853" width="12.5703125" style="229" customWidth="1"/>
    <col min="3854" max="3858" width="9.5703125" style="229" customWidth="1"/>
    <col min="3859" max="3860" width="9" style="229" customWidth="1"/>
    <col min="3861" max="4097" width="9.140625" style="229"/>
    <col min="4098" max="4098" width="3.7109375" style="229" customWidth="1"/>
    <col min="4099" max="4099" width="14.42578125" style="229" customWidth="1"/>
    <col min="4100" max="4100" width="3.7109375" style="229" customWidth="1"/>
    <col min="4101" max="4101" width="15.5703125" style="229" customWidth="1"/>
    <col min="4102" max="4102" width="12.85546875" style="229" customWidth="1"/>
    <col min="4103" max="4103" width="13.28515625" style="229" customWidth="1"/>
    <col min="4104" max="4104" width="11.7109375" style="229" customWidth="1"/>
    <col min="4105" max="4105" width="13.85546875" style="229" customWidth="1"/>
    <col min="4106" max="4106" width="13.140625" style="229" customWidth="1"/>
    <col min="4107" max="4107" width="13.42578125" style="229" customWidth="1"/>
    <col min="4108" max="4108" width="13.7109375" style="229" customWidth="1"/>
    <col min="4109" max="4109" width="12.5703125" style="229" customWidth="1"/>
    <col min="4110" max="4114" width="9.5703125" style="229" customWidth="1"/>
    <col min="4115" max="4116" width="9" style="229" customWidth="1"/>
    <col min="4117" max="4353" width="9.140625" style="229"/>
    <col min="4354" max="4354" width="3.7109375" style="229" customWidth="1"/>
    <col min="4355" max="4355" width="14.42578125" style="229" customWidth="1"/>
    <col min="4356" max="4356" width="3.7109375" style="229" customWidth="1"/>
    <col min="4357" max="4357" width="15.5703125" style="229" customWidth="1"/>
    <col min="4358" max="4358" width="12.85546875" style="229" customWidth="1"/>
    <col min="4359" max="4359" width="13.28515625" style="229" customWidth="1"/>
    <col min="4360" max="4360" width="11.7109375" style="229" customWidth="1"/>
    <col min="4361" max="4361" width="13.85546875" style="229" customWidth="1"/>
    <col min="4362" max="4362" width="13.140625" style="229" customWidth="1"/>
    <col min="4363" max="4363" width="13.42578125" style="229" customWidth="1"/>
    <col min="4364" max="4364" width="13.7109375" style="229" customWidth="1"/>
    <col min="4365" max="4365" width="12.5703125" style="229" customWidth="1"/>
    <col min="4366" max="4370" width="9.5703125" style="229" customWidth="1"/>
    <col min="4371" max="4372" width="9" style="229" customWidth="1"/>
    <col min="4373" max="4609" width="9.140625" style="229"/>
    <col min="4610" max="4610" width="3.7109375" style="229" customWidth="1"/>
    <col min="4611" max="4611" width="14.42578125" style="229" customWidth="1"/>
    <col min="4612" max="4612" width="3.7109375" style="229" customWidth="1"/>
    <col min="4613" max="4613" width="15.5703125" style="229" customWidth="1"/>
    <col min="4614" max="4614" width="12.85546875" style="229" customWidth="1"/>
    <col min="4615" max="4615" width="13.28515625" style="229" customWidth="1"/>
    <col min="4616" max="4616" width="11.7109375" style="229" customWidth="1"/>
    <col min="4617" max="4617" width="13.85546875" style="229" customWidth="1"/>
    <col min="4618" max="4618" width="13.140625" style="229" customWidth="1"/>
    <col min="4619" max="4619" width="13.42578125" style="229" customWidth="1"/>
    <col min="4620" max="4620" width="13.7109375" style="229" customWidth="1"/>
    <col min="4621" max="4621" width="12.5703125" style="229" customWidth="1"/>
    <col min="4622" max="4626" width="9.5703125" style="229" customWidth="1"/>
    <col min="4627" max="4628" width="9" style="229" customWidth="1"/>
    <col min="4629" max="4865" width="9.140625" style="229"/>
    <col min="4866" max="4866" width="3.7109375" style="229" customWidth="1"/>
    <col min="4867" max="4867" width="14.42578125" style="229" customWidth="1"/>
    <col min="4868" max="4868" width="3.7109375" style="229" customWidth="1"/>
    <col min="4869" max="4869" width="15.5703125" style="229" customWidth="1"/>
    <col min="4870" max="4870" width="12.85546875" style="229" customWidth="1"/>
    <col min="4871" max="4871" width="13.28515625" style="229" customWidth="1"/>
    <col min="4872" max="4872" width="11.7109375" style="229" customWidth="1"/>
    <col min="4873" max="4873" width="13.85546875" style="229" customWidth="1"/>
    <col min="4874" max="4874" width="13.140625" style="229" customWidth="1"/>
    <col min="4875" max="4875" width="13.42578125" style="229" customWidth="1"/>
    <col min="4876" max="4876" width="13.7109375" style="229" customWidth="1"/>
    <col min="4877" max="4877" width="12.5703125" style="229" customWidth="1"/>
    <col min="4878" max="4882" width="9.5703125" style="229" customWidth="1"/>
    <col min="4883" max="4884" width="9" style="229" customWidth="1"/>
    <col min="4885" max="5121" width="9.140625" style="229"/>
    <col min="5122" max="5122" width="3.7109375" style="229" customWidth="1"/>
    <col min="5123" max="5123" width="14.42578125" style="229" customWidth="1"/>
    <col min="5124" max="5124" width="3.7109375" style="229" customWidth="1"/>
    <col min="5125" max="5125" width="15.5703125" style="229" customWidth="1"/>
    <col min="5126" max="5126" width="12.85546875" style="229" customWidth="1"/>
    <col min="5127" max="5127" width="13.28515625" style="229" customWidth="1"/>
    <col min="5128" max="5128" width="11.7109375" style="229" customWidth="1"/>
    <col min="5129" max="5129" width="13.85546875" style="229" customWidth="1"/>
    <col min="5130" max="5130" width="13.140625" style="229" customWidth="1"/>
    <col min="5131" max="5131" width="13.42578125" style="229" customWidth="1"/>
    <col min="5132" max="5132" width="13.7109375" style="229" customWidth="1"/>
    <col min="5133" max="5133" width="12.5703125" style="229" customWidth="1"/>
    <col min="5134" max="5138" width="9.5703125" style="229" customWidth="1"/>
    <col min="5139" max="5140" width="9" style="229" customWidth="1"/>
    <col min="5141" max="5377" width="9.140625" style="229"/>
    <col min="5378" max="5378" width="3.7109375" style="229" customWidth="1"/>
    <col min="5379" max="5379" width="14.42578125" style="229" customWidth="1"/>
    <col min="5380" max="5380" width="3.7109375" style="229" customWidth="1"/>
    <col min="5381" max="5381" width="15.5703125" style="229" customWidth="1"/>
    <col min="5382" max="5382" width="12.85546875" style="229" customWidth="1"/>
    <col min="5383" max="5383" width="13.28515625" style="229" customWidth="1"/>
    <col min="5384" max="5384" width="11.7109375" style="229" customWidth="1"/>
    <col min="5385" max="5385" width="13.85546875" style="229" customWidth="1"/>
    <col min="5386" max="5386" width="13.140625" style="229" customWidth="1"/>
    <col min="5387" max="5387" width="13.42578125" style="229" customWidth="1"/>
    <col min="5388" max="5388" width="13.7109375" style="229" customWidth="1"/>
    <col min="5389" max="5389" width="12.5703125" style="229" customWidth="1"/>
    <col min="5390" max="5394" width="9.5703125" style="229" customWidth="1"/>
    <col min="5395" max="5396" width="9" style="229" customWidth="1"/>
    <col min="5397" max="5633" width="9.140625" style="229"/>
    <col min="5634" max="5634" width="3.7109375" style="229" customWidth="1"/>
    <col min="5635" max="5635" width="14.42578125" style="229" customWidth="1"/>
    <col min="5636" max="5636" width="3.7109375" style="229" customWidth="1"/>
    <col min="5637" max="5637" width="15.5703125" style="229" customWidth="1"/>
    <col min="5638" max="5638" width="12.85546875" style="229" customWidth="1"/>
    <col min="5639" max="5639" width="13.28515625" style="229" customWidth="1"/>
    <col min="5640" max="5640" width="11.7109375" style="229" customWidth="1"/>
    <col min="5641" max="5641" width="13.85546875" style="229" customWidth="1"/>
    <col min="5642" max="5642" width="13.140625" style="229" customWidth="1"/>
    <col min="5643" max="5643" width="13.42578125" style="229" customWidth="1"/>
    <col min="5644" max="5644" width="13.7109375" style="229" customWidth="1"/>
    <col min="5645" max="5645" width="12.5703125" style="229" customWidth="1"/>
    <col min="5646" max="5650" width="9.5703125" style="229" customWidth="1"/>
    <col min="5651" max="5652" width="9" style="229" customWidth="1"/>
    <col min="5653" max="5889" width="9.140625" style="229"/>
    <col min="5890" max="5890" width="3.7109375" style="229" customWidth="1"/>
    <col min="5891" max="5891" width="14.42578125" style="229" customWidth="1"/>
    <col min="5892" max="5892" width="3.7109375" style="229" customWidth="1"/>
    <col min="5893" max="5893" width="15.5703125" style="229" customWidth="1"/>
    <col min="5894" max="5894" width="12.85546875" style="229" customWidth="1"/>
    <col min="5895" max="5895" width="13.28515625" style="229" customWidth="1"/>
    <col min="5896" max="5896" width="11.7109375" style="229" customWidth="1"/>
    <col min="5897" max="5897" width="13.85546875" style="229" customWidth="1"/>
    <col min="5898" max="5898" width="13.140625" style="229" customWidth="1"/>
    <col min="5899" max="5899" width="13.42578125" style="229" customWidth="1"/>
    <col min="5900" max="5900" width="13.7109375" style="229" customWidth="1"/>
    <col min="5901" max="5901" width="12.5703125" style="229" customWidth="1"/>
    <col min="5902" max="5906" width="9.5703125" style="229" customWidth="1"/>
    <col min="5907" max="5908" width="9" style="229" customWidth="1"/>
    <col min="5909" max="6145" width="9.140625" style="229"/>
    <col min="6146" max="6146" width="3.7109375" style="229" customWidth="1"/>
    <col min="6147" max="6147" width="14.42578125" style="229" customWidth="1"/>
    <col min="6148" max="6148" width="3.7109375" style="229" customWidth="1"/>
    <col min="6149" max="6149" width="15.5703125" style="229" customWidth="1"/>
    <col min="6150" max="6150" width="12.85546875" style="229" customWidth="1"/>
    <col min="6151" max="6151" width="13.28515625" style="229" customWidth="1"/>
    <col min="6152" max="6152" width="11.7109375" style="229" customWidth="1"/>
    <col min="6153" max="6153" width="13.85546875" style="229" customWidth="1"/>
    <col min="6154" max="6154" width="13.140625" style="229" customWidth="1"/>
    <col min="6155" max="6155" width="13.42578125" style="229" customWidth="1"/>
    <col min="6156" max="6156" width="13.7109375" style="229" customWidth="1"/>
    <col min="6157" max="6157" width="12.5703125" style="229" customWidth="1"/>
    <col min="6158" max="6162" width="9.5703125" style="229" customWidth="1"/>
    <col min="6163" max="6164" width="9" style="229" customWidth="1"/>
    <col min="6165" max="6401" width="9.140625" style="229"/>
    <col min="6402" max="6402" width="3.7109375" style="229" customWidth="1"/>
    <col min="6403" max="6403" width="14.42578125" style="229" customWidth="1"/>
    <col min="6404" max="6404" width="3.7109375" style="229" customWidth="1"/>
    <col min="6405" max="6405" width="15.5703125" style="229" customWidth="1"/>
    <col min="6406" max="6406" width="12.85546875" style="229" customWidth="1"/>
    <col min="6407" max="6407" width="13.28515625" style="229" customWidth="1"/>
    <col min="6408" max="6408" width="11.7109375" style="229" customWidth="1"/>
    <col min="6409" max="6409" width="13.85546875" style="229" customWidth="1"/>
    <col min="6410" max="6410" width="13.140625" style="229" customWidth="1"/>
    <col min="6411" max="6411" width="13.42578125" style="229" customWidth="1"/>
    <col min="6412" max="6412" width="13.7109375" style="229" customWidth="1"/>
    <col min="6413" max="6413" width="12.5703125" style="229" customWidth="1"/>
    <col min="6414" max="6418" width="9.5703125" style="229" customWidth="1"/>
    <col min="6419" max="6420" width="9" style="229" customWidth="1"/>
    <col min="6421" max="6657" width="9.140625" style="229"/>
    <col min="6658" max="6658" width="3.7109375" style="229" customWidth="1"/>
    <col min="6659" max="6659" width="14.42578125" style="229" customWidth="1"/>
    <col min="6660" max="6660" width="3.7109375" style="229" customWidth="1"/>
    <col min="6661" max="6661" width="15.5703125" style="229" customWidth="1"/>
    <col min="6662" max="6662" width="12.85546875" style="229" customWidth="1"/>
    <col min="6663" max="6663" width="13.28515625" style="229" customWidth="1"/>
    <col min="6664" max="6664" width="11.7109375" style="229" customWidth="1"/>
    <col min="6665" max="6665" width="13.85546875" style="229" customWidth="1"/>
    <col min="6666" max="6666" width="13.140625" style="229" customWidth="1"/>
    <col min="6667" max="6667" width="13.42578125" style="229" customWidth="1"/>
    <col min="6668" max="6668" width="13.7109375" style="229" customWidth="1"/>
    <col min="6669" max="6669" width="12.5703125" style="229" customWidth="1"/>
    <col min="6670" max="6674" width="9.5703125" style="229" customWidth="1"/>
    <col min="6675" max="6676" width="9" style="229" customWidth="1"/>
    <col min="6677" max="6913" width="9.140625" style="229"/>
    <col min="6914" max="6914" width="3.7109375" style="229" customWidth="1"/>
    <col min="6915" max="6915" width="14.42578125" style="229" customWidth="1"/>
    <col min="6916" max="6916" width="3.7109375" style="229" customWidth="1"/>
    <col min="6917" max="6917" width="15.5703125" style="229" customWidth="1"/>
    <col min="6918" max="6918" width="12.85546875" style="229" customWidth="1"/>
    <col min="6919" max="6919" width="13.28515625" style="229" customWidth="1"/>
    <col min="6920" max="6920" width="11.7109375" style="229" customWidth="1"/>
    <col min="6921" max="6921" width="13.85546875" style="229" customWidth="1"/>
    <col min="6922" max="6922" width="13.140625" style="229" customWidth="1"/>
    <col min="6923" max="6923" width="13.42578125" style="229" customWidth="1"/>
    <col min="6924" max="6924" width="13.7109375" style="229" customWidth="1"/>
    <col min="6925" max="6925" width="12.5703125" style="229" customWidth="1"/>
    <col min="6926" max="6930" width="9.5703125" style="229" customWidth="1"/>
    <col min="6931" max="6932" width="9" style="229" customWidth="1"/>
    <col min="6933" max="7169" width="9.140625" style="229"/>
    <col min="7170" max="7170" width="3.7109375" style="229" customWidth="1"/>
    <col min="7171" max="7171" width="14.42578125" style="229" customWidth="1"/>
    <col min="7172" max="7172" width="3.7109375" style="229" customWidth="1"/>
    <col min="7173" max="7173" width="15.5703125" style="229" customWidth="1"/>
    <col min="7174" max="7174" width="12.85546875" style="229" customWidth="1"/>
    <col min="7175" max="7175" width="13.28515625" style="229" customWidth="1"/>
    <col min="7176" max="7176" width="11.7109375" style="229" customWidth="1"/>
    <col min="7177" max="7177" width="13.85546875" style="229" customWidth="1"/>
    <col min="7178" max="7178" width="13.140625" style="229" customWidth="1"/>
    <col min="7179" max="7179" width="13.42578125" style="229" customWidth="1"/>
    <col min="7180" max="7180" width="13.7109375" style="229" customWidth="1"/>
    <col min="7181" max="7181" width="12.5703125" style="229" customWidth="1"/>
    <col min="7182" max="7186" width="9.5703125" style="229" customWidth="1"/>
    <col min="7187" max="7188" width="9" style="229" customWidth="1"/>
    <col min="7189" max="7425" width="9.140625" style="229"/>
    <col min="7426" max="7426" width="3.7109375" style="229" customWidth="1"/>
    <col min="7427" max="7427" width="14.42578125" style="229" customWidth="1"/>
    <col min="7428" max="7428" width="3.7109375" style="229" customWidth="1"/>
    <col min="7429" max="7429" width="15.5703125" style="229" customWidth="1"/>
    <col min="7430" max="7430" width="12.85546875" style="229" customWidth="1"/>
    <col min="7431" max="7431" width="13.28515625" style="229" customWidth="1"/>
    <col min="7432" max="7432" width="11.7109375" style="229" customWidth="1"/>
    <col min="7433" max="7433" width="13.85546875" style="229" customWidth="1"/>
    <col min="7434" max="7434" width="13.140625" style="229" customWidth="1"/>
    <col min="7435" max="7435" width="13.42578125" style="229" customWidth="1"/>
    <col min="7436" max="7436" width="13.7109375" style="229" customWidth="1"/>
    <col min="7437" max="7437" width="12.5703125" style="229" customWidth="1"/>
    <col min="7438" max="7442" width="9.5703125" style="229" customWidth="1"/>
    <col min="7443" max="7444" width="9" style="229" customWidth="1"/>
    <col min="7445" max="7681" width="9.140625" style="229"/>
    <col min="7682" max="7682" width="3.7109375" style="229" customWidth="1"/>
    <col min="7683" max="7683" width="14.42578125" style="229" customWidth="1"/>
    <col min="7684" max="7684" width="3.7109375" style="229" customWidth="1"/>
    <col min="7685" max="7685" width="15.5703125" style="229" customWidth="1"/>
    <col min="7686" max="7686" width="12.85546875" style="229" customWidth="1"/>
    <col min="7687" max="7687" width="13.28515625" style="229" customWidth="1"/>
    <col min="7688" max="7688" width="11.7109375" style="229" customWidth="1"/>
    <col min="7689" max="7689" width="13.85546875" style="229" customWidth="1"/>
    <col min="7690" max="7690" width="13.140625" style="229" customWidth="1"/>
    <col min="7691" max="7691" width="13.42578125" style="229" customWidth="1"/>
    <col min="7692" max="7692" width="13.7109375" style="229" customWidth="1"/>
    <col min="7693" max="7693" width="12.5703125" style="229" customWidth="1"/>
    <col min="7694" max="7698" width="9.5703125" style="229" customWidth="1"/>
    <col min="7699" max="7700" width="9" style="229" customWidth="1"/>
    <col min="7701" max="7937" width="9.140625" style="229"/>
    <col min="7938" max="7938" width="3.7109375" style="229" customWidth="1"/>
    <col min="7939" max="7939" width="14.42578125" style="229" customWidth="1"/>
    <col min="7940" max="7940" width="3.7109375" style="229" customWidth="1"/>
    <col min="7941" max="7941" width="15.5703125" style="229" customWidth="1"/>
    <col min="7942" max="7942" width="12.85546875" style="229" customWidth="1"/>
    <col min="7943" max="7943" width="13.28515625" style="229" customWidth="1"/>
    <col min="7944" max="7944" width="11.7109375" style="229" customWidth="1"/>
    <col min="7945" max="7945" width="13.85546875" style="229" customWidth="1"/>
    <col min="7946" max="7946" width="13.140625" style="229" customWidth="1"/>
    <col min="7947" max="7947" width="13.42578125" style="229" customWidth="1"/>
    <col min="7948" max="7948" width="13.7109375" style="229" customWidth="1"/>
    <col min="7949" max="7949" width="12.5703125" style="229" customWidth="1"/>
    <col min="7950" max="7954" width="9.5703125" style="229" customWidth="1"/>
    <col min="7955" max="7956" width="9" style="229" customWidth="1"/>
    <col min="7957" max="8193" width="9.140625" style="229"/>
    <col min="8194" max="8194" width="3.7109375" style="229" customWidth="1"/>
    <col min="8195" max="8195" width="14.42578125" style="229" customWidth="1"/>
    <col min="8196" max="8196" width="3.7109375" style="229" customWidth="1"/>
    <col min="8197" max="8197" width="15.5703125" style="229" customWidth="1"/>
    <col min="8198" max="8198" width="12.85546875" style="229" customWidth="1"/>
    <col min="8199" max="8199" width="13.28515625" style="229" customWidth="1"/>
    <col min="8200" max="8200" width="11.7109375" style="229" customWidth="1"/>
    <col min="8201" max="8201" width="13.85546875" style="229" customWidth="1"/>
    <col min="8202" max="8202" width="13.140625" style="229" customWidth="1"/>
    <col min="8203" max="8203" width="13.42578125" style="229" customWidth="1"/>
    <col min="8204" max="8204" width="13.7109375" style="229" customWidth="1"/>
    <col min="8205" max="8205" width="12.5703125" style="229" customWidth="1"/>
    <col min="8206" max="8210" width="9.5703125" style="229" customWidth="1"/>
    <col min="8211" max="8212" width="9" style="229" customWidth="1"/>
    <col min="8213" max="8449" width="9.140625" style="229"/>
    <col min="8450" max="8450" width="3.7109375" style="229" customWidth="1"/>
    <col min="8451" max="8451" width="14.42578125" style="229" customWidth="1"/>
    <col min="8452" max="8452" width="3.7109375" style="229" customWidth="1"/>
    <col min="8453" max="8453" width="15.5703125" style="229" customWidth="1"/>
    <col min="8454" max="8454" width="12.85546875" style="229" customWidth="1"/>
    <col min="8455" max="8455" width="13.28515625" style="229" customWidth="1"/>
    <col min="8456" max="8456" width="11.7109375" style="229" customWidth="1"/>
    <col min="8457" max="8457" width="13.85546875" style="229" customWidth="1"/>
    <col min="8458" max="8458" width="13.140625" style="229" customWidth="1"/>
    <col min="8459" max="8459" width="13.42578125" style="229" customWidth="1"/>
    <col min="8460" max="8460" width="13.7109375" style="229" customWidth="1"/>
    <col min="8461" max="8461" width="12.5703125" style="229" customWidth="1"/>
    <col min="8462" max="8466" width="9.5703125" style="229" customWidth="1"/>
    <col min="8467" max="8468" width="9" style="229" customWidth="1"/>
    <col min="8469" max="8705" width="9.140625" style="229"/>
    <col min="8706" max="8706" width="3.7109375" style="229" customWidth="1"/>
    <col min="8707" max="8707" width="14.42578125" style="229" customWidth="1"/>
    <col min="8708" max="8708" width="3.7109375" style="229" customWidth="1"/>
    <col min="8709" max="8709" width="15.5703125" style="229" customWidth="1"/>
    <col min="8710" max="8710" width="12.85546875" style="229" customWidth="1"/>
    <col min="8711" max="8711" width="13.28515625" style="229" customWidth="1"/>
    <col min="8712" max="8712" width="11.7109375" style="229" customWidth="1"/>
    <col min="8713" max="8713" width="13.85546875" style="229" customWidth="1"/>
    <col min="8714" max="8714" width="13.140625" style="229" customWidth="1"/>
    <col min="8715" max="8715" width="13.42578125" style="229" customWidth="1"/>
    <col min="8716" max="8716" width="13.7109375" style="229" customWidth="1"/>
    <col min="8717" max="8717" width="12.5703125" style="229" customWidth="1"/>
    <col min="8718" max="8722" width="9.5703125" style="229" customWidth="1"/>
    <col min="8723" max="8724" width="9" style="229" customWidth="1"/>
    <col min="8725" max="8961" width="9.140625" style="229"/>
    <col min="8962" max="8962" width="3.7109375" style="229" customWidth="1"/>
    <col min="8963" max="8963" width="14.42578125" style="229" customWidth="1"/>
    <col min="8964" max="8964" width="3.7109375" style="229" customWidth="1"/>
    <col min="8965" max="8965" width="15.5703125" style="229" customWidth="1"/>
    <col min="8966" max="8966" width="12.85546875" style="229" customWidth="1"/>
    <col min="8967" max="8967" width="13.28515625" style="229" customWidth="1"/>
    <col min="8968" max="8968" width="11.7109375" style="229" customWidth="1"/>
    <col min="8969" max="8969" width="13.85546875" style="229" customWidth="1"/>
    <col min="8970" max="8970" width="13.140625" style="229" customWidth="1"/>
    <col min="8971" max="8971" width="13.42578125" style="229" customWidth="1"/>
    <col min="8972" max="8972" width="13.7109375" style="229" customWidth="1"/>
    <col min="8973" max="8973" width="12.5703125" style="229" customWidth="1"/>
    <col min="8974" max="8978" width="9.5703125" style="229" customWidth="1"/>
    <col min="8979" max="8980" width="9" style="229" customWidth="1"/>
    <col min="8981" max="9217" width="9.140625" style="229"/>
    <col min="9218" max="9218" width="3.7109375" style="229" customWidth="1"/>
    <col min="9219" max="9219" width="14.42578125" style="229" customWidth="1"/>
    <col min="9220" max="9220" width="3.7109375" style="229" customWidth="1"/>
    <col min="9221" max="9221" width="15.5703125" style="229" customWidth="1"/>
    <col min="9222" max="9222" width="12.85546875" style="229" customWidth="1"/>
    <col min="9223" max="9223" width="13.28515625" style="229" customWidth="1"/>
    <col min="9224" max="9224" width="11.7109375" style="229" customWidth="1"/>
    <col min="9225" max="9225" width="13.85546875" style="229" customWidth="1"/>
    <col min="9226" max="9226" width="13.140625" style="229" customWidth="1"/>
    <col min="9227" max="9227" width="13.42578125" style="229" customWidth="1"/>
    <col min="9228" max="9228" width="13.7109375" style="229" customWidth="1"/>
    <col min="9229" max="9229" width="12.5703125" style="229" customWidth="1"/>
    <col min="9230" max="9234" width="9.5703125" style="229" customWidth="1"/>
    <col min="9235" max="9236" width="9" style="229" customWidth="1"/>
    <col min="9237" max="9473" width="9.140625" style="229"/>
    <col min="9474" max="9474" width="3.7109375" style="229" customWidth="1"/>
    <col min="9475" max="9475" width="14.42578125" style="229" customWidth="1"/>
    <col min="9476" max="9476" width="3.7109375" style="229" customWidth="1"/>
    <col min="9477" max="9477" width="15.5703125" style="229" customWidth="1"/>
    <col min="9478" max="9478" width="12.85546875" style="229" customWidth="1"/>
    <col min="9479" max="9479" width="13.28515625" style="229" customWidth="1"/>
    <col min="9480" max="9480" width="11.7109375" style="229" customWidth="1"/>
    <col min="9481" max="9481" width="13.85546875" style="229" customWidth="1"/>
    <col min="9482" max="9482" width="13.140625" style="229" customWidth="1"/>
    <col min="9483" max="9483" width="13.42578125" style="229" customWidth="1"/>
    <col min="9484" max="9484" width="13.7109375" style="229" customWidth="1"/>
    <col min="9485" max="9485" width="12.5703125" style="229" customWidth="1"/>
    <col min="9486" max="9490" width="9.5703125" style="229" customWidth="1"/>
    <col min="9491" max="9492" width="9" style="229" customWidth="1"/>
    <col min="9493" max="9729" width="9.140625" style="229"/>
    <col min="9730" max="9730" width="3.7109375" style="229" customWidth="1"/>
    <col min="9731" max="9731" width="14.42578125" style="229" customWidth="1"/>
    <col min="9732" max="9732" width="3.7109375" style="229" customWidth="1"/>
    <col min="9733" max="9733" width="15.5703125" style="229" customWidth="1"/>
    <col min="9734" max="9734" width="12.85546875" style="229" customWidth="1"/>
    <col min="9735" max="9735" width="13.28515625" style="229" customWidth="1"/>
    <col min="9736" max="9736" width="11.7109375" style="229" customWidth="1"/>
    <col min="9737" max="9737" width="13.85546875" style="229" customWidth="1"/>
    <col min="9738" max="9738" width="13.140625" style="229" customWidth="1"/>
    <col min="9739" max="9739" width="13.42578125" style="229" customWidth="1"/>
    <col min="9740" max="9740" width="13.7109375" style="229" customWidth="1"/>
    <col min="9741" max="9741" width="12.5703125" style="229" customWidth="1"/>
    <col min="9742" max="9746" width="9.5703125" style="229" customWidth="1"/>
    <col min="9747" max="9748" width="9" style="229" customWidth="1"/>
    <col min="9749" max="9985" width="9.140625" style="229"/>
    <col min="9986" max="9986" width="3.7109375" style="229" customWidth="1"/>
    <col min="9987" max="9987" width="14.42578125" style="229" customWidth="1"/>
    <col min="9988" max="9988" width="3.7109375" style="229" customWidth="1"/>
    <col min="9989" max="9989" width="15.5703125" style="229" customWidth="1"/>
    <col min="9990" max="9990" width="12.85546875" style="229" customWidth="1"/>
    <col min="9991" max="9991" width="13.28515625" style="229" customWidth="1"/>
    <col min="9992" max="9992" width="11.7109375" style="229" customWidth="1"/>
    <col min="9993" max="9993" width="13.85546875" style="229" customWidth="1"/>
    <col min="9994" max="9994" width="13.140625" style="229" customWidth="1"/>
    <col min="9995" max="9995" width="13.42578125" style="229" customWidth="1"/>
    <col min="9996" max="9996" width="13.7109375" style="229" customWidth="1"/>
    <col min="9997" max="9997" width="12.5703125" style="229" customWidth="1"/>
    <col min="9998" max="10002" width="9.5703125" style="229" customWidth="1"/>
    <col min="10003" max="10004" width="9" style="229" customWidth="1"/>
    <col min="10005" max="10241" width="9.140625" style="229"/>
    <col min="10242" max="10242" width="3.7109375" style="229" customWidth="1"/>
    <col min="10243" max="10243" width="14.42578125" style="229" customWidth="1"/>
    <col min="10244" max="10244" width="3.7109375" style="229" customWidth="1"/>
    <col min="10245" max="10245" width="15.5703125" style="229" customWidth="1"/>
    <col min="10246" max="10246" width="12.85546875" style="229" customWidth="1"/>
    <col min="10247" max="10247" width="13.28515625" style="229" customWidth="1"/>
    <col min="10248" max="10248" width="11.7109375" style="229" customWidth="1"/>
    <col min="10249" max="10249" width="13.85546875" style="229" customWidth="1"/>
    <col min="10250" max="10250" width="13.140625" style="229" customWidth="1"/>
    <col min="10251" max="10251" width="13.42578125" style="229" customWidth="1"/>
    <col min="10252" max="10252" width="13.7109375" style="229" customWidth="1"/>
    <col min="10253" max="10253" width="12.5703125" style="229" customWidth="1"/>
    <col min="10254" max="10258" width="9.5703125" style="229" customWidth="1"/>
    <col min="10259" max="10260" width="9" style="229" customWidth="1"/>
    <col min="10261" max="10497" width="9.140625" style="229"/>
    <col min="10498" max="10498" width="3.7109375" style="229" customWidth="1"/>
    <col min="10499" max="10499" width="14.42578125" style="229" customWidth="1"/>
    <col min="10500" max="10500" width="3.7109375" style="229" customWidth="1"/>
    <col min="10501" max="10501" width="15.5703125" style="229" customWidth="1"/>
    <col min="10502" max="10502" width="12.85546875" style="229" customWidth="1"/>
    <col min="10503" max="10503" width="13.28515625" style="229" customWidth="1"/>
    <col min="10504" max="10504" width="11.7109375" style="229" customWidth="1"/>
    <col min="10505" max="10505" width="13.85546875" style="229" customWidth="1"/>
    <col min="10506" max="10506" width="13.140625" style="229" customWidth="1"/>
    <col min="10507" max="10507" width="13.42578125" style="229" customWidth="1"/>
    <col min="10508" max="10508" width="13.7109375" style="229" customWidth="1"/>
    <col min="10509" max="10509" width="12.5703125" style="229" customWidth="1"/>
    <col min="10510" max="10514" width="9.5703125" style="229" customWidth="1"/>
    <col min="10515" max="10516" width="9" style="229" customWidth="1"/>
    <col min="10517" max="10753" width="9.140625" style="229"/>
    <col min="10754" max="10754" width="3.7109375" style="229" customWidth="1"/>
    <col min="10755" max="10755" width="14.42578125" style="229" customWidth="1"/>
    <col min="10756" max="10756" width="3.7109375" style="229" customWidth="1"/>
    <col min="10757" max="10757" width="15.5703125" style="229" customWidth="1"/>
    <col min="10758" max="10758" width="12.85546875" style="229" customWidth="1"/>
    <col min="10759" max="10759" width="13.28515625" style="229" customWidth="1"/>
    <col min="10760" max="10760" width="11.7109375" style="229" customWidth="1"/>
    <col min="10761" max="10761" width="13.85546875" style="229" customWidth="1"/>
    <col min="10762" max="10762" width="13.140625" style="229" customWidth="1"/>
    <col min="10763" max="10763" width="13.42578125" style="229" customWidth="1"/>
    <col min="10764" max="10764" width="13.7109375" style="229" customWidth="1"/>
    <col min="10765" max="10765" width="12.5703125" style="229" customWidth="1"/>
    <col min="10766" max="10770" width="9.5703125" style="229" customWidth="1"/>
    <col min="10771" max="10772" width="9" style="229" customWidth="1"/>
    <col min="10773" max="11009" width="9.140625" style="229"/>
    <col min="11010" max="11010" width="3.7109375" style="229" customWidth="1"/>
    <col min="11011" max="11011" width="14.42578125" style="229" customWidth="1"/>
    <col min="11012" max="11012" width="3.7109375" style="229" customWidth="1"/>
    <col min="11013" max="11013" width="15.5703125" style="229" customWidth="1"/>
    <col min="11014" max="11014" width="12.85546875" style="229" customWidth="1"/>
    <col min="11015" max="11015" width="13.28515625" style="229" customWidth="1"/>
    <col min="11016" max="11016" width="11.7109375" style="229" customWidth="1"/>
    <col min="11017" max="11017" width="13.85546875" style="229" customWidth="1"/>
    <col min="11018" max="11018" width="13.140625" style="229" customWidth="1"/>
    <col min="11019" max="11019" width="13.42578125" style="229" customWidth="1"/>
    <col min="11020" max="11020" width="13.7109375" style="229" customWidth="1"/>
    <col min="11021" max="11021" width="12.5703125" style="229" customWidth="1"/>
    <col min="11022" max="11026" width="9.5703125" style="229" customWidth="1"/>
    <col min="11027" max="11028" width="9" style="229" customWidth="1"/>
    <col min="11029" max="11265" width="9.140625" style="229"/>
    <col min="11266" max="11266" width="3.7109375" style="229" customWidth="1"/>
    <col min="11267" max="11267" width="14.42578125" style="229" customWidth="1"/>
    <col min="11268" max="11268" width="3.7109375" style="229" customWidth="1"/>
    <col min="11269" max="11269" width="15.5703125" style="229" customWidth="1"/>
    <col min="11270" max="11270" width="12.85546875" style="229" customWidth="1"/>
    <col min="11271" max="11271" width="13.28515625" style="229" customWidth="1"/>
    <col min="11272" max="11272" width="11.7109375" style="229" customWidth="1"/>
    <col min="11273" max="11273" width="13.85546875" style="229" customWidth="1"/>
    <col min="11274" max="11274" width="13.140625" style="229" customWidth="1"/>
    <col min="11275" max="11275" width="13.42578125" style="229" customWidth="1"/>
    <col min="11276" max="11276" width="13.7109375" style="229" customWidth="1"/>
    <col min="11277" max="11277" width="12.5703125" style="229" customWidth="1"/>
    <col min="11278" max="11282" width="9.5703125" style="229" customWidth="1"/>
    <col min="11283" max="11284" width="9" style="229" customWidth="1"/>
    <col min="11285" max="11521" width="9.140625" style="229"/>
    <col min="11522" max="11522" width="3.7109375" style="229" customWidth="1"/>
    <col min="11523" max="11523" width="14.42578125" style="229" customWidth="1"/>
    <col min="11524" max="11524" width="3.7109375" style="229" customWidth="1"/>
    <col min="11525" max="11525" width="15.5703125" style="229" customWidth="1"/>
    <col min="11526" max="11526" width="12.85546875" style="229" customWidth="1"/>
    <col min="11527" max="11527" width="13.28515625" style="229" customWidth="1"/>
    <col min="11528" max="11528" width="11.7109375" style="229" customWidth="1"/>
    <col min="11529" max="11529" width="13.85546875" style="229" customWidth="1"/>
    <col min="11530" max="11530" width="13.140625" style="229" customWidth="1"/>
    <col min="11531" max="11531" width="13.42578125" style="229" customWidth="1"/>
    <col min="11532" max="11532" width="13.7109375" style="229" customWidth="1"/>
    <col min="11533" max="11533" width="12.5703125" style="229" customWidth="1"/>
    <col min="11534" max="11538" width="9.5703125" style="229" customWidth="1"/>
    <col min="11539" max="11540" width="9" style="229" customWidth="1"/>
    <col min="11541" max="11777" width="9.140625" style="229"/>
    <col min="11778" max="11778" width="3.7109375" style="229" customWidth="1"/>
    <col min="11779" max="11779" width="14.42578125" style="229" customWidth="1"/>
    <col min="11780" max="11780" width="3.7109375" style="229" customWidth="1"/>
    <col min="11781" max="11781" width="15.5703125" style="229" customWidth="1"/>
    <col min="11782" max="11782" width="12.85546875" style="229" customWidth="1"/>
    <col min="11783" max="11783" width="13.28515625" style="229" customWidth="1"/>
    <col min="11784" max="11784" width="11.7109375" style="229" customWidth="1"/>
    <col min="11785" max="11785" width="13.85546875" style="229" customWidth="1"/>
    <col min="11786" max="11786" width="13.140625" style="229" customWidth="1"/>
    <col min="11787" max="11787" width="13.42578125" style="229" customWidth="1"/>
    <col min="11788" max="11788" width="13.7109375" style="229" customWidth="1"/>
    <col min="11789" max="11789" width="12.5703125" style="229" customWidth="1"/>
    <col min="11790" max="11794" width="9.5703125" style="229" customWidth="1"/>
    <col min="11795" max="11796" width="9" style="229" customWidth="1"/>
    <col min="11797" max="12033" width="9.140625" style="229"/>
    <col min="12034" max="12034" width="3.7109375" style="229" customWidth="1"/>
    <col min="12035" max="12035" width="14.42578125" style="229" customWidth="1"/>
    <col min="12036" max="12036" width="3.7109375" style="229" customWidth="1"/>
    <col min="12037" max="12037" width="15.5703125" style="229" customWidth="1"/>
    <col min="12038" max="12038" width="12.85546875" style="229" customWidth="1"/>
    <col min="12039" max="12039" width="13.28515625" style="229" customWidth="1"/>
    <col min="12040" max="12040" width="11.7109375" style="229" customWidth="1"/>
    <col min="12041" max="12041" width="13.85546875" style="229" customWidth="1"/>
    <col min="12042" max="12042" width="13.140625" style="229" customWidth="1"/>
    <col min="12043" max="12043" width="13.42578125" style="229" customWidth="1"/>
    <col min="12044" max="12044" width="13.7109375" style="229" customWidth="1"/>
    <col min="12045" max="12045" width="12.5703125" style="229" customWidth="1"/>
    <col min="12046" max="12050" width="9.5703125" style="229" customWidth="1"/>
    <col min="12051" max="12052" width="9" style="229" customWidth="1"/>
    <col min="12053" max="12289" width="9.140625" style="229"/>
    <col min="12290" max="12290" width="3.7109375" style="229" customWidth="1"/>
    <col min="12291" max="12291" width="14.42578125" style="229" customWidth="1"/>
    <col min="12292" max="12292" width="3.7109375" style="229" customWidth="1"/>
    <col min="12293" max="12293" width="15.5703125" style="229" customWidth="1"/>
    <col min="12294" max="12294" width="12.85546875" style="229" customWidth="1"/>
    <col min="12295" max="12295" width="13.28515625" style="229" customWidth="1"/>
    <col min="12296" max="12296" width="11.7109375" style="229" customWidth="1"/>
    <col min="12297" max="12297" width="13.85546875" style="229" customWidth="1"/>
    <col min="12298" max="12298" width="13.140625" style="229" customWidth="1"/>
    <col min="12299" max="12299" width="13.42578125" style="229" customWidth="1"/>
    <col min="12300" max="12300" width="13.7109375" style="229" customWidth="1"/>
    <col min="12301" max="12301" width="12.5703125" style="229" customWidth="1"/>
    <col min="12302" max="12306" width="9.5703125" style="229" customWidth="1"/>
    <col min="12307" max="12308" width="9" style="229" customWidth="1"/>
    <col min="12309" max="12545" width="9.140625" style="229"/>
    <col min="12546" max="12546" width="3.7109375" style="229" customWidth="1"/>
    <col min="12547" max="12547" width="14.42578125" style="229" customWidth="1"/>
    <col min="12548" max="12548" width="3.7109375" style="229" customWidth="1"/>
    <col min="12549" max="12549" width="15.5703125" style="229" customWidth="1"/>
    <col min="12550" max="12550" width="12.85546875" style="229" customWidth="1"/>
    <col min="12551" max="12551" width="13.28515625" style="229" customWidth="1"/>
    <col min="12552" max="12552" width="11.7109375" style="229" customWidth="1"/>
    <col min="12553" max="12553" width="13.85546875" style="229" customWidth="1"/>
    <col min="12554" max="12554" width="13.140625" style="229" customWidth="1"/>
    <col min="12555" max="12555" width="13.42578125" style="229" customWidth="1"/>
    <col min="12556" max="12556" width="13.7109375" style="229" customWidth="1"/>
    <col min="12557" max="12557" width="12.5703125" style="229" customWidth="1"/>
    <col min="12558" max="12562" width="9.5703125" style="229" customWidth="1"/>
    <col min="12563" max="12564" width="9" style="229" customWidth="1"/>
    <col min="12565" max="12801" width="9.140625" style="229"/>
    <col min="12802" max="12802" width="3.7109375" style="229" customWidth="1"/>
    <col min="12803" max="12803" width="14.42578125" style="229" customWidth="1"/>
    <col min="12804" max="12804" width="3.7109375" style="229" customWidth="1"/>
    <col min="12805" max="12805" width="15.5703125" style="229" customWidth="1"/>
    <col min="12806" max="12806" width="12.85546875" style="229" customWidth="1"/>
    <col min="12807" max="12807" width="13.28515625" style="229" customWidth="1"/>
    <col min="12808" max="12808" width="11.7109375" style="229" customWidth="1"/>
    <col min="12809" max="12809" width="13.85546875" style="229" customWidth="1"/>
    <col min="12810" max="12810" width="13.140625" style="229" customWidth="1"/>
    <col min="12811" max="12811" width="13.42578125" style="229" customWidth="1"/>
    <col min="12812" max="12812" width="13.7109375" style="229" customWidth="1"/>
    <col min="12813" max="12813" width="12.5703125" style="229" customWidth="1"/>
    <col min="12814" max="12818" width="9.5703125" style="229" customWidth="1"/>
    <col min="12819" max="12820" width="9" style="229" customWidth="1"/>
    <col min="12821" max="13057" width="9.140625" style="229"/>
    <col min="13058" max="13058" width="3.7109375" style="229" customWidth="1"/>
    <col min="13059" max="13059" width="14.42578125" style="229" customWidth="1"/>
    <col min="13060" max="13060" width="3.7109375" style="229" customWidth="1"/>
    <col min="13061" max="13061" width="15.5703125" style="229" customWidth="1"/>
    <col min="13062" max="13062" width="12.85546875" style="229" customWidth="1"/>
    <col min="13063" max="13063" width="13.28515625" style="229" customWidth="1"/>
    <col min="13064" max="13064" width="11.7109375" style="229" customWidth="1"/>
    <col min="13065" max="13065" width="13.85546875" style="229" customWidth="1"/>
    <col min="13066" max="13066" width="13.140625" style="229" customWidth="1"/>
    <col min="13067" max="13067" width="13.42578125" style="229" customWidth="1"/>
    <col min="13068" max="13068" width="13.7109375" style="229" customWidth="1"/>
    <col min="13069" max="13069" width="12.5703125" style="229" customWidth="1"/>
    <col min="13070" max="13074" width="9.5703125" style="229" customWidth="1"/>
    <col min="13075" max="13076" width="9" style="229" customWidth="1"/>
    <col min="13077" max="13313" width="9.140625" style="229"/>
    <col min="13314" max="13314" width="3.7109375" style="229" customWidth="1"/>
    <col min="13315" max="13315" width="14.42578125" style="229" customWidth="1"/>
    <col min="13316" max="13316" width="3.7109375" style="229" customWidth="1"/>
    <col min="13317" max="13317" width="15.5703125" style="229" customWidth="1"/>
    <col min="13318" max="13318" width="12.85546875" style="229" customWidth="1"/>
    <col min="13319" max="13319" width="13.28515625" style="229" customWidth="1"/>
    <col min="13320" max="13320" width="11.7109375" style="229" customWidth="1"/>
    <col min="13321" max="13321" width="13.85546875" style="229" customWidth="1"/>
    <col min="13322" max="13322" width="13.140625" style="229" customWidth="1"/>
    <col min="13323" max="13323" width="13.42578125" style="229" customWidth="1"/>
    <col min="13324" max="13324" width="13.7109375" style="229" customWidth="1"/>
    <col min="13325" max="13325" width="12.5703125" style="229" customWidth="1"/>
    <col min="13326" max="13330" width="9.5703125" style="229" customWidth="1"/>
    <col min="13331" max="13332" width="9" style="229" customWidth="1"/>
    <col min="13333" max="13569" width="9.140625" style="229"/>
    <col min="13570" max="13570" width="3.7109375" style="229" customWidth="1"/>
    <col min="13571" max="13571" width="14.42578125" style="229" customWidth="1"/>
    <col min="13572" max="13572" width="3.7109375" style="229" customWidth="1"/>
    <col min="13573" max="13573" width="15.5703125" style="229" customWidth="1"/>
    <col min="13574" max="13574" width="12.85546875" style="229" customWidth="1"/>
    <col min="13575" max="13575" width="13.28515625" style="229" customWidth="1"/>
    <col min="13576" max="13576" width="11.7109375" style="229" customWidth="1"/>
    <col min="13577" max="13577" width="13.85546875" style="229" customWidth="1"/>
    <col min="13578" max="13578" width="13.140625" style="229" customWidth="1"/>
    <col min="13579" max="13579" width="13.42578125" style="229" customWidth="1"/>
    <col min="13580" max="13580" width="13.7109375" style="229" customWidth="1"/>
    <col min="13581" max="13581" width="12.5703125" style="229" customWidth="1"/>
    <col min="13582" max="13586" width="9.5703125" style="229" customWidth="1"/>
    <col min="13587" max="13588" width="9" style="229" customWidth="1"/>
    <col min="13589" max="13825" width="9.140625" style="229"/>
    <col min="13826" max="13826" width="3.7109375" style="229" customWidth="1"/>
    <col min="13827" max="13827" width="14.42578125" style="229" customWidth="1"/>
    <col min="13828" max="13828" width="3.7109375" style="229" customWidth="1"/>
    <col min="13829" max="13829" width="15.5703125" style="229" customWidth="1"/>
    <col min="13830" max="13830" width="12.85546875" style="229" customWidth="1"/>
    <col min="13831" max="13831" width="13.28515625" style="229" customWidth="1"/>
    <col min="13832" max="13832" width="11.7109375" style="229" customWidth="1"/>
    <col min="13833" max="13833" width="13.85546875" style="229" customWidth="1"/>
    <col min="13834" max="13834" width="13.140625" style="229" customWidth="1"/>
    <col min="13835" max="13835" width="13.42578125" style="229" customWidth="1"/>
    <col min="13836" max="13836" width="13.7109375" style="229" customWidth="1"/>
    <col min="13837" max="13837" width="12.5703125" style="229" customWidth="1"/>
    <col min="13838" max="13842" width="9.5703125" style="229" customWidth="1"/>
    <col min="13843" max="13844" width="9" style="229" customWidth="1"/>
    <col min="13845" max="14081" width="9.140625" style="229"/>
    <col min="14082" max="14082" width="3.7109375" style="229" customWidth="1"/>
    <col min="14083" max="14083" width="14.42578125" style="229" customWidth="1"/>
    <col min="14084" max="14084" width="3.7109375" style="229" customWidth="1"/>
    <col min="14085" max="14085" width="15.5703125" style="229" customWidth="1"/>
    <col min="14086" max="14086" width="12.85546875" style="229" customWidth="1"/>
    <col min="14087" max="14087" width="13.28515625" style="229" customWidth="1"/>
    <col min="14088" max="14088" width="11.7109375" style="229" customWidth="1"/>
    <col min="14089" max="14089" width="13.85546875" style="229" customWidth="1"/>
    <col min="14090" max="14090" width="13.140625" style="229" customWidth="1"/>
    <col min="14091" max="14091" width="13.42578125" style="229" customWidth="1"/>
    <col min="14092" max="14092" width="13.7109375" style="229" customWidth="1"/>
    <col min="14093" max="14093" width="12.5703125" style="229" customWidth="1"/>
    <col min="14094" max="14098" width="9.5703125" style="229" customWidth="1"/>
    <col min="14099" max="14100" width="9" style="229" customWidth="1"/>
    <col min="14101" max="14337" width="9.140625" style="229"/>
    <col min="14338" max="14338" width="3.7109375" style="229" customWidth="1"/>
    <col min="14339" max="14339" width="14.42578125" style="229" customWidth="1"/>
    <col min="14340" max="14340" width="3.7109375" style="229" customWidth="1"/>
    <col min="14341" max="14341" width="15.5703125" style="229" customWidth="1"/>
    <col min="14342" max="14342" width="12.85546875" style="229" customWidth="1"/>
    <col min="14343" max="14343" width="13.28515625" style="229" customWidth="1"/>
    <col min="14344" max="14344" width="11.7109375" style="229" customWidth="1"/>
    <col min="14345" max="14345" width="13.85546875" style="229" customWidth="1"/>
    <col min="14346" max="14346" width="13.140625" style="229" customWidth="1"/>
    <col min="14347" max="14347" width="13.42578125" style="229" customWidth="1"/>
    <col min="14348" max="14348" width="13.7109375" style="229" customWidth="1"/>
    <col min="14349" max="14349" width="12.5703125" style="229" customWidth="1"/>
    <col min="14350" max="14354" width="9.5703125" style="229" customWidth="1"/>
    <col min="14355" max="14356" width="9" style="229" customWidth="1"/>
    <col min="14357" max="14593" width="9.140625" style="229"/>
    <col min="14594" max="14594" width="3.7109375" style="229" customWidth="1"/>
    <col min="14595" max="14595" width="14.42578125" style="229" customWidth="1"/>
    <col min="14596" max="14596" width="3.7109375" style="229" customWidth="1"/>
    <col min="14597" max="14597" width="15.5703125" style="229" customWidth="1"/>
    <col min="14598" max="14598" width="12.85546875" style="229" customWidth="1"/>
    <col min="14599" max="14599" width="13.28515625" style="229" customWidth="1"/>
    <col min="14600" max="14600" width="11.7109375" style="229" customWidth="1"/>
    <col min="14601" max="14601" width="13.85546875" style="229" customWidth="1"/>
    <col min="14602" max="14602" width="13.140625" style="229" customWidth="1"/>
    <col min="14603" max="14603" width="13.42578125" style="229" customWidth="1"/>
    <col min="14604" max="14604" width="13.7109375" style="229" customWidth="1"/>
    <col min="14605" max="14605" width="12.5703125" style="229" customWidth="1"/>
    <col min="14606" max="14610" width="9.5703125" style="229" customWidth="1"/>
    <col min="14611" max="14612" width="9" style="229" customWidth="1"/>
    <col min="14613" max="14849" width="9.140625" style="229"/>
    <col min="14850" max="14850" width="3.7109375" style="229" customWidth="1"/>
    <col min="14851" max="14851" width="14.42578125" style="229" customWidth="1"/>
    <col min="14852" max="14852" width="3.7109375" style="229" customWidth="1"/>
    <col min="14853" max="14853" width="15.5703125" style="229" customWidth="1"/>
    <col min="14854" max="14854" width="12.85546875" style="229" customWidth="1"/>
    <col min="14855" max="14855" width="13.28515625" style="229" customWidth="1"/>
    <col min="14856" max="14856" width="11.7109375" style="229" customWidth="1"/>
    <col min="14857" max="14857" width="13.85546875" style="229" customWidth="1"/>
    <col min="14858" max="14858" width="13.140625" style="229" customWidth="1"/>
    <col min="14859" max="14859" width="13.42578125" style="229" customWidth="1"/>
    <col min="14860" max="14860" width="13.7109375" style="229" customWidth="1"/>
    <col min="14861" max="14861" width="12.5703125" style="229" customWidth="1"/>
    <col min="14862" max="14866" width="9.5703125" style="229" customWidth="1"/>
    <col min="14867" max="14868" width="9" style="229" customWidth="1"/>
    <col min="14869" max="15105" width="9.140625" style="229"/>
    <col min="15106" max="15106" width="3.7109375" style="229" customWidth="1"/>
    <col min="15107" max="15107" width="14.42578125" style="229" customWidth="1"/>
    <col min="15108" max="15108" width="3.7109375" style="229" customWidth="1"/>
    <col min="15109" max="15109" width="15.5703125" style="229" customWidth="1"/>
    <col min="15110" max="15110" width="12.85546875" style="229" customWidth="1"/>
    <col min="15111" max="15111" width="13.28515625" style="229" customWidth="1"/>
    <col min="15112" max="15112" width="11.7109375" style="229" customWidth="1"/>
    <col min="15113" max="15113" width="13.85546875" style="229" customWidth="1"/>
    <col min="15114" max="15114" width="13.140625" style="229" customWidth="1"/>
    <col min="15115" max="15115" width="13.42578125" style="229" customWidth="1"/>
    <col min="15116" max="15116" width="13.7109375" style="229" customWidth="1"/>
    <col min="15117" max="15117" width="12.5703125" style="229" customWidth="1"/>
    <col min="15118" max="15122" width="9.5703125" style="229" customWidth="1"/>
    <col min="15123" max="15124" width="9" style="229" customWidth="1"/>
    <col min="15125" max="15361" width="9.140625" style="229"/>
    <col min="15362" max="15362" width="3.7109375" style="229" customWidth="1"/>
    <col min="15363" max="15363" width="14.42578125" style="229" customWidth="1"/>
    <col min="15364" max="15364" width="3.7109375" style="229" customWidth="1"/>
    <col min="15365" max="15365" width="15.5703125" style="229" customWidth="1"/>
    <col min="15366" max="15366" width="12.85546875" style="229" customWidth="1"/>
    <col min="15367" max="15367" width="13.28515625" style="229" customWidth="1"/>
    <col min="15368" max="15368" width="11.7109375" style="229" customWidth="1"/>
    <col min="15369" max="15369" width="13.85546875" style="229" customWidth="1"/>
    <col min="15370" max="15370" width="13.140625" style="229" customWidth="1"/>
    <col min="15371" max="15371" width="13.42578125" style="229" customWidth="1"/>
    <col min="15372" max="15372" width="13.7109375" style="229" customWidth="1"/>
    <col min="15373" max="15373" width="12.5703125" style="229" customWidth="1"/>
    <col min="15374" max="15378" width="9.5703125" style="229" customWidth="1"/>
    <col min="15379" max="15380" width="9" style="229" customWidth="1"/>
    <col min="15381" max="15617" width="9.140625" style="229"/>
    <col min="15618" max="15618" width="3.7109375" style="229" customWidth="1"/>
    <col min="15619" max="15619" width="14.42578125" style="229" customWidth="1"/>
    <col min="15620" max="15620" width="3.7109375" style="229" customWidth="1"/>
    <col min="15621" max="15621" width="15.5703125" style="229" customWidth="1"/>
    <col min="15622" max="15622" width="12.85546875" style="229" customWidth="1"/>
    <col min="15623" max="15623" width="13.28515625" style="229" customWidth="1"/>
    <col min="15624" max="15624" width="11.7109375" style="229" customWidth="1"/>
    <col min="15625" max="15625" width="13.85546875" style="229" customWidth="1"/>
    <col min="15626" max="15626" width="13.140625" style="229" customWidth="1"/>
    <col min="15627" max="15627" width="13.42578125" style="229" customWidth="1"/>
    <col min="15628" max="15628" width="13.7109375" style="229" customWidth="1"/>
    <col min="15629" max="15629" width="12.5703125" style="229" customWidth="1"/>
    <col min="15630" max="15634" width="9.5703125" style="229" customWidth="1"/>
    <col min="15635" max="15636" width="9" style="229" customWidth="1"/>
    <col min="15637" max="15873" width="9.140625" style="229"/>
    <col min="15874" max="15874" width="3.7109375" style="229" customWidth="1"/>
    <col min="15875" max="15875" width="14.42578125" style="229" customWidth="1"/>
    <col min="15876" max="15876" width="3.7109375" style="229" customWidth="1"/>
    <col min="15877" max="15877" width="15.5703125" style="229" customWidth="1"/>
    <col min="15878" max="15878" width="12.85546875" style="229" customWidth="1"/>
    <col min="15879" max="15879" width="13.28515625" style="229" customWidth="1"/>
    <col min="15880" max="15880" width="11.7109375" style="229" customWidth="1"/>
    <col min="15881" max="15881" width="13.85546875" style="229" customWidth="1"/>
    <col min="15882" max="15882" width="13.140625" style="229" customWidth="1"/>
    <col min="15883" max="15883" width="13.42578125" style="229" customWidth="1"/>
    <col min="15884" max="15884" width="13.7109375" style="229" customWidth="1"/>
    <col min="15885" max="15885" width="12.5703125" style="229" customWidth="1"/>
    <col min="15886" max="15890" width="9.5703125" style="229" customWidth="1"/>
    <col min="15891" max="15892" width="9" style="229" customWidth="1"/>
    <col min="15893" max="16129" width="9.140625" style="229"/>
    <col min="16130" max="16130" width="3.7109375" style="229" customWidth="1"/>
    <col min="16131" max="16131" width="14.42578125" style="229" customWidth="1"/>
    <col min="16132" max="16132" width="3.7109375" style="229" customWidth="1"/>
    <col min="16133" max="16133" width="15.5703125" style="229" customWidth="1"/>
    <col min="16134" max="16134" width="12.85546875" style="229" customWidth="1"/>
    <col min="16135" max="16135" width="13.28515625" style="229" customWidth="1"/>
    <col min="16136" max="16136" width="11.7109375" style="229" customWidth="1"/>
    <col min="16137" max="16137" width="13.85546875" style="229" customWidth="1"/>
    <col min="16138" max="16138" width="13.140625" style="229" customWidth="1"/>
    <col min="16139" max="16139" width="13.42578125" style="229" customWidth="1"/>
    <col min="16140" max="16140" width="13.7109375" style="229" customWidth="1"/>
    <col min="16141" max="16141" width="12.5703125" style="229" customWidth="1"/>
    <col min="16142" max="16146" width="9.5703125" style="229" customWidth="1"/>
    <col min="16147" max="16148" width="9" style="229" customWidth="1"/>
    <col min="16149" max="16384" width="9.140625" style="229"/>
  </cols>
  <sheetData>
    <row r="1" spans="1:22" x14ac:dyDescent="0.25">
      <c r="D1" s="996"/>
      <c r="E1" s="996"/>
      <c r="F1" s="1406"/>
      <c r="G1" s="996"/>
      <c r="H1" s="996"/>
      <c r="I1" s="996"/>
      <c r="J1" s="996"/>
      <c r="K1" s="996"/>
      <c r="L1" s="996"/>
      <c r="M1" s="996"/>
      <c r="N1" s="996"/>
      <c r="O1" s="996"/>
      <c r="P1" s="996"/>
      <c r="Q1" s="996"/>
      <c r="R1" s="996"/>
    </row>
    <row r="2" spans="1:22" ht="15" customHeight="1" x14ac:dyDescent="0.25">
      <c r="A2" s="453">
        <v>1</v>
      </c>
      <c r="B2" s="453" t="s">
        <v>24</v>
      </c>
      <c r="C2" s="453">
        <f>1+'Drug-Related Crime'!C2</f>
        <v>68</v>
      </c>
      <c r="D2" s="3934" t="s">
        <v>1681</v>
      </c>
      <c r="E2" s="3935"/>
      <c r="F2" s="3935"/>
      <c r="G2" s="3935"/>
      <c r="H2" s="3935"/>
      <c r="I2" s="3935"/>
      <c r="J2" s="3935"/>
      <c r="K2" s="3935"/>
      <c r="L2" s="3935"/>
      <c r="M2" s="3935"/>
      <c r="N2" s="3935"/>
      <c r="O2" s="3935"/>
      <c r="P2" s="3936"/>
      <c r="Q2" s="1419"/>
      <c r="R2" s="1420"/>
      <c r="S2" s="1420"/>
      <c r="T2" s="1421"/>
      <c r="U2" s="1026"/>
      <c r="V2" s="1026"/>
    </row>
    <row r="3" spans="1:22" ht="15" customHeight="1" x14ac:dyDescent="0.25">
      <c r="A3" s="453">
        <v>2</v>
      </c>
      <c r="B3" s="453" t="s">
        <v>26</v>
      </c>
      <c r="C3" s="453"/>
      <c r="D3" s="3934" t="s">
        <v>1621</v>
      </c>
      <c r="E3" s="3935"/>
      <c r="F3" s="3935"/>
      <c r="G3" s="3935"/>
      <c r="H3" s="3935"/>
      <c r="I3" s="3935"/>
      <c r="J3" s="3935"/>
      <c r="K3" s="3935"/>
      <c r="L3" s="3935"/>
      <c r="M3" s="3935"/>
      <c r="N3" s="3935"/>
      <c r="O3" s="3935"/>
      <c r="P3" s="3936"/>
      <c r="Q3" s="1419"/>
      <c r="R3" s="1420"/>
      <c r="S3" s="1420"/>
      <c r="T3" s="1421"/>
    </row>
    <row r="4" spans="1:22" ht="12.75" customHeight="1" x14ac:dyDescent="0.25">
      <c r="A4" s="453">
        <v>3</v>
      </c>
      <c r="B4" s="453" t="s">
        <v>28</v>
      </c>
      <c r="C4" s="453"/>
      <c r="D4" s="3934" t="s">
        <v>1682</v>
      </c>
      <c r="E4" s="3935"/>
      <c r="F4" s="3935"/>
      <c r="G4" s="3935"/>
      <c r="H4" s="3935"/>
      <c r="I4" s="3935"/>
      <c r="J4" s="3935"/>
      <c r="K4" s="3935"/>
      <c r="L4" s="3935"/>
      <c r="M4" s="3935"/>
      <c r="N4" s="3935"/>
      <c r="O4" s="3935"/>
      <c r="P4" s="3936"/>
      <c r="Q4" s="1419"/>
      <c r="R4" s="1420"/>
      <c r="S4" s="1420"/>
      <c r="T4" s="1421"/>
    </row>
    <row r="5" spans="1:22" ht="13.5" customHeight="1" x14ac:dyDescent="0.25">
      <c r="A5" s="1170"/>
      <c r="B5" s="1170"/>
      <c r="C5" s="1170"/>
      <c r="D5" s="3929"/>
      <c r="E5" s="3929"/>
      <c r="F5" s="3929"/>
      <c r="G5" s="3929"/>
      <c r="H5" s="3929"/>
      <c r="I5" s="3929"/>
      <c r="J5" s="3929"/>
      <c r="K5" s="3929"/>
      <c r="L5" s="3929"/>
      <c r="M5" s="3929"/>
      <c r="N5" s="1417"/>
      <c r="O5" s="1417"/>
      <c r="P5" s="195"/>
      <c r="Q5" s="117"/>
      <c r="R5" s="117"/>
    </row>
    <row r="6" spans="1:22" x14ac:dyDescent="0.25">
      <c r="A6" s="453">
        <v>4</v>
      </c>
      <c r="B6" s="650" t="s">
        <v>1</v>
      </c>
      <c r="D6" s="120" t="s">
        <v>31</v>
      </c>
      <c r="E6" s="120" t="s">
        <v>1657</v>
      </c>
      <c r="F6" s="372"/>
      <c r="G6" s="372"/>
      <c r="H6" s="372"/>
      <c r="I6" s="372"/>
      <c r="J6" s="372"/>
      <c r="K6" s="372"/>
      <c r="L6" s="372"/>
      <c r="M6" s="372"/>
      <c r="N6" s="119"/>
      <c r="O6" s="1024"/>
      <c r="P6" s="1024"/>
      <c r="Q6" s="117"/>
      <c r="R6" s="117"/>
      <c r="S6" s="117"/>
      <c r="T6" s="117"/>
    </row>
    <row r="7" spans="1:22" x14ac:dyDescent="0.25">
      <c r="A7" s="650"/>
      <c r="B7" s="745"/>
      <c r="C7" s="745"/>
      <c r="D7" s="2995"/>
      <c r="E7" s="1517" t="s">
        <v>134</v>
      </c>
      <c r="F7" s="1517" t="s">
        <v>135</v>
      </c>
      <c r="G7" s="1517" t="s">
        <v>136</v>
      </c>
      <c r="H7" s="1517" t="s">
        <v>137</v>
      </c>
      <c r="I7" s="1517" t="s">
        <v>138</v>
      </c>
      <c r="J7" s="1517" t="s">
        <v>139</v>
      </c>
      <c r="K7" s="1517" t="s">
        <v>140</v>
      </c>
      <c r="L7" s="1517" t="s">
        <v>141</v>
      </c>
      <c r="M7" s="1517" t="s">
        <v>142</v>
      </c>
      <c r="N7" s="1515" t="s">
        <v>143</v>
      </c>
      <c r="O7" s="1515" t="s">
        <v>144</v>
      </c>
      <c r="P7" s="3010" t="s">
        <v>145</v>
      </c>
      <c r="Q7" s="723"/>
    </row>
    <row r="8" spans="1:22" ht="4.9000000000000004" customHeight="1" x14ac:dyDescent="0.25">
      <c r="A8" s="650"/>
      <c r="B8" s="745"/>
      <c r="C8" s="745"/>
      <c r="D8" s="2949"/>
      <c r="E8" s="620"/>
      <c r="F8" s="620"/>
      <c r="G8" s="620"/>
      <c r="H8" s="620"/>
      <c r="I8" s="620"/>
      <c r="J8" s="620"/>
      <c r="K8" s="620"/>
      <c r="L8" s="620"/>
      <c r="M8" s="620"/>
      <c r="N8" s="620"/>
      <c r="O8" s="620"/>
      <c r="P8" s="3020"/>
      <c r="Q8" s="770"/>
      <c r="R8" s="770"/>
      <c r="S8" s="770"/>
      <c r="T8" s="1893"/>
      <c r="U8" s="1893"/>
    </row>
    <row r="9" spans="1:22" x14ac:dyDescent="0.25">
      <c r="A9" s="650"/>
      <c r="B9" s="745"/>
      <c r="C9" s="745"/>
      <c r="D9" s="2948" t="s">
        <v>415</v>
      </c>
      <c r="E9" s="1908">
        <v>8238</v>
      </c>
      <c r="F9" s="1908">
        <v>8626</v>
      </c>
      <c r="G9" s="1908">
        <v>10312</v>
      </c>
      <c r="H9" s="1908">
        <v>9117</v>
      </c>
      <c r="I9" s="1908">
        <v>9087</v>
      </c>
      <c r="J9" s="1908">
        <v>9456</v>
      </c>
      <c r="K9" s="1908">
        <v>9047</v>
      </c>
      <c r="L9" s="1908">
        <v>9380</v>
      </c>
      <c r="M9" s="1908">
        <v>9239</v>
      </c>
      <c r="N9" s="1908">
        <v>9567</v>
      </c>
      <c r="O9" s="1908">
        <v>9897</v>
      </c>
      <c r="P9" s="3021">
        <v>9224</v>
      </c>
      <c r="Q9" s="770"/>
      <c r="R9" s="770"/>
      <c r="S9" s="770"/>
      <c r="T9" s="1893"/>
      <c r="U9" s="1893"/>
    </row>
    <row r="10" spans="1:22" x14ac:dyDescent="0.25">
      <c r="A10" s="650"/>
      <c r="B10" s="745"/>
      <c r="C10" s="745"/>
      <c r="D10" s="2948" t="s">
        <v>1658</v>
      </c>
      <c r="E10" s="1908">
        <v>4734</v>
      </c>
      <c r="F10" s="1908">
        <v>4972</v>
      </c>
      <c r="G10" s="1908">
        <v>4559</v>
      </c>
      <c r="H10" s="1908">
        <v>4386</v>
      </c>
      <c r="I10" s="1908">
        <v>4396</v>
      </c>
      <c r="J10" s="1908">
        <v>4523</v>
      </c>
      <c r="K10" s="1908">
        <v>4581</v>
      </c>
      <c r="L10" s="1908">
        <v>4838</v>
      </c>
      <c r="M10" s="1908">
        <v>4927</v>
      </c>
      <c r="N10" s="1908">
        <v>5252</v>
      </c>
      <c r="O10" s="1908">
        <v>4814</v>
      </c>
      <c r="P10" s="3021">
        <v>4094</v>
      </c>
      <c r="Q10" s="770"/>
      <c r="R10" s="770"/>
      <c r="S10" s="770"/>
      <c r="T10" s="1893"/>
      <c r="U10" s="1893"/>
    </row>
    <row r="11" spans="1:22" x14ac:dyDescent="0.25">
      <c r="A11" s="650"/>
      <c r="B11" s="745"/>
      <c r="C11" s="745"/>
      <c r="D11" s="2948" t="s">
        <v>581</v>
      </c>
      <c r="E11" s="1908">
        <v>16402</v>
      </c>
      <c r="F11" s="1908">
        <v>16333</v>
      </c>
      <c r="G11" s="1908">
        <v>15676</v>
      </c>
      <c r="H11" s="1908">
        <v>15124</v>
      </c>
      <c r="I11" s="1908">
        <v>15398</v>
      </c>
      <c r="J11" s="1908">
        <v>18176</v>
      </c>
      <c r="K11" s="1908">
        <v>15645</v>
      </c>
      <c r="L11" s="1908">
        <v>13987</v>
      </c>
      <c r="M11" s="1908">
        <v>12419</v>
      </c>
      <c r="N11" s="1908">
        <v>12288</v>
      </c>
      <c r="O11" s="1908">
        <v>11021</v>
      </c>
      <c r="P11" s="3021">
        <v>9902</v>
      </c>
      <c r="Q11" s="770"/>
      <c r="R11" s="770"/>
      <c r="S11" s="770"/>
      <c r="T11" s="1893"/>
      <c r="U11" s="1893"/>
    </row>
    <row r="12" spans="1:22" x14ac:dyDescent="0.25">
      <c r="A12" s="650"/>
      <c r="B12" s="745"/>
      <c r="C12" s="745"/>
      <c r="D12" s="2948" t="s">
        <v>1659</v>
      </c>
      <c r="E12" s="1908">
        <v>11378</v>
      </c>
      <c r="F12" s="1908">
        <v>12122</v>
      </c>
      <c r="G12" s="1908">
        <v>11932</v>
      </c>
      <c r="H12" s="1908">
        <v>11649</v>
      </c>
      <c r="I12" s="1908">
        <v>11355</v>
      </c>
      <c r="J12" s="1908">
        <v>13279</v>
      </c>
      <c r="K12" s="1908">
        <v>13269</v>
      </c>
      <c r="L12" s="1908">
        <v>12793</v>
      </c>
      <c r="M12" s="1908">
        <v>12288</v>
      </c>
      <c r="N12" s="1908">
        <v>12405</v>
      </c>
      <c r="O12" s="1908">
        <v>11875</v>
      </c>
      <c r="P12" s="3021">
        <v>9079</v>
      </c>
      <c r="Q12" s="770"/>
      <c r="R12" s="770"/>
      <c r="S12" s="770"/>
      <c r="T12" s="1893"/>
      <c r="U12" s="1893"/>
    </row>
    <row r="13" spans="1:22" x14ac:dyDescent="0.25">
      <c r="A13" s="650"/>
      <c r="B13" s="745"/>
      <c r="C13" s="745"/>
      <c r="D13" s="2948" t="s">
        <v>422</v>
      </c>
      <c r="E13" s="1908">
        <v>4491</v>
      </c>
      <c r="F13" s="1908">
        <v>5070</v>
      </c>
      <c r="G13" s="1908">
        <v>4671</v>
      </c>
      <c r="H13" s="1908">
        <v>4780</v>
      </c>
      <c r="I13" s="1908">
        <v>4528</v>
      </c>
      <c r="J13" s="1908">
        <v>4675</v>
      </c>
      <c r="K13" s="1908">
        <v>4905</v>
      </c>
      <c r="L13" s="1908">
        <v>4883</v>
      </c>
      <c r="M13" s="1908">
        <v>5686</v>
      </c>
      <c r="N13" s="1908">
        <v>6467</v>
      </c>
      <c r="O13" s="1908">
        <v>6423</v>
      </c>
      <c r="P13" s="3021">
        <v>4312</v>
      </c>
      <c r="Q13" s="1909"/>
      <c r="R13" s="770"/>
      <c r="S13" s="770"/>
      <c r="T13" s="1893"/>
      <c r="U13" s="1893"/>
    </row>
    <row r="14" spans="1:22" x14ac:dyDescent="0.25">
      <c r="A14" s="650"/>
      <c r="B14" s="745"/>
      <c r="C14" s="745"/>
      <c r="D14" s="2948" t="s">
        <v>1660</v>
      </c>
      <c r="E14" s="1908">
        <v>4375</v>
      </c>
      <c r="F14" s="1908">
        <v>4674</v>
      </c>
      <c r="G14" s="1908">
        <v>4756</v>
      </c>
      <c r="H14" s="1908">
        <v>4631</v>
      </c>
      <c r="I14" s="1908">
        <v>4169</v>
      </c>
      <c r="J14" s="1908">
        <v>4695</v>
      </c>
      <c r="K14" s="1908">
        <v>4603</v>
      </c>
      <c r="L14" s="1908">
        <v>4442</v>
      </c>
      <c r="M14" s="1908">
        <v>4092</v>
      </c>
      <c r="N14" s="1908">
        <v>4267</v>
      </c>
      <c r="O14" s="1908">
        <v>3953</v>
      </c>
      <c r="P14" s="3021">
        <v>3474</v>
      </c>
      <c r="Q14" s="770"/>
      <c r="R14" s="770"/>
      <c r="S14" s="770"/>
      <c r="T14" s="1893"/>
      <c r="U14" s="1893"/>
    </row>
    <row r="15" spans="1:22" x14ac:dyDescent="0.25">
      <c r="A15" s="650"/>
      <c r="B15" s="745"/>
      <c r="C15" s="745"/>
      <c r="D15" s="2948" t="s">
        <v>419</v>
      </c>
      <c r="E15" s="1908">
        <v>4519</v>
      </c>
      <c r="F15" s="1908">
        <v>4610</v>
      </c>
      <c r="G15" s="1908">
        <v>4546</v>
      </c>
      <c r="H15" s="1908">
        <v>4588</v>
      </c>
      <c r="I15" s="1908">
        <v>4513</v>
      </c>
      <c r="J15" s="1908">
        <v>5021</v>
      </c>
      <c r="K15" s="1908">
        <v>4759</v>
      </c>
      <c r="L15" s="1908">
        <v>4706</v>
      </c>
      <c r="M15" s="1908">
        <v>4972</v>
      </c>
      <c r="N15" s="1908">
        <v>5521</v>
      </c>
      <c r="O15" s="1908">
        <v>4850</v>
      </c>
      <c r="P15" s="3021">
        <v>4585</v>
      </c>
      <c r="Q15" s="770"/>
      <c r="R15" s="770"/>
      <c r="S15" s="770"/>
      <c r="T15" s="1893"/>
      <c r="U15" s="1893"/>
    </row>
    <row r="16" spans="1:22" x14ac:dyDescent="0.25">
      <c r="A16" s="650"/>
      <c r="B16" s="745"/>
      <c r="C16" s="745"/>
      <c r="D16" s="2948" t="s">
        <v>1661</v>
      </c>
      <c r="E16" s="1908">
        <v>2191</v>
      </c>
      <c r="F16" s="1908">
        <v>2212</v>
      </c>
      <c r="G16" s="1908">
        <v>1993</v>
      </c>
      <c r="H16" s="1908">
        <v>1957</v>
      </c>
      <c r="I16" s="1908">
        <v>1749</v>
      </c>
      <c r="J16" s="1908">
        <v>1917</v>
      </c>
      <c r="K16" s="1908">
        <v>1845</v>
      </c>
      <c r="L16" s="1908">
        <v>1868</v>
      </c>
      <c r="M16" s="1908">
        <v>1738</v>
      </c>
      <c r="N16" s="1908">
        <v>1844</v>
      </c>
      <c r="O16" s="1908">
        <v>1754</v>
      </c>
      <c r="P16" s="3021">
        <v>1578</v>
      </c>
      <c r="Q16" s="770"/>
      <c r="R16" s="770"/>
      <c r="S16" s="770"/>
      <c r="T16" s="1893"/>
      <c r="U16" s="1893"/>
    </row>
    <row r="17" spans="1:22" x14ac:dyDescent="0.25">
      <c r="A17" s="650"/>
      <c r="B17" s="745"/>
      <c r="C17" s="745"/>
      <c r="D17" s="2948" t="s">
        <v>414</v>
      </c>
      <c r="E17" s="1908">
        <v>9751</v>
      </c>
      <c r="F17" s="1908">
        <v>10498</v>
      </c>
      <c r="G17" s="1908">
        <v>9631</v>
      </c>
      <c r="H17" s="1908">
        <v>8969</v>
      </c>
      <c r="I17" s="1908">
        <v>8623</v>
      </c>
      <c r="J17" s="1908">
        <v>8772</v>
      </c>
      <c r="K17" s="1908">
        <v>9678</v>
      </c>
      <c r="L17" s="1908">
        <v>9299</v>
      </c>
      <c r="M17" s="1908">
        <v>9153</v>
      </c>
      <c r="N17" s="1908">
        <v>8776</v>
      </c>
      <c r="O17" s="1908">
        <v>8062</v>
      </c>
      <c r="P17" s="3021">
        <v>7369</v>
      </c>
      <c r="Q17" s="770"/>
      <c r="R17" s="770"/>
      <c r="S17" s="770"/>
      <c r="T17" s="1893"/>
      <c r="U17" s="1893"/>
    </row>
    <row r="18" spans="1:22" x14ac:dyDescent="0.25">
      <c r="A18" s="650"/>
      <c r="B18" s="745"/>
      <c r="C18" s="745"/>
      <c r="D18" s="3007" t="s">
        <v>1662</v>
      </c>
      <c r="E18" s="1910">
        <v>66079</v>
      </c>
      <c r="F18" s="1910">
        <v>69117</v>
      </c>
      <c r="G18" s="1910">
        <v>68076</v>
      </c>
      <c r="H18" s="1910">
        <v>65201</v>
      </c>
      <c r="I18" s="1910">
        <v>63818</v>
      </c>
      <c r="J18" s="1910">
        <v>70514</v>
      </c>
      <c r="K18" s="1910">
        <v>68332</v>
      </c>
      <c r="L18" s="1910">
        <v>66196</v>
      </c>
      <c r="M18" s="1910">
        <v>64514</v>
      </c>
      <c r="N18" s="1910">
        <v>66387</v>
      </c>
      <c r="O18" s="1910">
        <v>62649</v>
      </c>
      <c r="P18" s="3022">
        <v>53617</v>
      </c>
      <c r="Q18" s="770"/>
      <c r="R18" s="770"/>
      <c r="S18" s="770"/>
      <c r="T18" s="1893"/>
      <c r="U18" s="1893"/>
    </row>
    <row r="19" spans="1:22" x14ac:dyDescent="0.25">
      <c r="A19" s="650"/>
      <c r="B19" s="745"/>
      <c r="C19" s="745"/>
      <c r="D19" s="277"/>
      <c r="E19" s="1911"/>
      <c r="F19" s="1911"/>
      <c r="G19" s="1911"/>
      <c r="H19" s="1911"/>
      <c r="I19" s="1911"/>
      <c r="J19" s="1911"/>
      <c r="K19" s="1911"/>
      <c r="L19" s="1911"/>
      <c r="M19" s="1911"/>
      <c r="N19" s="1517"/>
      <c r="O19" s="770"/>
      <c r="P19" s="770"/>
      <c r="Q19" s="770"/>
      <c r="R19" s="770"/>
      <c r="S19" s="770"/>
      <c r="T19" s="1893"/>
      <c r="U19" s="1893"/>
    </row>
    <row r="20" spans="1:22" x14ac:dyDescent="0.25">
      <c r="A20" s="650"/>
      <c r="B20" s="745"/>
      <c r="C20" s="745"/>
      <c r="D20" s="120" t="s">
        <v>55</v>
      </c>
      <c r="E20" s="3930" t="s">
        <v>1663</v>
      </c>
      <c r="F20" s="3930"/>
      <c r="G20" s="3930"/>
      <c r="H20" s="3930"/>
      <c r="I20" s="3930"/>
      <c r="J20" s="3930"/>
      <c r="K20" s="3930"/>
      <c r="L20" s="3930"/>
      <c r="M20" s="3930"/>
      <c r="N20" s="724"/>
      <c r="O20" s="770"/>
      <c r="P20" s="770"/>
      <c r="Q20" s="770"/>
      <c r="R20" s="770"/>
      <c r="S20" s="770"/>
      <c r="T20" s="1893"/>
      <c r="U20" s="1893"/>
    </row>
    <row r="21" spans="1:22" x14ac:dyDescent="0.25">
      <c r="A21" s="650"/>
      <c r="B21" s="745"/>
      <c r="C21" s="745"/>
      <c r="D21" s="3008"/>
      <c r="E21" s="1912" t="s">
        <v>134</v>
      </c>
      <c r="F21" s="1912" t="s">
        <v>135</v>
      </c>
      <c r="G21" s="1912" t="s">
        <v>136</v>
      </c>
      <c r="H21" s="1912" t="s">
        <v>137</v>
      </c>
      <c r="I21" s="1912" t="s">
        <v>138</v>
      </c>
      <c r="J21" s="1912" t="s">
        <v>139</v>
      </c>
      <c r="K21" s="1912" t="s">
        <v>140</v>
      </c>
      <c r="L21" s="1912" t="s">
        <v>141</v>
      </c>
      <c r="M21" s="1912" t="s">
        <v>142</v>
      </c>
      <c r="N21" s="1912" t="s">
        <v>143</v>
      </c>
      <c r="O21" s="1912" t="s">
        <v>144</v>
      </c>
      <c r="P21" s="3014" t="s">
        <v>145</v>
      </c>
      <c r="Q21" s="770"/>
      <c r="R21" s="770"/>
      <c r="S21" s="770"/>
      <c r="T21" s="1893"/>
      <c r="U21" s="1893"/>
    </row>
    <row r="22" spans="1:22" x14ac:dyDescent="0.25">
      <c r="A22" s="650"/>
      <c r="B22" s="745"/>
      <c r="C22" s="745"/>
      <c r="D22" s="2948" t="s">
        <v>415</v>
      </c>
      <c r="E22" s="1913">
        <v>119.2</v>
      </c>
      <c r="F22" s="1913">
        <v>125.1</v>
      </c>
      <c r="G22" s="1913">
        <v>149.6</v>
      </c>
      <c r="H22" s="1913">
        <v>132.19999999999999</v>
      </c>
      <c r="I22" s="1913">
        <v>131.6</v>
      </c>
      <c r="J22" s="1913">
        <v>143.69999999999999</v>
      </c>
      <c r="K22" s="1913">
        <v>136.1</v>
      </c>
      <c r="L22" s="1913">
        <v>139.1</v>
      </c>
      <c r="M22" s="1913">
        <v>135.30000000000001</v>
      </c>
      <c r="N22" s="1913">
        <v>145.19999999999999</v>
      </c>
      <c r="O22" s="1913">
        <v>149.5</v>
      </c>
      <c r="P22" s="3023">
        <v>135.9092879403359</v>
      </c>
      <c r="Q22" s="770"/>
      <c r="R22" s="770"/>
      <c r="S22" s="770"/>
      <c r="T22" s="1893"/>
      <c r="U22" s="1893"/>
    </row>
    <row r="23" spans="1:22" x14ac:dyDescent="0.25">
      <c r="A23" s="650"/>
      <c r="B23" s="745"/>
      <c r="C23" s="745"/>
      <c r="D23" s="2948" t="s">
        <v>1658</v>
      </c>
      <c r="E23" s="1913">
        <v>159.5</v>
      </c>
      <c r="F23" s="1913">
        <v>169.4</v>
      </c>
      <c r="G23" s="1913">
        <v>154.30000000000001</v>
      </c>
      <c r="H23" s="1913">
        <v>148.19999999999999</v>
      </c>
      <c r="I23" s="1913">
        <v>148.6</v>
      </c>
      <c r="J23" s="1913">
        <v>157.19999999999999</v>
      </c>
      <c r="K23" s="1913">
        <v>157.80000000000001</v>
      </c>
      <c r="L23" s="1913">
        <v>171.3</v>
      </c>
      <c r="M23" s="1913">
        <v>178.5</v>
      </c>
      <c r="N23" s="1913">
        <v>191.1</v>
      </c>
      <c r="O23" s="1913">
        <v>174.9</v>
      </c>
      <c r="P23" s="3023">
        <v>146.90910364191853</v>
      </c>
      <c r="Q23" s="770"/>
      <c r="R23" s="770"/>
      <c r="S23" s="770"/>
      <c r="T23" s="1893"/>
      <c r="U23" s="1893"/>
    </row>
    <row r="24" spans="1:22" x14ac:dyDescent="0.25">
      <c r="A24" s="650"/>
      <c r="B24" s="745"/>
      <c r="C24" s="745"/>
      <c r="D24" s="2948" t="s">
        <v>581</v>
      </c>
      <c r="E24" s="1913">
        <v>180.4</v>
      </c>
      <c r="F24" s="1913">
        <v>178</v>
      </c>
      <c r="G24" s="1913">
        <v>168</v>
      </c>
      <c r="H24" s="1913">
        <v>158.80000000000001</v>
      </c>
      <c r="I24" s="1913">
        <v>158.9</v>
      </c>
      <c r="J24" s="1913">
        <v>174</v>
      </c>
      <c r="K24" s="1913">
        <v>148.6</v>
      </c>
      <c r="L24" s="1913">
        <v>125</v>
      </c>
      <c r="M24" s="1913">
        <v>109.6</v>
      </c>
      <c r="N24" s="1913">
        <v>98.6</v>
      </c>
      <c r="O24" s="1913">
        <v>86.6</v>
      </c>
      <c r="P24" s="3023">
        <v>76.671626070462992</v>
      </c>
      <c r="Q24" s="770"/>
      <c r="R24" s="770"/>
      <c r="S24" s="770"/>
      <c r="T24" s="1893"/>
      <c r="U24" s="1893"/>
    </row>
    <row r="25" spans="1:22" x14ac:dyDescent="0.25">
      <c r="A25" s="650"/>
      <c r="B25" s="745"/>
      <c r="C25" s="745"/>
      <c r="D25" s="2948" t="s">
        <v>1659</v>
      </c>
      <c r="E25" s="1913">
        <v>116.8</v>
      </c>
      <c r="F25" s="1913">
        <v>123.9</v>
      </c>
      <c r="G25" s="1913">
        <v>121.2</v>
      </c>
      <c r="H25" s="1913">
        <v>117.4</v>
      </c>
      <c r="I25" s="1913">
        <v>113.4</v>
      </c>
      <c r="J25" s="1913">
        <v>131.4</v>
      </c>
      <c r="K25" s="1913">
        <v>127</v>
      </c>
      <c r="L25" s="1913">
        <v>120.2</v>
      </c>
      <c r="M25" s="1913">
        <v>113.6</v>
      </c>
      <c r="N25" s="1913">
        <v>119.9</v>
      </c>
      <c r="O25" s="1913">
        <v>113.6</v>
      </c>
      <c r="P25" s="3023">
        <v>84.894625179170419</v>
      </c>
      <c r="Q25" s="770"/>
      <c r="R25" s="770"/>
      <c r="S25" s="770"/>
      <c r="T25" s="1893"/>
      <c r="U25" s="1893"/>
    </row>
    <row r="26" spans="1:22" x14ac:dyDescent="0.25">
      <c r="A26" s="650"/>
      <c r="B26" s="745"/>
      <c r="C26" s="745"/>
      <c r="D26" s="2948" t="s">
        <v>422</v>
      </c>
      <c r="E26" s="1913">
        <v>84.2</v>
      </c>
      <c r="F26" s="1913">
        <v>95.5</v>
      </c>
      <c r="G26" s="1913">
        <v>87.4</v>
      </c>
      <c r="H26" s="1913">
        <v>89.1</v>
      </c>
      <c r="I26" s="1913">
        <v>83.8</v>
      </c>
      <c r="J26" s="1913">
        <v>88.6</v>
      </c>
      <c r="K26" s="1913">
        <v>93.8</v>
      </c>
      <c r="L26" s="1913">
        <v>89.8</v>
      </c>
      <c r="M26" s="1913">
        <v>102.4</v>
      </c>
      <c r="N26" s="1913">
        <v>118.6</v>
      </c>
      <c r="O26" s="1913">
        <v>116.4</v>
      </c>
      <c r="P26" s="3023">
        <v>76.583379616278961</v>
      </c>
      <c r="Q26" s="770"/>
      <c r="R26" s="770"/>
      <c r="S26" s="770"/>
      <c r="T26" s="1893"/>
      <c r="U26" s="1893"/>
    </row>
    <row r="27" spans="1:22" x14ac:dyDescent="0.25">
      <c r="A27" s="650"/>
      <c r="B27" s="745"/>
      <c r="C27" s="745"/>
      <c r="D27" s="2948" t="s">
        <v>1660</v>
      </c>
      <c r="E27" s="1913">
        <v>125.8</v>
      </c>
      <c r="F27" s="1913">
        <v>135.6</v>
      </c>
      <c r="G27" s="1913">
        <v>137.1</v>
      </c>
      <c r="H27" s="1913">
        <v>132</v>
      </c>
      <c r="I27" s="1913">
        <v>117.9</v>
      </c>
      <c r="J27" s="1913">
        <v>130.80000000000001</v>
      </c>
      <c r="K27" s="1913">
        <v>127.6</v>
      </c>
      <c r="L27" s="1913">
        <v>122.8</v>
      </c>
      <c r="M27" s="1913">
        <v>111.9</v>
      </c>
      <c r="N27" s="1913">
        <v>104.7</v>
      </c>
      <c r="O27" s="1913">
        <v>95.8</v>
      </c>
      <c r="P27" s="3023">
        <v>82.140811800769455</v>
      </c>
      <c r="Q27" s="770"/>
      <c r="R27" s="770"/>
      <c r="S27" s="770"/>
      <c r="T27" s="1893"/>
      <c r="U27" s="1893"/>
    </row>
    <row r="28" spans="1:22" x14ac:dyDescent="0.25">
      <c r="A28" s="650"/>
      <c r="B28" s="745"/>
      <c r="C28" s="745"/>
      <c r="D28" s="2948" t="s">
        <v>419</v>
      </c>
      <c r="E28" s="1913">
        <v>135.30000000000001</v>
      </c>
      <c r="F28" s="1913">
        <v>137.4</v>
      </c>
      <c r="G28" s="1913">
        <v>136.6</v>
      </c>
      <c r="H28" s="1913">
        <v>136</v>
      </c>
      <c r="I28" s="1913">
        <v>133</v>
      </c>
      <c r="J28" s="1913">
        <v>146.6</v>
      </c>
      <c r="K28" s="1913">
        <v>137.9</v>
      </c>
      <c r="L28" s="1913">
        <v>147</v>
      </c>
      <c r="M28" s="1913">
        <v>152.80000000000001</v>
      </c>
      <c r="N28" s="1913">
        <v>155.69999999999999</v>
      </c>
      <c r="O28" s="1913">
        <v>134.80000000000001</v>
      </c>
      <c r="P28" s="3023">
        <v>124.71868475734379</v>
      </c>
      <c r="Q28" s="770"/>
      <c r="R28" s="770"/>
      <c r="S28" s="770"/>
      <c r="T28" s="1893"/>
      <c r="U28" s="1893"/>
    </row>
    <row r="29" spans="1:22" ht="14.25" customHeight="1" x14ac:dyDescent="0.25">
      <c r="B29" s="1914"/>
      <c r="C29" s="1915"/>
      <c r="D29" s="2948" t="s">
        <v>1661</v>
      </c>
      <c r="E29" s="1913">
        <v>205.4</v>
      </c>
      <c r="F29" s="1913">
        <v>206.4</v>
      </c>
      <c r="G29" s="1913">
        <v>184.8</v>
      </c>
      <c r="H29" s="1913">
        <v>178.8</v>
      </c>
      <c r="I29" s="1913">
        <v>158.69999999999999</v>
      </c>
      <c r="J29" s="1913">
        <v>170.3</v>
      </c>
      <c r="K29" s="1913">
        <v>160.80000000000001</v>
      </c>
      <c r="L29" s="1913">
        <v>169.2</v>
      </c>
      <c r="M29" s="1913">
        <v>158.5</v>
      </c>
      <c r="N29" s="1913">
        <v>159.9</v>
      </c>
      <c r="O29" s="1913">
        <v>150.80000000000001</v>
      </c>
      <c r="P29" s="3023">
        <v>135.25554262410057</v>
      </c>
      <c r="Q29" s="1916"/>
      <c r="R29" s="1916"/>
      <c r="S29" s="1916"/>
      <c r="T29" s="1916"/>
      <c r="U29" s="1916"/>
    </row>
    <row r="30" spans="1:22" x14ac:dyDescent="0.25">
      <c r="B30" s="1914"/>
      <c r="C30" s="1915"/>
      <c r="D30" s="2948" t="s">
        <v>414</v>
      </c>
      <c r="E30" s="1913">
        <v>216.7</v>
      </c>
      <c r="F30" s="1913">
        <v>229.9</v>
      </c>
      <c r="G30" s="1913">
        <v>207.5</v>
      </c>
      <c r="H30" s="1913">
        <v>188.9</v>
      </c>
      <c r="I30" s="1913">
        <v>178.2</v>
      </c>
      <c r="J30" s="1913">
        <v>166.7</v>
      </c>
      <c r="K30" s="1913">
        <v>180.7</v>
      </c>
      <c r="L30" s="1913">
        <v>178</v>
      </c>
      <c r="M30" s="1913">
        <v>173.1</v>
      </c>
      <c r="N30" s="1913">
        <v>148.6</v>
      </c>
      <c r="O30" s="1913">
        <v>134</v>
      </c>
      <c r="P30" s="3023">
        <v>120.48087155812981</v>
      </c>
      <c r="Q30" s="1916"/>
      <c r="R30" s="1916"/>
      <c r="S30" s="1916"/>
      <c r="T30" s="1916"/>
      <c r="U30" s="1916"/>
      <c r="V30" s="723"/>
    </row>
    <row r="31" spans="1:22" x14ac:dyDescent="0.25">
      <c r="B31" s="1914"/>
      <c r="C31" s="1915"/>
      <c r="D31" s="3007" t="s">
        <v>1664</v>
      </c>
      <c r="E31" s="1917">
        <v>142.5</v>
      </c>
      <c r="F31" s="1917">
        <v>148.4</v>
      </c>
      <c r="G31" s="1917">
        <v>145.19999999999999</v>
      </c>
      <c r="H31" s="1917">
        <v>137.6</v>
      </c>
      <c r="I31" s="1917">
        <v>133.4</v>
      </c>
      <c r="J31" s="1917">
        <v>144.80000000000001</v>
      </c>
      <c r="K31" s="1917">
        <v>138.5</v>
      </c>
      <c r="L31" s="1917">
        <v>132.4</v>
      </c>
      <c r="M31" s="1917">
        <v>127.5</v>
      </c>
      <c r="N31" s="1917">
        <v>127</v>
      </c>
      <c r="O31" s="1917">
        <v>118.2</v>
      </c>
      <c r="P31" s="3024">
        <v>99.3</v>
      </c>
      <c r="Q31" s="1916"/>
      <c r="R31" s="1916"/>
      <c r="S31" s="1916"/>
      <c r="T31" s="1916"/>
    </row>
    <row r="32" spans="1:22" x14ac:dyDescent="0.25">
      <c r="B32" s="1914"/>
      <c r="C32" s="1915"/>
      <c r="D32" s="1916"/>
      <c r="E32" s="1916"/>
      <c r="F32" s="1916"/>
      <c r="G32" s="1916"/>
      <c r="H32" s="1916"/>
      <c r="I32" s="1916"/>
      <c r="J32" s="1916"/>
      <c r="K32" s="1916"/>
      <c r="L32" s="1916"/>
      <c r="M32" s="1916"/>
      <c r="N32" s="1916"/>
      <c r="O32" s="1916"/>
      <c r="P32" s="1916"/>
      <c r="Q32" s="1916"/>
      <c r="R32" s="1916"/>
      <c r="S32" s="1916"/>
      <c r="T32" s="1916"/>
    </row>
    <row r="33" spans="1:26" ht="15" customHeight="1" x14ac:dyDescent="0.25">
      <c r="B33" s="1914"/>
      <c r="C33" s="179"/>
      <c r="D33" s="120" t="s">
        <v>262</v>
      </c>
      <c r="E33" s="3937" t="s">
        <v>1665</v>
      </c>
      <c r="F33" s="3937"/>
      <c r="G33" s="3937"/>
      <c r="H33" s="3937"/>
      <c r="I33" s="3937"/>
      <c r="J33" s="3937"/>
      <c r="K33" s="3937"/>
      <c r="L33" s="3937"/>
      <c r="M33" s="3937"/>
      <c r="N33" s="630"/>
      <c r="O33" s="1916"/>
      <c r="P33" s="1916"/>
      <c r="Q33" s="1916"/>
      <c r="R33" s="1916"/>
      <c r="S33" s="1916"/>
      <c r="T33" s="1916"/>
    </row>
    <row r="34" spans="1:26" ht="15.75" customHeight="1" x14ac:dyDescent="0.25">
      <c r="B34" s="1914"/>
      <c r="C34" s="1915"/>
      <c r="D34" s="3009"/>
      <c r="E34" s="1918" t="s">
        <v>1683</v>
      </c>
      <c r="F34" s="1918" t="s">
        <v>1684</v>
      </c>
      <c r="G34" s="1918" t="s">
        <v>1685</v>
      </c>
      <c r="H34" s="1918" t="s">
        <v>1686</v>
      </c>
      <c r="I34" s="1918" t="s">
        <v>1687</v>
      </c>
      <c r="J34" s="1918" t="s">
        <v>1688</v>
      </c>
      <c r="K34" s="1918" t="s">
        <v>1672</v>
      </c>
      <c r="L34" s="1918" t="s">
        <v>1673</v>
      </c>
      <c r="M34" s="1918" t="s">
        <v>1674</v>
      </c>
      <c r="N34" s="1918" t="s">
        <v>1675</v>
      </c>
      <c r="O34" s="1918" t="s">
        <v>1676</v>
      </c>
      <c r="P34" s="3017" t="s">
        <v>1677</v>
      </c>
      <c r="S34" s="1919"/>
      <c r="T34" s="1919"/>
      <c r="U34" s="1919"/>
      <c r="V34" s="1919"/>
      <c r="W34" s="1919"/>
      <c r="X34" s="1919"/>
      <c r="Y34" s="723"/>
      <c r="Z34" s="723"/>
    </row>
    <row r="35" spans="1:26" x14ac:dyDescent="0.25">
      <c r="B35" s="1914"/>
      <c r="C35" s="1915"/>
      <c r="D35" s="2948" t="s">
        <v>415</v>
      </c>
      <c r="E35" s="1920">
        <v>4.7E-2</v>
      </c>
      <c r="F35" s="1920">
        <v>0.19584332533972826</v>
      </c>
      <c r="G35" s="1920">
        <v>-0.11631016042780751</v>
      </c>
      <c r="H35" s="1920">
        <v>-4.5385779122540937E-3</v>
      </c>
      <c r="I35" s="1920">
        <v>9.1945288753799259E-2</v>
      </c>
      <c r="J35" s="1920">
        <v>-5.2887961029923436E-2</v>
      </c>
      <c r="K35" s="1920">
        <v>2.2042615723732562E-2</v>
      </c>
      <c r="L35" s="1920">
        <v>-2.7318475916606633E-2</v>
      </c>
      <c r="M35" s="1920">
        <v>7.3170731707316916E-2</v>
      </c>
      <c r="N35" s="1920">
        <v>2.9614325068870517E-2</v>
      </c>
      <c r="O35" s="1920">
        <v>0.1606714628297361</v>
      </c>
      <c r="P35" s="3025">
        <f>(P9-F9)/F9</f>
        <v>6.932529561789938E-2</v>
      </c>
      <c r="S35" s="1921"/>
      <c r="T35" s="1921"/>
      <c r="U35" s="1921"/>
      <c r="V35" s="1921"/>
      <c r="W35" s="1921"/>
      <c r="X35" s="1921"/>
    </row>
    <row r="36" spans="1:26" ht="12.75" customHeight="1" x14ac:dyDescent="0.25">
      <c r="B36" s="1914"/>
      <c r="C36" s="1915"/>
      <c r="D36" s="2948" t="s">
        <v>1658</v>
      </c>
      <c r="E36" s="1920">
        <v>0.05</v>
      </c>
      <c r="F36" s="1920">
        <v>-8.9138134592680052E-2</v>
      </c>
      <c r="G36" s="1920">
        <v>-3.9533376539209519E-2</v>
      </c>
      <c r="H36" s="1920">
        <v>2.6990553306343035E-3</v>
      </c>
      <c r="I36" s="1920">
        <v>5.7873485868102259E-2</v>
      </c>
      <c r="J36" s="1920">
        <v>3.8167938931299439E-3</v>
      </c>
      <c r="K36" s="1920">
        <v>8.5551330798478986E-2</v>
      </c>
      <c r="L36" s="1920">
        <v>4.2031523642731994E-2</v>
      </c>
      <c r="M36" s="1920">
        <v>7.0588235294117618E-2</v>
      </c>
      <c r="N36" s="1920">
        <v>-8.477237048665609E-2</v>
      </c>
      <c r="O36" s="1920">
        <v>0.12809917355371891</v>
      </c>
      <c r="P36" s="3025">
        <f t="shared" ref="P36:P44" si="0">(P10-F10)/F10</f>
        <v>-0.17658889782783588</v>
      </c>
      <c r="S36" s="1921"/>
      <c r="T36" s="1921"/>
      <c r="U36" s="1921"/>
      <c r="V36" s="1921"/>
      <c r="W36" s="1921"/>
      <c r="X36" s="1921"/>
    </row>
    <row r="37" spans="1:26" x14ac:dyDescent="0.25">
      <c r="B37" s="1914"/>
      <c r="C37" s="1915"/>
      <c r="D37" s="2948" t="s">
        <v>581</v>
      </c>
      <c r="E37" s="1920">
        <v>-4.0000000000000001E-3</v>
      </c>
      <c r="F37" s="1920">
        <v>-5.6179775280898903E-2</v>
      </c>
      <c r="G37" s="1920">
        <v>-5.4761904761904678E-2</v>
      </c>
      <c r="H37" s="1920">
        <v>6.2972292191432189E-4</v>
      </c>
      <c r="I37" s="1920">
        <v>9.5028319697923136E-2</v>
      </c>
      <c r="J37" s="1920">
        <v>-0.14597701149425291</v>
      </c>
      <c r="K37" s="1920">
        <v>-0.15881561238223418</v>
      </c>
      <c r="L37" s="1920">
        <v>-0.12320000000000009</v>
      </c>
      <c r="M37" s="1920">
        <v>-0.10036496350364965</v>
      </c>
      <c r="N37" s="1920">
        <v>-0.12170385395537531</v>
      </c>
      <c r="O37" s="1920">
        <v>-0.44606741573033715</v>
      </c>
      <c r="P37" s="3025">
        <f t="shared" si="0"/>
        <v>-0.39374272944345801</v>
      </c>
      <c r="S37" s="1921"/>
      <c r="T37" s="1921"/>
      <c r="U37" s="1921"/>
      <c r="V37" s="1921"/>
      <c r="W37" s="1921"/>
      <c r="X37" s="1921"/>
    </row>
    <row r="38" spans="1:26" x14ac:dyDescent="0.25">
      <c r="B38" s="1914"/>
      <c r="C38" s="1915"/>
      <c r="D38" s="2948" t="s">
        <v>1659</v>
      </c>
      <c r="E38" s="1920">
        <v>6.5000000000000002E-2</v>
      </c>
      <c r="F38" s="1920">
        <v>-2.1791767554479424E-2</v>
      </c>
      <c r="G38" s="1920">
        <v>-3.1353135313531344E-2</v>
      </c>
      <c r="H38" s="1920">
        <v>-3.4071550255536653E-2</v>
      </c>
      <c r="I38" s="1920">
        <v>0.15873015873015883</v>
      </c>
      <c r="J38" s="1920">
        <v>-3.3485540334855401E-2</v>
      </c>
      <c r="K38" s="1920">
        <v>-5.3543307086614145E-2</v>
      </c>
      <c r="L38" s="1920">
        <v>-5.490848585690522E-2</v>
      </c>
      <c r="M38" s="1920">
        <v>5.5457746478873249E-2</v>
      </c>
      <c r="N38" s="1920">
        <v>-5.2543786488740696E-2</v>
      </c>
      <c r="O38" s="1920">
        <v>-3.2284100080710254E-2</v>
      </c>
      <c r="P38" s="3025">
        <f t="shared" si="0"/>
        <v>-0.25103118297310673</v>
      </c>
      <c r="S38" s="1921"/>
      <c r="T38" s="1921"/>
      <c r="U38" s="1921"/>
      <c r="V38" s="1921"/>
      <c r="W38" s="1921"/>
      <c r="X38" s="1921"/>
    </row>
    <row r="39" spans="1:26" x14ac:dyDescent="0.25">
      <c r="B39" s="1914"/>
      <c r="C39" s="1915"/>
      <c r="D39" s="2948" t="s">
        <v>422</v>
      </c>
      <c r="E39" s="1920">
        <v>0.129</v>
      </c>
      <c r="F39" s="1920">
        <v>-8.4816753926701516E-2</v>
      </c>
      <c r="G39" s="1920">
        <v>1.9450800915331579E-2</v>
      </c>
      <c r="H39" s="1920">
        <v>-5.9483726150392768E-2</v>
      </c>
      <c r="I39" s="1920">
        <v>5.7279236276849721E-2</v>
      </c>
      <c r="J39" s="1920">
        <v>5.8690744920993243E-2</v>
      </c>
      <c r="K39" s="1920">
        <v>-4.2643923240938131E-2</v>
      </c>
      <c r="L39" s="1920">
        <v>0.14031180400890886</v>
      </c>
      <c r="M39" s="1920">
        <v>0.15820312499999978</v>
      </c>
      <c r="N39" s="1920">
        <v>-1.8549747048903775E-2</v>
      </c>
      <c r="O39" s="1920">
        <v>0.2418848167539267</v>
      </c>
      <c r="P39" s="3025">
        <f t="shared" si="0"/>
        <v>-0.14950690335305719</v>
      </c>
      <c r="S39" s="1921"/>
      <c r="T39" s="1921"/>
      <c r="U39" s="1921"/>
      <c r="V39" s="1921"/>
      <c r="W39" s="1921"/>
      <c r="X39" s="1921"/>
    </row>
    <row r="40" spans="1:26" x14ac:dyDescent="0.25">
      <c r="B40" s="1914"/>
      <c r="C40" s="1915"/>
      <c r="D40" s="2948" t="s">
        <v>1660</v>
      </c>
      <c r="E40" s="1920">
        <v>6.8000000000000005E-2</v>
      </c>
      <c r="F40" s="1920">
        <v>1.106194690265494E-2</v>
      </c>
      <c r="G40" s="1920">
        <v>-3.7199124726477018E-2</v>
      </c>
      <c r="H40" s="1920">
        <v>-0.10681818181818181</v>
      </c>
      <c r="I40" s="1920">
        <v>0.10941475826972025</v>
      </c>
      <c r="J40" s="1920">
        <v>-2.4464831804281495E-2</v>
      </c>
      <c r="K40" s="1920">
        <v>-3.7617554858934144E-2</v>
      </c>
      <c r="L40" s="1920">
        <v>-8.8762214983713283E-2</v>
      </c>
      <c r="M40" s="1920">
        <v>-6.4343163538874037E-2</v>
      </c>
      <c r="N40" s="1920">
        <v>-8.5004775549188172E-2</v>
      </c>
      <c r="O40" s="1920">
        <v>-0.22787610619469023</v>
      </c>
      <c r="P40" s="3025">
        <f t="shared" si="0"/>
        <v>-0.25673940949935814</v>
      </c>
      <c r="S40" s="1921"/>
      <c r="T40" s="1921"/>
      <c r="U40" s="1921"/>
      <c r="V40" s="1921"/>
      <c r="W40" s="1921"/>
      <c r="X40" s="1921"/>
    </row>
    <row r="41" spans="1:26" x14ac:dyDescent="0.25">
      <c r="B41" s="1914"/>
      <c r="C41" s="1915"/>
      <c r="D41" s="2948" t="s">
        <v>419</v>
      </c>
      <c r="E41" s="1920">
        <v>0.02</v>
      </c>
      <c r="F41" s="1920">
        <v>-5.8224163027656983E-3</v>
      </c>
      <c r="G41" s="1920">
        <v>-4.3923865300146137E-3</v>
      </c>
      <c r="H41" s="1920">
        <v>-2.2058823529411797E-2</v>
      </c>
      <c r="I41" s="1920">
        <v>0.10225563909774427</v>
      </c>
      <c r="J41" s="1920">
        <v>-5.9345156889495154E-2</v>
      </c>
      <c r="K41" s="1920">
        <v>6.5989847715735905E-2</v>
      </c>
      <c r="L41" s="1920">
        <v>3.9455782312925347E-2</v>
      </c>
      <c r="M41" s="1920">
        <v>1.8979057591622883E-2</v>
      </c>
      <c r="N41" s="1920">
        <v>-0.13423249839434792</v>
      </c>
      <c r="O41" s="1920">
        <v>0.133187772925764</v>
      </c>
      <c r="P41" s="3025">
        <f t="shared" si="0"/>
        <v>-5.4229934924078091E-3</v>
      </c>
      <c r="S41" s="1921"/>
      <c r="T41" s="1921"/>
      <c r="U41" s="1921"/>
      <c r="V41" s="1921"/>
      <c r="W41" s="1921"/>
      <c r="X41" s="1921"/>
    </row>
    <row r="42" spans="1:26" x14ac:dyDescent="0.25">
      <c r="C42" s="1915"/>
      <c r="D42" s="2948" t="s">
        <v>1661</v>
      </c>
      <c r="E42" s="1920">
        <v>0.01</v>
      </c>
      <c r="F42" s="1920">
        <v>-0.10465116279069764</v>
      </c>
      <c r="G42" s="1920">
        <v>-3.2467532467532423E-2</v>
      </c>
      <c r="H42" s="1920">
        <v>-0.11241610738255048</v>
      </c>
      <c r="I42" s="1920">
        <v>7.3093887838689531E-2</v>
      </c>
      <c r="J42" s="1920">
        <v>-5.5783910745742848E-2</v>
      </c>
      <c r="K42" s="1920">
        <v>5.2238805970149071E-2</v>
      </c>
      <c r="L42" s="1920">
        <v>-6.3238770685579149E-2</v>
      </c>
      <c r="M42" s="1920">
        <v>8.8328075709780407E-3</v>
      </c>
      <c r="N42" s="1920">
        <v>-5.6910569105691033E-2</v>
      </c>
      <c r="O42" s="1920">
        <v>-0.22529069767441856</v>
      </c>
      <c r="P42" s="3025">
        <f t="shared" si="0"/>
        <v>-0.28661844484629295</v>
      </c>
      <c r="S42" s="1921"/>
      <c r="T42" s="1921"/>
      <c r="U42" s="1921"/>
      <c r="V42" s="1921"/>
      <c r="W42" s="1921"/>
      <c r="X42" s="1921"/>
    </row>
    <row r="43" spans="1:26" x14ac:dyDescent="0.25">
      <c r="B43" s="1619"/>
      <c r="C43" s="1915"/>
      <c r="D43" s="2948" t="s">
        <v>414</v>
      </c>
      <c r="E43" s="1920">
        <v>7.6999999999999999E-2</v>
      </c>
      <c r="F43" s="1920">
        <v>-9.7433666811657216E-2</v>
      </c>
      <c r="G43" s="1920">
        <v>-8.9638554216867394E-2</v>
      </c>
      <c r="H43" s="1920">
        <v>-5.664372683959773E-2</v>
      </c>
      <c r="I43" s="1920">
        <v>-6.4534231200897851E-2</v>
      </c>
      <c r="J43" s="1920">
        <v>8.3983203359328185E-2</v>
      </c>
      <c r="K43" s="1920">
        <v>-1.4941892639734333E-2</v>
      </c>
      <c r="L43" s="1920">
        <v>-2.7528089887640439E-2</v>
      </c>
      <c r="M43" s="1920">
        <v>-0.14153668399768915</v>
      </c>
      <c r="N43" s="1920">
        <v>-9.8250336473755029E-2</v>
      </c>
      <c r="O43" s="1920">
        <v>-0.35363201391909527</v>
      </c>
      <c r="P43" s="3025">
        <f t="shared" si="0"/>
        <v>-0.29805677271861308</v>
      </c>
      <c r="S43" s="1921"/>
      <c r="T43" s="1921"/>
      <c r="U43" s="1921"/>
      <c r="V43" s="1921"/>
      <c r="W43" s="1921"/>
      <c r="X43" s="1921"/>
    </row>
    <row r="44" spans="1:26" x14ac:dyDescent="0.25">
      <c r="C44" s="1915"/>
      <c r="D44" s="3007" t="s">
        <v>261</v>
      </c>
      <c r="E44" s="1922">
        <v>4.5999999999999999E-2</v>
      </c>
      <c r="F44" s="1922">
        <v>-2.1563342318059453E-2</v>
      </c>
      <c r="G44" s="1922">
        <v>-5.2341597796143224E-2</v>
      </c>
      <c r="H44" s="1922">
        <v>-3.0523255813953432E-2</v>
      </c>
      <c r="I44" s="1922">
        <v>8.5457271364317799E-2</v>
      </c>
      <c r="J44" s="1922">
        <v>-4.3508287292817749E-2</v>
      </c>
      <c r="K44" s="1922">
        <v>-4.4043321299638949E-2</v>
      </c>
      <c r="L44" s="1922">
        <v>-3.7009063444108814E-2</v>
      </c>
      <c r="M44" s="1922">
        <v>-3.9215686274509665E-3</v>
      </c>
      <c r="N44" s="1922">
        <v>-6.9291338582677109E-2</v>
      </c>
      <c r="O44" s="1922">
        <v>-0.14420485175202158</v>
      </c>
      <c r="P44" s="3026">
        <f t="shared" si="0"/>
        <v>-0.22425741858008882</v>
      </c>
      <c r="S44" s="1921"/>
      <c r="T44" s="1921"/>
      <c r="U44" s="1921"/>
      <c r="V44" s="1921"/>
      <c r="W44" s="1921"/>
      <c r="X44" s="1921"/>
    </row>
    <row r="46" spans="1:26" ht="12.75" customHeight="1" x14ac:dyDescent="0.25">
      <c r="A46" s="453">
        <v>5</v>
      </c>
      <c r="B46" s="453" t="s">
        <v>78</v>
      </c>
      <c r="C46" s="1915"/>
      <c r="D46" s="3556" t="s">
        <v>1689</v>
      </c>
      <c r="E46" s="3557"/>
      <c r="F46" s="3557"/>
      <c r="G46" s="3557"/>
      <c r="H46" s="3557"/>
      <c r="I46" s="3557"/>
      <c r="J46" s="3557"/>
      <c r="K46" s="3557"/>
      <c r="L46" s="3557"/>
      <c r="M46" s="3557"/>
      <c r="N46" s="3557"/>
      <c r="O46" s="3557"/>
      <c r="P46" s="3558"/>
      <c r="Q46" s="1407"/>
      <c r="R46" s="1408"/>
      <c r="S46" s="1408"/>
      <c r="T46" s="1696"/>
    </row>
    <row r="47" spans="1:26" ht="12.75" customHeight="1" x14ac:dyDescent="0.25">
      <c r="A47" s="472">
        <v>6</v>
      </c>
      <c r="B47" s="472" t="s">
        <v>80</v>
      </c>
      <c r="C47" s="1915"/>
      <c r="D47" s="3556" t="s">
        <v>1690</v>
      </c>
      <c r="E47" s="3557"/>
      <c r="F47" s="3557"/>
      <c r="G47" s="3557"/>
      <c r="H47" s="3557"/>
      <c r="I47" s="3557"/>
      <c r="J47" s="3557"/>
      <c r="K47" s="3557"/>
      <c r="L47" s="3557"/>
      <c r="M47" s="3557"/>
      <c r="N47" s="3557"/>
      <c r="O47" s="3557"/>
      <c r="P47" s="3558"/>
      <c r="Q47" s="688"/>
      <c r="R47" s="195"/>
      <c r="S47" s="195"/>
      <c r="T47" s="195"/>
    </row>
    <row r="48" spans="1:26" x14ac:dyDescent="0.25">
      <c r="A48" s="453">
        <v>7</v>
      </c>
      <c r="B48" s="453" t="s">
        <v>83</v>
      </c>
      <c r="C48" s="1619"/>
      <c r="D48" s="3931" t="s">
        <v>1691</v>
      </c>
      <c r="E48" s="3932"/>
      <c r="F48" s="3932"/>
      <c r="G48" s="3932"/>
      <c r="H48" s="3932"/>
      <c r="I48" s="3932"/>
      <c r="J48" s="3932"/>
      <c r="K48" s="3932"/>
      <c r="L48" s="3932"/>
      <c r="M48" s="3932"/>
      <c r="N48" s="3932"/>
      <c r="O48" s="3932"/>
      <c r="P48" s="3933"/>
      <c r="Q48" s="1407"/>
      <c r="R48" s="1408"/>
      <c r="S48" s="1408"/>
      <c r="T48" s="1696"/>
    </row>
    <row r="49" spans="1:20" s="201" customFormat="1" ht="12.75" customHeight="1" x14ac:dyDescent="0.2">
      <c r="A49" s="453">
        <v>8</v>
      </c>
      <c r="B49" s="453" t="s">
        <v>20</v>
      </c>
      <c r="C49" s="670"/>
      <c r="D49" s="3553" t="s">
        <v>1692</v>
      </c>
      <c r="E49" s="3554"/>
      <c r="F49" s="3554"/>
      <c r="G49" s="3554"/>
      <c r="H49" s="3554"/>
      <c r="I49" s="3554"/>
      <c r="J49" s="3554"/>
      <c r="K49" s="3554"/>
      <c r="L49" s="3554"/>
      <c r="M49" s="3554"/>
      <c r="N49" s="3554"/>
      <c r="O49" s="3554"/>
      <c r="P49" s="3555"/>
      <c r="Q49" s="1407"/>
      <c r="R49" s="1408"/>
      <c r="S49" s="1408"/>
      <c r="T49" s="1696"/>
    </row>
    <row r="50" spans="1:20" ht="15" customHeight="1" x14ac:dyDescent="0.25">
      <c r="C50" s="453"/>
      <c r="F50" s="229"/>
    </row>
    <row r="51" spans="1:20" ht="12.75" customHeight="1" x14ac:dyDescent="0.25">
      <c r="C51" s="472"/>
      <c r="F51" s="229"/>
    </row>
    <row r="52" spans="1:20" ht="12.75" customHeight="1" x14ac:dyDescent="0.25">
      <c r="C52" s="453"/>
      <c r="F52" s="229"/>
    </row>
    <row r="53" spans="1:20" ht="25.5" customHeight="1" x14ac:dyDescent="0.25">
      <c r="C53" s="453"/>
      <c r="F53" s="229"/>
    </row>
  </sheetData>
  <mergeCells count="10">
    <mergeCell ref="D46:P46"/>
    <mergeCell ref="D47:P47"/>
    <mergeCell ref="D48:P48"/>
    <mergeCell ref="D49:P49"/>
    <mergeCell ref="D2:P2"/>
    <mergeCell ref="D3:P3"/>
    <mergeCell ref="D4:P4"/>
    <mergeCell ref="D5:M5"/>
    <mergeCell ref="E20:M20"/>
    <mergeCell ref="E33:M33"/>
  </mergeCells>
  <pageMargins left="0.74803149606299213" right="0.74803149606299213" top="0.98425196850393704" bottom="0.98425196850393704" header="0.51181102362204722" footer="0.51181102362204722"/>
  <pageSetup paperSize="9" scale="6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K62"/>
  <sheetViews>
    <sheetView showGridLines="0" view="pageBreakPreview" topLeftCell="C10" zoomScaleNormal="100" zoomScaleSheetLayoutView="100" workbookViewId="0">
      <selection activeCell="R26" sqref="R26:R28"/>
    </sheetView>
  </sheetViews>
  <sheetFormatPr defaultColWidth="9.140625" defaultRowHeight="15" x14ac:dyDescent="0.2"/>
  <cols>
    <col min="1" max="1" width="3.7109375" style="835" customWidth="1"/>
    <col min="2" max="2" width="14.42578125" style="1663" customWidth="1"/>
    <col min="3" max="3" width="4" style="1663" customWidth="1"/>
    <col min="4" max="4" width="22.42578125" style="1896" customWidth="1"/>
    <col min="5" max="5" width="11.5703125" style="1896" customWidth="1"/>
    <col min="6" max="12" width="8.7109375" style="1896" customWidth="1"/>
    <col min="13" max="18" width="11" style="1896" customWidth="1"/>
    <col min="19" max="258" width="9.140625" style="1896"/>
    <col min="259" max="259" width="3.7109375" style="1896" customWidth="1"/>
    <col min="260" max="260" width="14.42578125" style="1896" customWidth="1"/>
    <col min="261" max="261" width="4" style="1896" customWidth="1"/>
    <col min="262" max="262" width="22.42578125" style="1896" customWidth="1"/>
    <col min="263" max="263" width="11.5703125" style="1896" customWidth="1"/>
    <col min="264" max="273" width="8.7109375" style="1896" customWidth="1"/>
    <col min="274" max="514" width="9.140625" style="1896"/>
    <col min="515" max="515" width="3.7109375" style="1896" customWidth="1"/>
    <col min="516" max="516" width="14.42578125" style="1896" customWidth="1"/>
    <col min="517" max="517" width="4" style="1896" customWidth="1"/>
    <col min="518" max="518" width="22.42578125" style="1896" customWidth="1"/>
    <col min="519" max="519" width="11.5703125" style="1896" customWidth="1"/>
    <col min="520" max="529" width="8.7109375" style="1896" customWidth="1"/>
    <col min="530" max="770" width="9.140625" style="1896"/>
    <col min="771" max="771" width="3.7109375" style="1896" customWidth="1"/>
    <col min="772" max="772" width="14.42578125" style="1896" customWidth="1"/>
    <col min="773" max="773" width="4" style="1896" customWidth="1"/>
    <col min="774" max="774" width="22.42578125" style="1896" customWidth="1"/>
    <col min="775" max="775" width="11.5703125" style="1896" customWidth="1"/>
    <col min="776" max="785" width="8.7109375" style="1896" customWidth="1"/>
    <col min="786" max="1026" width="9.140625" style="1896"/>
    <col min="1027" max="1027" width="3.7109375" style="1896" customWidth="1"/>
    <col min="1028" max="1028" width="14.42578125" style="1896" customWidth="1"/>
    <col min="1029" max="1029" width="4" style="1896" customWidth="1"/>
    <col min="1030" max="1030" width="22.42578125" style="1896" customWidth="1"/>
    <col min="1031" max="1031" width="11.5703125" style="1896" customWidth="1"/>
    <col min="1032" max="1041" width="8.7109375" style="1896" customWidth="1"/>
    <col min="1042" max="1282" width="9.140625" style="1896"/>
    <col min="1283" max="1283" width="3.7109375" style="1896" customWidth="1"/>
    <col min="1284" max="1284" width="14.42578125" style="1896" customWidth="1"/>
    <col min="1285" max="1285" width="4" style="1896" customWidth="1"/>
    <col min="1286" max="1286" width="22.42578125" style="1896" customWidth="1"/>
    <col min="1287" max="1287" width="11.5703125" style="1896" customWidth="1"/>
    <col min="1288" max="1297" width="8.7109375" style="1896" customWidth="1"/>
    <col min="1298" max="1538" width="9.140625" style="1896"/>
    <col min="1539" max="1539" width="3.7109375" style="1896" customWidth="1"/>
    <col min="1540" max="1540" width="14.42578125" style="1896" customWidth="1"/>
    <col min="1541" max="1541" width="4" style="1896" customWidth="1"/>
    <col min="1542" max="1542" width="22.42578125" style="1896" customWidth="1"/>
    <col min="1543" max="1543" width="11.5703125" style="1896" customWidth="1"/>
    <col min="1544" max="1553" width="8.7109375" style="1896" customWidth="1"/>
    <col min="1554" max="1794" width="9.140625" style="1896"/>
    <col min="1795" max="1795" width="3.7109375" style="1896" customWidth="1"/>
    <col min="1796" max="1796" width="14.42578125" style="1896" customWidth="1"/>
    <col min="1797" max="1797" width="4" style="1896" customWidth="1"/>
    <col min="1798" max="1798" width="22.42578125" style="1896" customWidth="1"/>
    <col min="1799" max="1799" width="11.5703125" style="1896" customWidth="1"/>
    <col min="1800" max="1809" width="8.7109375" style="1896" customWidth="1"/>
    <col min="1810" max="2050" width="9.140625" style="1896"/>
    <col min="2051" max="2051" width="3.7109375" style="1896" customWidth="1"/>
    <col min="2052" max="2052" width="14.42578125" style="1896" customWidth="1"/>
    <col min="2053" max="2053" width="4" style="1896" customWidth="1"/>
    <col min="2054" max="2054" width="22.42578125" style="1896" customWidth="1"/>
    <col min="2055" max="2055" width="11.5703125" style="1896" customWidth="1"/>
    <col min="2056" max="2065" width="8.7109375" style="1896" customWidth="1"/>
    <col min="2066" max="2306" width="9.140625" style="1896"/>
    <col min="2307" max="2307" width="3.7109375" style="1896" customWidth="1"/>
    <col min="2308" max="2308" width="14.42578125" style="1896" customWidth="1"/>
    <col min="2309" max="2309" width="4" style="1896" customWidth="1"/>
    <col min="2310" max="2310" width="22.42578125" style="1896" customWidth="1"/>
    <col min="2311" max="2311" width="11.5703125" style="1896" customWidth="1"/>
    <col min="2312" max="2321" width="8.7109375" style="1896" customWidth="1"/>
    <col min="2322" max="2562" width="9.140625" style="1896"/>
    <col min="2563" max="2563" width="3.7109375" style="1896" customWidth="1"/>
    <col min="2564" max="2564" width="14.42578125" style="1896" customWidth="1"/>
    <col min="2565" max="2565" width="4" style="1896" customWidth="1"/>
    <col min="2566" max="2566" width="22.42578125" style="1896" customWidth="1"/>
    <col min="2567" max="2567" width="11.5703125" style="1896" customWidth="1"/>
    <col min="2568" max="2577" width="8.7109375" style="1896" customWidth="1"/>
    <col min="2578" max="2818" width="9.140625" style="1896"/>
    <col min="2819" max="2819" width="3.7109375" style="1896" customWidth="1"/>
    <col min="2820" max="2820" width="14.42578125" style="1896" customWidth="1"/>
    <col min="2821" max="2821" width="4" style="1896" customWidth="1"/>
    <col min="2822" max="2822" width="22.42578125" style="1896" customWidth="1"/>
    <col min="2823" max="2823" width="11.5703125" style="1896" customWidth="1"/>
    <col min="2824" max="2833" width="8.7109375" style="1896" customWidth="1"/>
    <col min="2834" max="3074" width="9.140625" style="1896"/>
    <col min="3075" max="3075" width="3.7109375" style="1896" customWidth="1"/>
    <col min="3076" max="3076" width="14.42578125" style="1896" customWidth="1"/>
    <col min="3077" max="3077" width="4" style="1896" customWidth="1"/>
    <col min="3078" max="3078" width="22.42578125" style="1896" customWidth="1"/>
    <col min="3079" max="3079" width="11.5703125" style="1896" customWidth="1"/>
    <col min="3080" max="3089" width="8.7109375" style="1896" customWidth="1"/>
    <col min="3090" max="3330" width="9.140625" style="1896"/>
    <col min="3331" max="3331" width="3.7109375" style="1896" customWidth="1"/>
    <col min="3332" max="3332" width="14.42578125" style="1896" customWidth="1"/>
    <col min="3333" max="3333" width="4" style="1896" customWidth="1"/>
    <col min="3334" max="3334" width="22.42578125" style="1896" customWidth="1"/>
    <col min="3335" max="3335" width="11.5703125" style="1896" customWidth="1"/>
    <col min="3336" max="3345" width="8.7109375" style="1896" customWidth="1"/>
    <col min="3346" max="3586" width="9.140625" style="1896"/>
    <col min="3587" max="3587" width="3.7109375" style="1896" customWidth="1"/>
    <col min="3588" max="3588" width="14.42578125" style="1896" customWidth="1"/>
    <col min="3589" max="3589" width="4" style="1896" customWidth="1"/>
    <col min="3590" max="3590" width="22.42578125" style="1896" customWidth="1"/>
    <col min="3591" max="3591" width="11.5703125" style="1896" customWidth="1"/>
    <col min="3592" max="3601" width="8.7109375" style="1896" customWidth="1"/>
    <col min="3602" max="3842" width="9.140625" style="1896"/>
    <col min="3843" max="3843" width="3.7109375" style="1896" customWidth="1"/>
    <col min="3844" max="3844" width="14.42578125" style="1896" customWidth="1"/>
    <col min="3845" max="3845" width="4" style="1896" customWidth="1"/>
    <col min="3846" max="3846" width="22.42578125" style="1896" customWidth="1"/>
    <col min="3847" max="3847" width="11.5703125" style="1896" customWidth="1"/>
    <col min="3848" max="3857" width="8.7109375" style="1896" customWidth="1"/>
    <col min="3858" max="4098" width="9.140625" style="1896"/>
    <col min="4099" max="4099" width="3.7109375" style="1896" customWidth="1"/>
    <col min="4100" max="4100" width="14.42578125" style="1896" customWidth="1"/>
    <col min="4101" max="4101" width="4" style="1896" customWidth="1"/>
    <col min="4102" max="4102" width="22.42578125" style="1896" customWidth="1"/>
    <col min="4103" max="4103" width="11.5703125" style="1896" customWidth="1"/>
    <col min="4104" max="4113" width="8.7109375" style="1896" customWidth="1"/>
    <col min="4114" max="4354" width="9.140625" style="1896"/>
    <col min="4355" max="4355" width="3.7109375" style="1896" customWidth="1"/>
    <col min="4356" max="4356" width="14.42578125" style="1896" customWidth="1"/>
    <col min="4357" max="4357" width="4" style="1896" customWidth="1"/>
    <col min="4358" max="4358" width="22.42578125" style="1896" customWidth="1"/>
    <col min="4359" max="4359" width="11.5703125" style="1896" customWidth="1"/>
    <col min="4360" max="4369" width="8.7109375" style="1896" customWidth="1"/>
    <col min="4370" max="4610" width="9.140625" style="1896"/>
    <col min="4611" max="4611" width="3.7109375" style="1896" customWidth="1"/>
    <col min="4612" max="4612" width="14.42578125" style="1896" customWidth="1"/>
    <col min="4613" max="4613" width="4" style="1896" customWidth="1"/>
    <col min="4614" max="4614" width="22.42578125" style="1896" customWidth="1"/>
    <col min="4615" max="4615" width="11.5703125" style="1896" customWidth="1"/>
    <col min="4616" max="4625" width="8.7109375" style="1896" customWidth="1"/>
    <col min="4626" max="4866" width="9.140625" style="1896"/>
    <col min="4867" max="4867" width="3.7109375" style="1896" customWidth="1"/>
    <col min="4868" max="4868" width="14.42578125" style="1896" customWidth="1"/>
    <col min="4869" max="4869" width="4" style="1896" customWidth="1"/>
    <col min="4870" max="4870" width="22.42578125" style="1896" customWidth="1"/>
    <col min="4871" max="4871" width="11.5703125" style="1896" customWidth="1"/>
    <col min="4872" max="4881" width="8.7109375" style="1896" customWidth="1"/>
    <col min="4882" max="5122" width="9.140625" style="1896"/>
    <col min="5123" max="5123" width="3.7109375" style="1896" customWidth="1"/>
    <col min="5124" max="5124" width="14.42578125" style="1896" customWidth="1"/>
    <col min="5125" max="5125" width="4" style="1896" customWidth="1"/>
    <col min="5126" max="5126" width="22.42578125" style="1896" customWidth="1"/>
    <col min="5127" max="5127" width="11.5703125" style="1896" customWidth="1"/>
    <col min="5128" max="5137" width="8.7109375" style="1896" customWidth="1"/>
    <col min="5138" max="5378" width="9.140625" style="1896"/>
    <col min="5379" max="5379" width="3.7109375" style="1896" customWidth="1"/>
    <col min="5380" max="5380" width="14.42578125" style="1896" customWidth="1"/>
    <col min="5381" max="5381" width="4" style="1896" customWidth="1"/>
    <col min="5382" max="5382" width="22.42578125" style="1896" customWidth="1"/>
    <col min="5383" max="5383" width="11.5703125" style="1896" customWidth="1"/>
    <col min="5384" max="5393" width="8.7109375" style="1896" customWidth="1"/>
    <col min="5394" max="5634" width="9.140625" style="1896"/>
    <col min="5635" max="5635" width="3.7109375" style="1896" customWidth="1"/>
    <col min="5636" max="5636" width="14.42578125" style="1896" customWidth="1"/>
    <col min="5637" max="5637" width="4" style="1896" customWidth="1"/>
    <col min="5638" max="5638" width="22.42578125" style="1896" customWidth="1"/>
    <col min="5639" max="5639" width="11.5703125" style="1896" customWidth="1"/>
    <col min="5640" max="5649" width="8.7109375" style="1896" customWidth="1"/>
    <col min="5650" max="5890" width="9.140625" style="1896"/>
    <col min="5891" max="5891" width="3.7109375" style="1896" customWidth="1"/>
    <col min="5892" max="5892" width="14.42578125" style="1896" customWidth="1"/>
    <col min="5893" max="5893" width="4" style="1896" customWidth="1"/>
    <col min="5894" max="5894" width="22.42578125" style="1896" customWidth="1"/>
    <col min="5895" max="5895" width="11.5703125" style="1896" customWidth="1"/>
    <col min="5896" max="5905" width="8.7109375" style="1896" customWidth="1"/>
    <col min="5906" max="6146" width="9.140625" style="1896"/>
    <col min="6147" max="6147" width="3.7109375" style="1896" customWidth="1"/>
    <col min="6148" max="6148" width="14.42578125" style="1896" customWidth="1"/>
    <col min="6149" max="6149" width="4" style="1896" customWidth="1"/>
    <col min="6150" max="6150" width="22.42578125" style="1896" customWidth="1"/>
    <col min="6151" max="6151" width="11.5703125" style="1896" customWidth="1"/>
    <col min="6152" max="6161" width="8.7109375" style="1896" customWidth="1"/>
    <col min="6162" max="6402" width="9.140625" style="1896"/>
    <col min="6403" max="6403" width="3.7109375" style="1896" customWidth="1"/>
    <col min="6404" max="6404" width="14.42578125" style="1896" customWidth="1"/>
    <col min="6405" max="6405" width="4" style="1896" customWidth="1"/>
    <col min="6406" max="6406" width="22.42578125" style="1896" customWidth="1"/>
    <col min="6407" max="6407" width="11.5703125" style="1896" customWidth="1"/>
    <col min="6408" max="6417" width="8.7109375" style="1896" customWidth="1"/>
    <col min="6418" max="6658" width="9.140625" style="1896"/>
    <col min="6659" max="6659" width="3.7109375" style="1896" customWidth="1"/>
    <col min="6660" max="6660" width="14.42578125" style="1896" customWidth="1"/>
    <col min="6661" max="6661" width="4" style="1896" customWidth="1"/>
    <col min="6662" max="6662" width="22.42578125" style="1896" customWidth="1"/>
    <col min="6663" max="6663" width="11.5703125" style="1896" customWidth="1"/>
    <col min="6664" max="6673" width="8.7109375" style="1896" customWidth="1"/>
    <col min="6674" max="6914" width="9.140625" style="1896"/>
    <col min="6915" max="6915" width="3.7109375" style="1896" customWidth="1"/>
    <col min="6916" max="6916" width="14.42578125" style="1896" customWidth="1"/>
    <col min="6917" max="6917" width="4" style="1896" customWidth="1"/>
    <col min="6918" max="6918" width="22.42578125" style="1896" customWidth="1"/>
    <col min="6919" max="6919" width="11.5703125" style="1896" customWidth="1"/>
    <col min="6920" max="6929" width="8.7109375" style="1896" customWidth="1"/>
    <col min="6930" max="7170" width="9.140625" style="1896"/>
    <col min="7171" max="7171" width="3.7109375" style="1896" customWidth="1"/>
    <col min="7172" max="7172" width="14.42578125" style="1896" customWidth="1"/>
    <col min="7173" max="7173" width="4" style="1896" customWidth="1"/>
    <col min="7174" max="7174" width="22.42578125" style="1896" customWidth="1"/>
    <col min="7175" max="7175" width="11.5703125" style="1896" customWidth="1"/>
    <col min="7176" max="7185" width="8.7109375" style="1896" customWidth="1"/>
    <col min="7186" max="7426" width="9.140625" style="1896"/>
    <col min="7427" max="7427" width="3.7109375" style="1896" customWidth="1"/>
    <col min="7428" max="7428" width="14.42578125" style="1896" customWidth="1"/>
    <col min="7429" max="7429" width="4" style="1896" customWidth="1"/>
    <col min="7430" max="7430" width="22.42578125" style="1896" customWidth="1"/>
    <col min="7431" max="7431" width="11.5703125" style="1896" customWidth="1"/>
    <col min="7432" max="7441" width="8.7109375" style="1896" customWidth="1"/>
    <col min="7442" max="7682" width="9.140625" style="1896"/>
    <col min="7683" max="7683" width="3.7109375" style="1896" customWidth="1"/>
    <col min="7684" max="7684" width="14.42578125" style="1896" customWidth="1"/>
    <col min="7685" max="7685" width="4" style="1896" customWidth="1"/>
    <col min="7686" max="7686" width="22.42578125" style="1896" customWidth="1"/>
    <col min="7687" max="7687" width="11.5703125" style="1896" customWidth="1"/>
    <col min="7688" max="7697" width="8.7109375" style="1896" customWidth="1"/>
    <col min="7698" max="7938" width="9.140625" style="1896"/>
    <col min="7939" max="7939" width="3.7109375" style="1896" customWidth="1"/>
    <col min="7940" max="7940" width="14.42578125" style="1896" customWidth="1"/>
    <col min="7941" max="7941" width="4" style="1896" customWidth="1"/>
    <col min="7942" max="7942" width="22.42578125" style="1896" customWidth="1"/>
    <col min="7943" max="7943" width="11.5703125" style="1896" customWidth="1"/>
    <col min="7944" max="7953" width="8.7109375" style="1896" customWidth="1"/>
    <col min="7954" max="8194" width="9.140625" style="1896"/>
    <col min="8195" max="8195" width="3.7109375" style="1896" customWidth="1"/>
    <col min="8196" max="8196" width="14.42578125" style="1896" customWidth="1"/>
    <col min="8197" max="8197" width="4" style="1896" customWidth="1"/>
    <col min="8198" max="8198" width="22.42578125" style="1896" customWidth="1"/>
    <col min="8199" max="8199" width="11.5703125" style="1896" customWidth="1"/>
    <col min="8200" max="8209" width="8.7109375" style="1896" customWidth="1"/>
    <col min="8210" max="8450" width="9.140625" style="1896"/>
    <col min="8451" max="8451" width="3.7109375" style="1896" customWidth="1"/>
    <col min="8452" max="8452" width="14.42578125" style="1896" customWidth="1"/>
    <col min="8453" max="8453" width="4" style="1896" customWidth="1"/>
    <col min="8454" max="8454" width="22.42578125" style="1896" customWidth="1"/>
    <col min="8455" max="8455" width="11.5703125" style="1896" customWidth="1"/>
    <col min="8456" max="8465" width="8.7109375" style="1896" customWidth="1"/>
    <col min="8466" max="8706" width="9.140625" style="1896"/>
    <col min="8707" max="8707" width="3.7109375" style="1896" customWidth="1"/>
    <col min="8708" max="8708" width="14.42578125" style="1896" customWidth="1"/>
    <col min="8709" max="8709" width="4" style="1896" customWidth="1"/>
    <col min="8710" max="8710" width="22.42578125" style="1896" customWidth="1"/>
    <col min="8711" max="8711" width="11.5703125" style="1896" customWidth="1"/>
    <col min="8712" max="8721" width="8.7109375" style="1896" customWidth="1"/>
    <col min="8722" max="8962" width="9.140625" style="1896"/>
    <col min="8963" max="8963" width="3.7109375" style="1896" customWidth="1"/>
    <col min="8964" max="8964" width="14.42578125" style="1896" customWidth="1"/>
    <col min="8965" max="8965" width="4" style="1896" customWidth="1"/>
    <col min="8966" max="8966" width="22.42578125" style="1896" customWidth="1"/>
    <col min="8967" max="8967" width="11.5703125" style="1896" customWidth="1"/>
    <col min="8968" max="8977" width="8.7109375" style="1896" customWidth="1"/>
    <col min="8978" max="9218" width="9.140625" style="1896"/>
    <col min="9219" max="9219" width="3.7109375" style="1896" customWidth="1"/>
    <col min="9220" max="9220" width="14.42578125" style="1896" customWidth="1"/>
    <col min="9221" max="9221" width="4" style="1896" customWidth="1"/>
    <col min="9222" max="9222" width="22.42578125" style="1896" customWidth="1"/>
    <col min="9223" max="9223" width="11.5703125" style="1896" customWidth="1"/>
    <col min="9224" max="9233" width="8.7109375" style="1896" customWidth="1"/>
    <col min="9234" max="9474" width="9.140625" style="1896"/>
    <col min="9475" max="9475" width="3.7109375" style="1896" customWidth="1"/>
    <col min="9476" max="9476" width="14.42578125" style="1896" customWidth="1"/>
    <col min="9477" max="9477" width="4" style="1896" customWidth="1"/>
    <col min="9478" max="9478" width="22.42578125" style="1896" customWidth="1"/>
    <col min="9479" max="9479" width="11.5703125" style="1896" customWidth="1"/>
    <col min="9480" max="9489" width="8.7109375" style="1896" customWidth="1"/>
    <col min="9490" max="9730" width="9.140625" style="1896"/>
    <col min="9731" max="9731" width="3.7109375" style="1896" customWidth="1"/>
    <col min="9732" max="9732" width="14.42578125" style="1896" customWidth="1"/>
    <col min="9733" max="9733" width="4" style="1896" customWidth="1"/>
    <col min="9734" max="9734" width="22.42578125" style="1896" customWidth="1"/>
    <col min="9735" max="9735" width="11.5703125" style="1896" customWidth="1"/>
    <col min="9736" max="9745" width="8.7109375" style="1896" customWidth="1"/>
    <col min="9746" max="9986" width="9.140625" style="1896"/>
    <col min="9987" max="9987" width="3.7109375" style="1896" customWidth="1"/>
    <col min="9988" max="9988" width="14.42578125" style="1896" customWidth="1"/>
    <col min="9989" max="9989" width="4" style="1896" customWidth="1"/>
    <col min="9990" max="9990" width="22.42578125" style="1896" customWidth="1"/>
    <col min="9991" max="9991" width="11.5703125" style="1896" customWidth="1"/>
    <col min="9992" max="10001" width="8.7109375" style="1896" customWidth="1"/>
    <col min="10002" max="10242" width="9.140625" style="1896"/>
    <col min="10243" max="10243" width="3.7109375" style="1896" customWidth="1"/>
    <col min="10244" max="10244" width="14.42578125" style="1896" customWidth="1"/>
    <col min="10245" max="10245" width="4" style="1896" customWidth="1"/>
    <col min="10246" max="10246" width="22.42578125" style="1896" customWidth="1"/>
    <col min="10247" max="10247" width="11.5703125" style="1896" customWidth="1"/>
    <col min="10248" max="10257" width="8.7109375" style="1896" customWidth="1"/>
    <col min="10258" max="10498" width="9.140625" style="1896"/>
    <col min="10499" max="10499" width="3.7109375" style="1896" customWidth="1"/>
    <col min="10500" max="10500" width="14.42578125" style="1896" customWidth="1"/>
    <col min="10501" max="10501" width="4" style="1896" customWidth="1"/>
    <col min="10502" max="10502" width="22.42578125" style="1896" customWidth="1"/>
    <col min="10503" max="10503" width="11.5703125" style="1896" customWidth="1"/>
    <col min="10504" max="10513" width="8.7109375" style="1896" customWidth="1"/>
    <col min="10514" max="10754" width="9.140625" style="1896"/>
    <col min="10755" max="10755" width="3.7109375" style="1896" customWidth="1"/>
    <col min="10756" max="10756" width="14.42578125" style="1896" customWidth="1"/>
    <col min="10757" max="10757" width="4" style="1896" customWidth="1"/>
    <col min="10758" max="10758" width="22.42578125" style="1896" customWidth="1"/>
    <col min="10759" max="10759" width="11.5703125" style="1896" customWidth="1"/>
    <col min="10760" max="10769" width="8.7109375" style="1896" customWidth="1"/>
    <col min="10770" max="11010" width="9.140625" style="1896"/>
    <col min="11011" max="11011" width="3.7109375" style="1896" customWidth="1"/>
    <col min="11012" max="11012" width="14.42578125" style="1896" customWidth="1"/>
    <col min="11013" max="11013" width="4" style="1896" customWidth="1"/>
    <col min="11014" max="11014" width="22.42578125" style="1896" customWidth="1"/>
    <col min="11015" max="11015" width="11.5703125" style="1896" customWidth="1"/>
    <col min="11016" max="11025" width="8.7109375" style="1896" customWidth="1"/>
    <col min="11026" max="11266" width="9.140625" style="1896"/>
    <col min="11267" max="11267" width="3.7109375" style="1896" customWidth="1"/>
    <col min="11268" max="11268" width="14.42578125" style="1896" customWidth="1"/>
    <col min="11269" max="11269" width="4" style="1896" customWidth="1"/>
    <col min="11270" max="11270" width="22.42578125" style="1896" customWidth="1"/>
    <col min="11271" max="11271" width="11.5703125" style="1896" customWidth="1"/>
    <col min="11272" max="11281" width="8.7109375" style="1896" customWidth="1"/>
    <col min="11282" max="11522" width="9.140625" style="1896"/>
    <col min="11523" max="11523" width="3.7109375" style="1896" customWidth="1"/>
    <col min="11524" max="11524" width="14.42578125" style="1896" customWidth="1"/>
    <col min="11525" max="11525" width="4" style="1896" customWidth="1"/>
    <col min="11526" max="11526" width="22.42578125" style="1896" customWidth="1"/>
    <col min="11527" max="11527" width="11.5703125" style="1896" customWidth="1"/>
    <col min="11528" max="11537" width="8.7109375" style="1896" customWidth="1"/>
    <col min="11538" max="11778" width="9.140625" style="1896"/>
    <col min="11779" max="11779" width="3.7109375" style="1896" customWidth="1"/>
    <col min="11780" max="11780" width="14.42578125" style="1896" customWidth="1"/>
    <col min="11781" max="11781" width="4" style="1896" customWidth="1"/>
    <col min="11782" max="11782" width="22.42578125" style="1896" customWidth="1"/>
    <col min="11783" max="11783" width="11.5703125" style="1896" customWidth="1"/>
    <col min="11784" max="11793" width="8.7109375" style="1896" customWidth="1"/>
    <col min="11794" max="12034" width="9.140625" style="1896"/>
    <col min="12035" max="12035" width="3.7109375" style="1896" customWidth="1"/>
    <col min="12036" max="12036" width="14.42578125" style="1896" customWidth="1"/>
    <col min="12037" max="12037" width="4" style="1896" customWidth="1"/>
    <col min="12038" max="12038" width="22.42578125" style="1896" customWidth="1"/>
    <col min="12039" max="12039" width="11.5703125" style="1896" customWidth="1"/>
    <col min="12040" max="12049" width="8.7109375" style="1896" customWidth="1"/>
    <col min="12050" max="12290" width="9.140625" style="1896"/>
    <col min="12291" max="12291" width="3.7109375" style="1896" customWidth="1"/>
    <col min="12292" max="12292" width="14.42578125" style="1896" customWidth="1"/>
    <col min="12293" max="12293" width="4" style="1896" customWidth="1"/>
    <col min="12294" max="12294" width="22.42578125" style="1896" customWidth="1"/>
    <col min="12295" max="12295" width="11.5703125" style="1896" customWidth="1"/>
    <col min="12296" max="12305" width="8.7109375" style="1896" customWidth="1"/>
    <col min="12306" max="12546" width="9.140625" style="1896"/>
    <col min="12547" max="12547" width="3.7109375" style="1896" customWidth="1"/>
    <col min="12548" max="12548" width="14.42578125" style="1896" customWidth="1"/>
    <col min="12549" max="12549" width="4" style="1896" customWidth="1"/>
    <col min="12550" max="12550" width="22.42578125" style="1896" customWidth="1"/>
    <col min="12551" max="12551" width="11.5703125" style="1896" customWidth="1"/>
    <col min="12552" max="12561" width="8.7109375" style="1896" customWidth="1"/>
    <col min="12562" max="12802" width="9.140625" style="1896"/>
    <col min="12803" max="12803" width="3.7109375" style="1896" customWidth="1"/>
    <col min="12804" max="12804" width="14.42578125" style="1896" customWidth="1"/>
    <col min="12805" max="12805" width="4" style="1896" customWidth="1"/>
    <col min="12806" max="12806" width="22.42578125" style="1896" customWidth="1"/>
    <col min="12807" max="12807" width="11.5703125" style="1896" customWidth="1"/>
    <col min="12808" max="12817" width="8.7109375" style="1896" customWidth="1"/>
    <col min="12818" max="13058" width="9.140625" style="1896"/>
    <col min="13059" max="13059" width="3.7109375" style="1896" customWidth="1"/>
    <col min="13060" max="13060" width="14.42578125" style="1896" customWidth="1"/>
    <col min="13061" max="13061" width="4" style="1896" customWidth="1"/>
    <col min="13062" max="13062" width="22.42578125" style="1896" customWidth="1"/>
    <col min="13063" max="13063" width="11.5703125" style="1896" customWidth="1"/>
    <col min="13064" max="13073" width="8.7109375" style="1896" customWidth="1"/>
    <col min="13074" max="13314" width="9.140625" style="1896"/>
    <col min="13315" max="13315" width="3.7109375" style="1896" customWidth="1"/>
    <col min="13316" max="13316" width="14.42578125" style="1896" customWidth="1"/>
    <col min="13317" max="13317" width="4" style="1896" customWidth="1"/>
    <col min="13318" max="13318" width="22.42578125" style="1896" customWidth="1"/>
    <col min="13319" max="13319" width="11.5703125" style="1896" customWidth="1"/>
    <col min="13320" max="13329" width="8.7109375" style="1896" customWidth="1"/>
    <col min="13330" max="13570" width="9.140625" style="1896"/>
    <col min="13571" max="13571" width="3.7109375" style="1896" customWidth="1"/>
    <col min="13572" max="13572" width="14.42578125" style="1896" customWidth="1"/>
    <col min="13573" max="13573" width="4" style="1896" customWidth="1"/>
    <col min="13574" max="13574" width="22.42578125" style="1896" customWidth="1"/>
    <col min="13575" max="13575" width="11.5703125" style="1896" customWidth="1"/>
    <col min="13576" max="13585" width="8.7109375" style="1896" customWidth="1"/>
    <col min="13586" max="13826" width="9.140625" style="1896"/>
    <col min="13827" max="13827" width="3.7109375" style="1896" customWidth="1"/>
    <col min="13828" max="13828" width="14.42578125" style="1896" customWidth="1"/>
    <col min="13829" max="13829" width="4" style="1896" customWidth="1"/>
    <col min="13830" max="13830" width="22.42578125" style="1896" customWidth="1"/>
    <col min="13831" max="13831" width="11.5703125" style="1896" customWidth="1"/>
    <col min="13832" max="13841" width="8.7109375" style="1896" customWidth="1"/>
    <col min="13842" max="14082" width="9.140625" style="1896"/>
    <col min="14083" max="14083" width="3.7109375" style="1896" customWidth="1"/>
    <col min="14084" max="14084" width="14.42578125" style="1896" customWidth="1"/>
    <col min="14085" max="14085" width="4" style="1896" customWidth="1"/>
    <col min="14086" max="14086" width="22.42578125" style="1896" customWidth="1"/>
    <col min="14087" max="14087" width="11.5703125" style="1896" customWidth="1"/>
    <col min="14088" max="14097" width="8.7109375" style="1896" customWidth="1"/>
    <col min="14098" max="14338" width="9.140625" style="1896"/>
    <col min="14339" max="14339" width="3.7109375" style="1896" customWidth="1"/>
    <col min="14340" max="14340" width="14.42578125" style="1896" customWidth="1"/>
    <col min="14341" max="14341" width="4" style="1896" customWidth="1"/>
    <col min="14342" max="14342" width="22.42578125" style="1896" customWidth="1"/>
    <col min="14343" max="14343" width="11.5703125" style="1896" customWidth="1"/>
    <col min="14344" max="14353" width="8.7109375" style="1896" customWidth="1"/>
    <col min="14354" max="14594" width="9.140625" style="1896"/>
    <col min="14595" max="14595" width="3.7109375" style="1896" customWidth="1"/>
    <col min="14596" max="14596" width="14.42578125" style="1896" customWidth="1"/>
    <col min="14597" max="14597" width="4" style="1896" customWidth="1"/>
    <col min="14598" max="14598" width="22.42578125" style="1896" customWidth="1"/>
    <col min="14599" max="14599" width="11.5703125" style="1896" customWidth="1"/>
    <col min="14600" max="14609" width="8.7109375" style="1896" customWidth="1"/>
    <col min="14610" max="14850" width="9.140625" style="1896"/>
    <col min="14851" max="14851" width="3.7109375" style="1896" customWidth="1"/>
    <col min="14852" max="14852" width="14.42578125" style="1896" customWidth="1"/>
    <col min="14853" max="14853" width="4" style="1896" customWidth="1"/>
    <col min="14854" max="14854" width="22.42578125" style="1896" customWidth="1"/>
    <col min="14855" max="14855" width="11.5703125" style="1896" customWidth="1"/>
    <col min="14856" max="14865" width="8.7109375" style="1896" customWidth="1"/>
    <col min="14866" max="15106" width="9.140625" style="1896"/>
    <col min="15107" max="15107" width="3.7109375" style="1896" customWidth="1"/>
    <col min="15108" max="15108" width="14.42578125" style="1896" customWidth="1"/>
    <col min="15109" max="15109" width="4" style="1896" customWidth="1"/>
    <col min="15110" max="15110" width="22.42578125" style="1896" customWidth="1"/>
    <col min="15111" max="15111" width="11.5703125" style="1896" customWidth="1"/>
    <col min="15112" max="15121" width="8.7109375" style="1896" customWidth="1"/>
    <col min="15122" max="15362" width="9.140625" style="1896"/>
    <col min="15363" max="15363" width="3.7109375" style="1896" customWidth="1"/>
    <col min="15364" max="15364" width="14.42578125" style="1896" customWidth="1"/>
    <col min="15365" max="15365" width="4" style="1896" customWidth="1"/>
    <col min="15366" max="15366" width="22.42578125" style="1896" customWidth="1"/>
    <col min="15367" max="15367" width="11.5703125" style="1896" customWidth="1"/>
    <col min="15368" max="15377" width="8.7109375" style="1896" customWidth="1"/>
    <col min="15378" max="15618" width="9.140625" style="1896"/>
    <col min="15619" max="15619" width="3.7109375" style="1896" customWidth="1"/>
    <col min="15620" max="15620" width="14.42578125" style="1896" customWidth="1"/>
    <col min="15621" max="15621" width="4" style="1896" customWidth="1"/>
    <col min="15622" max="15622" width="22.42578125" style="1896" customWidth="1"/>
    <col min="15623" max="15623" width="11.5703125" style="1896" customWidth="1"/>
    <col min="15624" max="15633" width="8.7109375" style="1896" customWidth="1"/>
    <col min="15634" max="15874" width="9.140625" style="1896"/>
    <col min="15875" max="15875" width="3.7109375" style="1896" customWidth="1"/>
    <col min="15876" max="15876" width="14.42578125" style="1896" customWidth="1"/>
    <col min="15877" max="15877" width="4" style="1896" customWidth="1"/>
    <col min="15878" max="15878" width="22.42578125" style="1896" customWidth="1"/>
    <col min="15879" max="15879" width="11.5703125" style="1896" customWidth="1"/>
    <col min="15880" max="15889" width="8.7109375" style="1896" customWidth="1"/>
    <col min="15890" max="16130" width="9.140625" style="1896"/>
    <col min="16131" max="16131" width="3.7109375" style="1896" customWidth="1"/>
    <col min="16132" max="16132" width="14.42578125" style="1896" customWidth="1"/>
    <col min="16133" max="16133" width="4" style="1896" customWidth="1"/>
    <col min="16134" max="16134" width="22.42578125" style="1896" customWidth="1"/>
    <col min="16135" max="16135" width="11.5703125" style="1896" customWidth="1"/>
    <col min="16136" max="16145" width="8.7109375" style="1896" customWidth="1"/>
    <col min="16146" max="16384" width="9.140625" style="1896"/>
  </cols>
  <sheetData>
    <row r="1" spans="1:37" x14ac:dyDescent="0.2">
      <c r="D1" s="628"/>
      <c r="E1" s="628"/>
      <c r="F1" s="628"/>
      <c r="G1" s="628"/>
      <c r="H1" s="628"/>
      <c r="I1" s="628"/>
      <c r="J1" s="628"/>
      <c r="K1" s="628"/>
      <c r="L1" s="628"/>
      <c r="M1" s="628"/>
      <c r="N1" s="628"/>
    </row>
    <row r="2" spans="1:37" ht="12.75" customHeight="1" x14ac:dyDescent="0.2">
      <c r="A2" s="835">
        <v>1</v>
      </c>
      <c r="B2" s="835" t="s">
        <v>24</v>
      </c>
      <c r="C2" s="835">
        <v>70</v>
      </c>
      <c r="D2" s="3761" t="s">
        <v>1693</v>
      </c>
      <c r="E2" s="3762"/>
      <c r="F2" s="3762"/>
      <c r="G2" s="3762"/>
      <c r="H2" s="3762"/>
      <c r="I2" s="3762"/>
      <c r="J2" s="3762"/>
      <c r="K2" s="3762"/>
      <c r="L2" s="3762"/>
      <c r="M2" s="3762"/>
      <c r="N2" s="3762"/>
      <c r="O2" s="3762"/>
      <c r="P2" s="3762"/>
      <c r="Q2" s="3762"/>
      <c r="R2" s="3763"/>
      <c r="S2" s="1422"/>
      <c r="T2" s="1422"/>
      <c r="U2" s="1422"/>
      <c r="V2" s="1422"/>
      <c r="W2" s="1422"/>
      <c r="X2" s="1423"/>
      <c r="Y2" s="1423"/>
      <c r="Z2" s="1423"/>
      <c r="AA2" s="1423"/>
      <c r="AB2" s="1423"/>
      <c r="AC2" s="1423"/>
      <c r="AD2" s="1423"/>
      <c r="AE2" s="1423"/>
      <c r="AF2" s="1423"/>
      <c r="AG2" s="1423"/>
      <c r="AH2" s="1423"/>
      <c r="AI2" s="1423"/>
      <c r="AJ2" s="1423"/>
      <c r="AK2" s="1423"/>
    </row>
    <row r="3" spans="1:37" ht="15" customHeight="1" x14ac:dyDescent="0.2">
      <c r="A3" s="835">
        <v>2</v>
      </c>
      <c r="B3" s="835" t="s">
        <v>26</v>
      </c>
      <c r="C3" s="835"/>
      <c r="D3" s="3938" t="s">
        <v>1694</v>
      </c>
      <c r="E3" s="3939"/>
      <c r="F3" s="3939"/>
      <c r="G3" s="3939"/>
      <c r="H3" s="3939"/>
      <c r="I3" s="3939"/>
      <c r="J3" s="3939"/>
      <c r="K3" s="3939"/>
      <c r="L3" s="3939"/>
      <c r="M3" s="3939"/>
      <c r="N3" s="3939"/>
      <c r="O3" s="3939"/>
      <c r="P3" s="3939"/>
      <c r="Q3" s="3939"/>
      <c r="R3" s="3940"/>
      <c r="S3" s="1423"/>
      <c r="T3" s="1423"/>
      <c r="U3" s="1423"/>
      <c r="V3" s="1423"/>
      <c r="W3" s="1423"/>
      <c r="X3" s="1423"/>
      <c r="Y3" s="1423"/>
      <c r="Z3" s="1423"/>
      <c r="AA3" s="1423"/>
      <c r="AB3" s="1423"/>
      <c r="AC3" s="1423"/>
      <c r="AD3" s="1423"/>
      <c r="AE3" s="1423"/>
      <c r="AF3" s="1423"/>
      <c r="AG3" s="1423"/>
      <c r="AH3" s="1423"/>
      <c r="AI3" s="1423"/>
      <c r="AJ3" s="1423"/>
      <c r="AK3" s="1423"/>
    </row>
    <row r="4" spans="1:37" ht="38.450000000000003" customHeight="1" x14ac:dyDescent="0.2">
      <c r="A4" s="835">
        <v>3</v>
      </c>
      <c r="B4" s="835" t="s">
        <v>28</v>
      </c>
      <c r="C4" s="835"/>
      <c r="D4" s="3801" t="s">
        <v>1695</v>
      </c>
      <c r="E4" s="3802"/>
      <c r="F4" s="3802"/>
      <c r="G4" s="3802"/>
      <c r="H4" s="3802"/>
      <c r="I4" s="3802"/>
      <c r="J4" s="3802"/>
      <c r="K4" s="3802"/>
      <c r="L4" s="3802"/>
      <c r="M4" s="3802"/>
      <c r="N4" s="3802"/>
      <c r="O4" s="3802"/>
      <c r="P4" s="3802"/>
      <c r="Q4" s="3802"/>
      <c r="R4" s="3803"/>
      <c r="S4" s="1423"/>
      <c r="T4" s="1423"/>
      <c r="U4" s="1423"/>
      <c r="V4" s="1423"/>
      <c r="W4" s="1423"/>
      <c r="X4" s="1423"/>
      <c r="Y4" s="1423"/>
      <c r="Z4" s="1423"/>
      <c r="AA4" s="1423"/>
      <c r="AB4" s="1423"/>
      <c r="AC4" s="1423"/>
      <c r="AD4" s="1423"/>
      <c r="AE4" s="1423"/>
      <c r="AF4" s="1423"/>
      <c r="AG4" s="1423"/>
      <c r="AH4" s="1423"/>
      <c r="AI4" s="1423"/>
      <c r="AJ4" s="1423"/>
      <c r="AK4" s="1423"/>
    </row>
    <row r="5" spans="1:37" s="891" customFormat="1" ht="16.5" customHeight="1" x14ac:dyDescent="0.25">
      <c r="C5" s="835"/>
      <c r="D5" s="1424"/>
      <c r="E5" s="1425"/>
      <c r="F5" s="1425"/>
      <c r="G5" s="1425"/>
      <c r="H5" s="1425"/>
      <c r="I5" s="1425"/>
      <c r="J5" s="1425"/>
      <c r="K5" s="1425"/>
      <c r="L5" s="1425"/>
      <c r="M5" s="1425"/>
      <c r="N5" s="1425"/>
      <c r="R5" s="892"/>
      <c r="S5" s="892"/>
      <c r="T5" s="892"/>
      <c r="U5" s="892"/>
      <c r="V5" s="892"/>
      <c r="W5" s="892"/>
      <c r="X5" s="892"/>
      <c r="Y5" s="892"/>
      <c r="Z5" s="892"/>
      <c r="AA5" s="892"/>
      <c r="AB5" s="892"/>
      <c r="AC5" s="892"/>
      <c r="AD5" s="892"/>
      <c r="AE5" s="892"/>
      <c r="AF5" s="892"/>
      <c r="AG5" s="892"/>
      <c r="AH5" s="892"/>
      <c r="AI5" s="892"/>
      <c r="AJ5" s="892"/>
      <c r="AK5" s="892"/>
    </row>
    <row r="6" spans="1:37" s="1897" customFormat="1" ht="12.75" x14ac:dyDescent="0.2">
      <c r="C6" s="1426"/>
      <c r="D6" s="426"/>
      <c r="E6" s="895"/>
      <c r="F6" s="895"/>
      <c r="G6" s="895"/>
      <c r="H6" s="895"/>
      <c r="I6" s="895"/>
      <c r="J6" s="895"/>
      <c r="K6" s="895"/>
      <c r="L6" s="828"/>
      <c r="M6" s="828"/>
      <c r="N6" s="828"/>
      <c r="O6" s="828"/>
    </row>
    <row r="7" spans="1:37" s="891" customFormat="1" x14ac:dyDescent="0.25">
      <c r="A7" s="835">
        <v>4</v>
      </c>
      <c r="B7" s="835" t="s">
        <v>1</v>
      </c>
      <c r="C7" s="835"/>
      <c r="D7" s="1098" t="s">
        <v>1696</v>
      </c>
      <c r="E7" s="1098" t="s">
        <v>1697</v>
      </c>
      <c r="F7" s="1098"/>
      <c r="G7" s="1098"/>
      <c r="H7" s="1098"/>
      <c r="I7" s="1098"/>
      <c r="J7" s="1098"/>
      <c r="K7" s="1427"/>
      <c r="L7" s="1428"/>
      <c r="M7" s="1428"/>
      <c r="N7" s="1428"/>
      <c r="O7" s="1428"/>
      <c r="P7" s="1428"/>
      <c r="Q7" s="1428"/>
      <c r="R7" s="1428"/>
      <c r="S7" s="1429"/>
    </row>
    <row r="8" spans="1:37" ht="45" x14ac:dyDescent="0.2">
      <c r="B8" s="835"/>
      <c r="C8" s="835"/>
      <c r="D8" s="443"/>
      <c r="E8" s="1430" t="s">
        <v>133</v>
      </c>
      <c r="F8" s="1430" t="s">
        <v>134</v>
      </c>
      <c r="G8" s="1430" t="s">
        <v>135</v>
      </c>
      <c r="H8" s="1430" t="s">
        <v>136</v>
      </c>
      <c r="I8" s="1430" t="s">
        <v>137</v>
      </c>
      <c r="J8" s="1430" t="s">
        <v>138</v>
      </c>
      <c r="K8" s="1430" t="s">
        <v>139</v>
      </c>
      <c r="L8" s="1430" t="s">
        <v>140</v>
      </c>
      <c r="M8" s="1430" t="s">
        <v>141</v>
      </c>
      <c r="N8" s="1430" t="s">
        <v>142</v>
      </c>
      <c r="O8" s="1430" t="s">
        <v>143</v>
      </c>
      <c r="P8" s="1430" t="s">
        <v>144</v>
      </c>
      <c r="Q8" s="1430" t="s">
        <v>145</v>
      </c>
      <c r="R8" s="3027" t="s">
        <v>1698</v>
      </c>
    </row>
    <row r="9" spans="1:37" ht="12.75" x14ac:dyDescent="0.2">
      <c r="B9" s="1328"/>
      <c r="C9" s="1432">
        <v>1</v>
      </c>
      <c r="D9" s="426" t="s">
        <v>1699</v>
      </c>
      <c r="E9" s="895">
        <f>'[32]NPA PERFORM'!$B$11</f>
        <v>1117879</v>
      </c>
      <c r="F9" s="895">
        <f>'[32]NPA PERFORM'!$C$11</f>
        <v>1117488</v>
      </c>
      <c r="G9" s="895">
        <f>'[32]NPA PERFORM'!$D$11</f>
        <v>1084137</v>
      </c>
      <c r="H9" s="895">
        <f>'[32]NPA PERFORM'!E$11</f>
        <v>1069724</v>
      </c>
      <c r="I9" s="895">
        <f>'[32]NPA PERFORM'!$I$11</f>
        <v>1062497</v>
      </c>
      <c r="J9" s="895">
        <f>'[32]NPA PERFORM'!$J$11</f>
        <v>1037309</v>
      </c>
      <c r="K9" s="895">
        <f>'[32]NPA PERFORM'!$K$11</f>
        <v>1058210</v>
      </c>
      <c r="L9" s="895">
        <f>'[32]NPA PERFORM'!$L$11</f>
        <v>1044346</v>
      </c>
      <c r="M9" s="895">
        <f>'[33]Charges referred to Courts'!$K$9</f>
        <v>962317</v>
      </c>
      <c r="N9" s="895">
        <v>897842</v>
      </c>
      <c r="O9" s="895">
        <v>916917</v>
      </c>
      <c r="P9" s="895">
        <f>'[34]13.14 ALL CRTS'!$J$79</f>
        <v>931799</v>
      </c>
      <c r="Q9" s="895">
        <f>'[34]14.15 ALL CRTS'!$J$79</f>
        <v>908364</v>
      </c>
      <c r="R9" s="3028">
        <f>+(Q9/P9)-1</f>
        <v>-2.5150273825149005E-2</v>
      </c>
    </row>
    <row r="10" spans="1:37" ht="12.75" x14ac:dyDescent="0.2">
      <c r="B10" s="1328"/>
      <c r="C10" s="1432">
        <v>2</v>
      </c>
      <c r="D10" s="426" t="s">
        <v>1700</v>
      </c>
      <c r="E10" s="895">
        <f t="shared" ref="E10:P10" si="0">SUM(E11:E11)</f>
        <v>422338</v>
      </c>
      <c r="F10" s="895">
        <f t="shared" si="0"/>
        <v>414488</v>
      </c>
      <c r="G10" s="895">
        <f t="shared" si="0"/>
        <v>399966</v>
      </c>
      <c r="H10" s="895">
        <f t="shared" si="0"/>
        <v>411417</v>
      </c>
      <c r="I10" s="895">
        <f t="shared" si="0"/>
        <v>379034</v>
      </c>
      <c r="J10" s="895">
        <f t="shared" si="0"/>
        <v>388344</v>
      </c>
      <c r="K10" s="895">
        <f t="shared" si="0"/>
        <v>431640</v>
      </c>
      <c r="L10" s="895">
        <f t="shared" si="0"/>
        <v>469541</v>
      </c>
      <c r="M10" s="895">
        <f t="shared" si="0"/>
        <v>460891</v>
      </c>
      <c r="N10" s="895">
        <f t="shared" si="0"/>
        <v>448793</v>
      </c>
      <c r="O10" s="895">
        <f t="shared" si="0"/>
        <v>466800</v>
      </c>
      <c r="P10" s="895">
        <f t="shared" si="0"/>
        <v>505342</v>
      </c>
      <c r="Q10" s="895">
        <f>SUM(Q11:Q11)</f>
        <v>503463</v>
      </c>
      <c r="R10" s="3028">
        <f t="shared" ref="R10:R19" si="1">+(Q10/P10)-1</f>
        <v>-3.7182739610006621E-3</v>
      </c>
    </row>
    <row r="11" spans="1:37" ht="12.75" x14ac:dyDescent="0.2">
      <c r="B11" s="1328"/>
      <c r="C11" s="1432">
        <v>2.2000000000000002</v>
      </c>
      <c r="D11" s="1898" t="s">
        <v>1701</v>
      </c>
      <c r="E11" s="895">
        <f>SUM(E12,E16)</f>
        <v>422338</v>
      </c>
      <c r="F11" s="895">
        <f t="shared" ref="F11:Q11" si="2">SUM(F12,F16)</f>
        <v>414488</v>
      </c>
      <c r="G11" s="895">
        <f t="shared" si="2"/>
        <v>399966</v>
      </c>
      <c r="H11" s="895">
        <f t="shared" si="2"/>
        <v>411417</v>
      </c>
      <c r="I11" s="895">
        <f t="shared" si="2"/>
        <v>379034</v>
      </c>
      <c r="J11" s="895">
        <f t="shared" si="2"/>
        <v>388344</v>
      </c>
      <c r="K11" s="895">
        <f t="shared" si="2"/>
        <v>431640</v>
      </c>
      <c r="L11" s="895">
        <f t="shared" si="2"/>
        <v>469541</v>
      </c>
      <c r="M11" s="895">
        <f t="shared" si="2"/>
        <v>460891</v>
      </c>
      <c r="N11" s="895">
        <f t="shared" si="2"/>
        <v>448793</v>
      </c>
      <c r="O11" s="895">
        <f t="shared" si="2"/>
        <v>466800</v>
      </c>
      <c r="P11" s="895">
        <f t="shared" si="2"/>
        <v>505342</v>
      </c>
      <c r="Q11" s="895">
        <f t="shared" si="2"/>
        <v>503463</v>
      </c>
      <c r="R11" s="3028">
        <f t="shared" si="1"/>
        <v>-3.7182739610006621E-3</v>
      </c>
    </row>
    <row r="12" spans="1:37" ht="12.75" x14ac:dyDescent="0.2">
      <c r="B12" s="1328"/>
      <c r="C12" s="1432" t="s">
        <v>1702</v>
      </c>
      <c r="D12" s="1899" t="s">
        <v>1703</v>
      </c>
      <c r="E12" s="1298">
        <f>'[32]NPA PERFORM'!$B$9</f>
        <v>407530</v>
      </c>
      <c r="F12" s="1298">
        <f>'[32]NPA PERFORM'!$C$9</f>
        <v>396536</v>
      </c>
      <c r="G12" s="1298">
        <f>'[32]NPA PERFORM'!$D$9</f>
        <v>381020</v>
      </c>
      <c r="H12" s="1298">
        <f>'[32]NPA PERFORM'!$E$9</f>
        <v>373995</v>
      </c>
      <c r="I12" s="1298">
        <f>'[32]NPA PERFORM'!$I$9</f>
        <v>334551</v>
      </c>
      <c r="J12" s="1298">
        <f>'[32]NPA PERFORM'!$J$9+30115</f>
        <v>326506</v>
      </c>
      <c r="K12" s="1298">
        <f>'[32]NPA PERFORM'!$K$9+38015</f>
        <v>349883</v>
      </c>
      <c r="L12" s="1298">
        <f>'[32]NPA PERFORM'!$L$9</f>
        <v>350910</v>
      </c>
      <c r="M12" s="1298">
        <f>'[33]Charges referred to Courts'!$K$15</f>
        <v>331045</v>
      </c>
      <c r="N12" s="1298">
        <v>316098</v>
      </c>
      <c r="O12" s="1298">
        <v>323390</v>
      </c>
      <c r="P12" s="1298">
        <f>'[34]13.14 ALL CRTS'!$X$79</f>
        <v>329153</v>
      </c>
      <c r="Q12" s="1298">
        <f>'[34]14.15 ALL CRTS'!$X$79</f>
        <v>319149</v>
      </c>
      <c r="R12" s="3029">
        <f t="shared" si="1"/>
        <v>-3.0393160627428584E-2</v>
      </c>
    </row>
    <row r="13" spans="1:37" ht="12.75" x14ac:dyDescent="0.2">
      <c r="B13" s="1328"/>
      <c r="C13" s="1432" t="s">
        <v>1704</v>
      </c>
      <c r="D13" s="1899" t="s">
        <v>1705</v>
      </c>
      <c r="E13" s="1298">
        <f t="shared" ref="E13:K13" si="3">SUM(E14:E15)</f>
        <v>332056</v>
      </c>
      <c r="F13" s="1298">
        <f t="shared" si="3"/>
        <v>330146</v>
      </c>
      <c r="G13" s="1298">
        <f t="shared" si="3"/>
        <v>322147</v>
      </c>
      <c r="H13" s="1298">
        <f t="shared" si="3"/>
        <v>322687</v>
      </c>
      <c r="I13" s="1298">
        <f t="shared" si="3"/>
        <v>286861</v>
      </c>
      <c r="J13" s="1298">
        <f t="shared" si="3"/>
        <v>284620</v>
      </c>
      <c r="K13" s="1298">
        <f t="shared" si="3"/>
        <v>307089</v>
      </c>
      <c r="L13" s="1298">
        <f>SUM(L14:L15)</f>
        <v>310951</v>
      </c>
      <c r="M13" s="1298">
        <f>'[33]Charges referred to Courts'!$K$16</f>
        <v>293673</v>
      </c>
      <c r="N13" s="1298">
        <v>280658</v>
      </c>
      <c r="O13" s="1298">
        <f>SUM(O14:O15)</f>
        <v>289789</v>
      </c>
      <c r="P13" s="1298">
        <f>'[34]13.14 ALL CRTS'!$T$79</f>
        <v>301798</v>
      </c>
      <c r="Q13" s="1298">
        <f>'[34]14.15 ALL CRTS'!$T$79</f>
        <v>294608</v>
      </c>
      <c r="R13" s="3028">
        <f t="shared" si="1"/>
        <v>-2.3823882199351831E-2</v>
      </c>
    </row>
    <row r="14" spans="1:37" ht="12.75" x14ac:dyDescent="0.2">
      <c r="B14" s="1328"/>
      <c r="C14" s="1432"/>
      <c r="D14" s="1900" t="s">
        <v>1706</v>
      </c>
      <c r="E14" s="1433">
        <f>[35]PROGRESS!$O$18</f>
        <v>330728</v>
      </c>
      <c r="F14" s="1433">
        <f>[36]PROGRESS!$O$19</f>
        <v>328887</v>
      </c>
      <c r="G14" s="1433">
        <f>[37]PROGRESS!$O$19</f>
        <v>320938</v>
      </c>
      <c r="H14" s="1433">
        <f>[38]PROGRESS!$O$19</f>
        <v>320413</v>
      </c>
      <c r="I14" s="1433">
        <f>'[39]0607'!$N$18</f>
        <v>284865</v>
      </c>
      <c r="J14" s="1433">
        <f>SUM('[39]0708'!$Q$19+'[39]0708'!$Y$19)</f>
        <v>282720</v>
      </c>
      <c r="K14" s="1433">
        <f>SUM('[40]0809 ALL CRTS'!$Q$19+'[40]0809 ALL CRTS'!$Y$19)</f>
        <v>305628</v>
      </c>
      <c r="L14" s="1433">
        <f>SUM('[40]0910 ALL CRTS'!$T$19)</f>
        <v>309868</v>
      </c>
      <c r="M14" s="1433"/>
      <c r="N14" s="1433"/>
      <c r="O14" s="1433">
        <v>261591</v>
      </c>
      <c r="P14" s="1433">
        <v>261591</v>
      </c>
      <c r="Q14" s="1433">
        <f>'[34]14.15 ALL CRTS'!$T$19+'[34]14.15 ALL CRTS'!$T$64</f>
        <v>293718</v>
      </c>
      <c r="R14" s="3028">
        <f t="shared" si="1"/>
        <v>0.12281385827494073</v>
      </c>
    </row>
    <row r="15" spans="1:37" ht="12.75" x14ac:dyDescent="0.2">
      <c r="B15" s="1328"/>
      <c r="C15" s="1432"/>
      <c r="D15" s="1901" t="s">
        <v>1707</v>
      </c>
      <c r="E15" s="1434">
        <v>1328</v>
      </c>
      <c r="F15" s="1434">
        <v>1259</v>
      </c>
      <c r="G15" s="1434">
        <v>1209</v>
      </c>
      <c r="H15" s="1434">
        <v>2274</v>
      </c>
      <c r="I15" s="1434">
        <v>1996</v>
      </c>
      <c r="J15" s="1434">
        <v>1900</v>
      </c>
      <c r="K15" s="1434">
        <v>1461</v>
      </c>
      <c r="L15" s="1434">
        <v>1083</v>
      </c>
      <c r="M15" s="1434"/>
      <c r="N15" s="1434"/>
      <c r="O15" s="1434">
        <v>28198</v>
      </c>
      <c r="P15" s="1434">
        <v>28198</v>
      </c>
      <c r="Q15" s="1434">
        <f>'[34]14.15 ALL CRTS'!$T$34</f>
        <v>890</v>
      </c>
      <c r="R15" s="3030">
        <f t="shared" si="1"/>
        <v>-0.96843747783530743</v>
      </c>
    </row>
    <row r="16" spans="1:37" ht="12.75" x14ac:dyDescent="0.2">
      <c r="B16" s="1328"/>
      <c r="C16" s="1432" t="s">
        <v>1708</v>
      </c>
      <c r="D16" s="1902" t="s">
        <v>1709</v>
      </c>
      <c r="E16" s="1903">
        <f>SUM('[32]NPA PERFORM'!B$7:B$8)</f>
        <v>14808</v>
      </c>
      <c r="F16" s="1903">
        <f>SUM('[32]NPA PERFORM'!C$7:C$8)</f>
        <v>17952</v>
      </c>
      <c r="G16" s="1903">
        <f>SUM('[32]NPA PERFORM'!D$7:D$8)</f>
        <v>18946</v>
      </c>
      <c r="H16" s="1903">
        <f>SUM('[32]NPA PERFORM'!E$7:E$8)</f>
        <v>37422</v>
      </c>
      <c r="I16" s="1903">
        <f>SUM('[32]NPA PERFORM'!$I$7:$I$8)</f>
        <v>44483</v>
      </c>
      <c r="J16" s="1903">
        <f>SUM('[32]NPA PERFORM'!$J$7:$J$8)</f>
        <v>61838</v>
      </c>
      <c r="K16" s="1903">
        <f>SUM('[32]NPA PERFORM'!$K$7:$K$8)</f>
        <v>81757</v>
      </c>
      <c r="L16" s="1903">
        <f>SUM('[32]NPA PERFORM'!$L$7:$L$8)</f>
        <v>118631</v>
      </c>
      <c r="M16" s="1903">
        <f>'[33]Charges referred to Courts'!$K$19</f>
        <v>129846</v>
      </c>
      <c r="N16" s="1903">
        <v>132695</v>
      </c>
      <c r="O16" s="1903">
        <v>143410</v>
      </c>
      <c r="P16" s="1903">
        <f>'[34]13.14 ALL CRTS'!$BA$79</f>
        <v>176189</v>
      </c>
      <c r="Q16" s="1903">
        <f>'[34]14.15 ALL CRTS'!$BA$79</f>
        <v>184314</v>
      </c>
      <c r="R16" s="3029">
        <f t="shared" si="1"/>
        <v>4.6115251235888666E-2</v>
      </c>
    </row>
    <row r="17" spans="1:19" ht="12.75" x14ac:dyDescent="0.2">
      <c r="B17" s="1328"/>
      <c r="C17" s="1432"/>
      <c r="D17" s="1900" t="s">
        <v>1710</v>
      </c>
      <c r="E17" s="1433">
        <f>'[32]NPA PERFORM'!$B$8</f>
        <v>14808</v>
      </c>
      <c r="F17" s="1433">
        <f>'[32]NPA PERFORM'!$C$8</f>
        <v>17952</v>
      </c>
      <c r="G17" s="1433">
        <f>'[32]NPA PERFORM'!$D$8</f>
        <v>18946</v>
      </c>
      <c r="H17" s="1433">
        <f>'[32]NPA PERFORM'!$E$8</f>
        <v>37422</v>
      </c>
      <c r="I17" s="1433">
        <f>'[32]NPA PERFORM'!$I$8</f>
        <v>44483</v>
      </c>
      <c r="J17" s="1433">
        <f>'[32]NPA PERFORM'!$J$8</f>
        <v>46445</v>
      </c>
      <c r="K17" s="1433">
        <f>'[32]NPA PERFORM'!$K$8</f>
        <v>43728</v>
      </c>
      <c r="L17" s="1433">
        <f>'[32]NPA PERFORM'!$L$8</f>
        <v>50361</v>
      </c>
      <c r="M17" s="1433"/>
      <c r="N17" s="1433"/>
      <c r="O17" s="1433">
        <v>31016</v>
      </c>
      <c r="P17" s="1433">
        <v>31016</v>
      </c>
      <c r="Q17" s="1433">
        <f>'[34]14.15 ALL CRTS'!$AA$79</f>
        <v>41126</v>
      </c>
      <c r="R17" s="3028">
        <f t="shared" si="1"/>
        <v>0.32596079442868198</v>
      </c>
    </row>
    <row r="18" spans="1:19" ht="12.75" x14ac:dyDescent="0.2">
      <c r="B18" s="1328"/>
      <c r="C18" s="1432"/>
      <c r="D18" s="1900" t="s">
        <v>1711</v>
      </c>
      <c r="E18" s="1433">
        <v>0</v>
      </c>
      <c r="F18" s="1433">
        <v>0</v>
      </c>
      <c r="G18" s="1433">
        <v>0</v>
      </c>
      <c r="H18" s="1433">
        <v>0</v>
      </c>
      <c r="I18" s="1433">
        <v>0</v>
      </c>
      <c r="J18" s="1433"/>
      <c r="K18" s="1433"/>
      <c r="L18" s="1433"/>
      <c r="M18" s="1433"/>
      <c r="N18" s="1433"/>
      <c r="O18" s="1433">
        <v>6605</v>
      </c>
      <c r="P18" s="1433">
        <v>6605</v>
      </c>
      <c r="Q18" s="1433">
        <f>'[34]14.15 ALL CRTS'!$AX$79</f>
        <v>5882</v>
      </c>
      <c r="R18" s="3028">
        <f t="shared" si="1"/>
        <v>-0.10946252838758519</v>
      </c>
    </row>
    <row r="19" spans="1:19" ht="12.75" x14ac:dyDescent="0.2">
      <c r="B19" s="1328"/>
      <c r="C19" s="1432"/>
      <c r="D19" s="1901" t="s">
        <v>1712</v>
      </c>
      <c r="E19" s="1434">
        <v>0</v>
      </c>
      <c r="F19" s="1434">
        <v>0</v>
      </c>
      <c r="G19" s="1434">
        <v>0</v>
      </c>
      <c r="H19" s="1434">
        <v>0</v>
      </c>
      <c r="I19" s="1434">
        <v>0</v>
      </c>
      <c r="J19" s="1434">
        <f>'[32]NPA PERFORM'!$J$7</f>
        <v>15393</v>
      </c>
      <c r="K19" s="1434">
        <f>'[32]NPA PERFORM'!$K$7</f>
        <v>38029</v>
      </c>
      <c r="L19" s="1434">
        <f>'[32]NPA PERFORM'!$L$7</f>
        <v>68270</v>
      </c>
      <c r="M19" s="1434"/>
      <c r="N19" s="1434"/>
      <c r="O19" s="1434">
        <v>105789</v>
      </c>
      <c r="P19" s="1434">
        <v>105789</v>
      </c>
      <c r="Q19" s="1434">
        <f>'[34]14.15 ALL CRTS'!$AB$79</f>
        <v>137306</v>
      </c>
      <c r="R19" s="3030">
        <f t="shared" si="1"/>
        <v>0.29792322453185105</v>
      </c>
    </row>
    <row r="20" spans="1:19" ht="12.75" hidden="1" x14ac:dyDescent="0.2">
      <c r="B20" s="1328"/>
      <c r="C20" s="1432"/>
      <c r="D20" s="1898" t="s">
        <v>1710</v>
      </c>
      <c r="E20" s="1435">
        <f>'[41]NPA PERFORM'!$B$8</f>
        <v>14808</v>
      </c>
      <c r="F20" s="1435">
        <f>'[41]NPA PERFORM'!$C$8</f>
        <v>17952</v>
      </c>
      <c r="G20" s="1435">
        <f>'[41]NPA PERFORM'!$D$8</f>
        <v>18946</v>
      </c>
      <c r="H20" s="1435">
        <f>'[41]NPA PERFORM'!$E$8</f>
        <v>37422</v>
      </c>
      <c r="I20" s="1435">
        <f>'[41]NPA PERFORM'!$I$8</f>
        <v>44483</v>
      </c>
      <c r="J20" s="1435">
        <f>'[41]NPA PERFORM'!$J$8</f>
        <v>46445</v>
      </c>
      <c r="K20" s="1435">
        <f>'[41]NPA PERFORM'!$K$8</f>
        <v>43728</v>
      </c>
      <c r="L20" s="1435">
        <f>'[41]NPA PERFORM'!$L$8</f>
        <v>50361</v>
      </c>
      <c r="M20" s="1435"/>
      <c r="N20" s="1435"/>
      <c r="O20" s="1435">
        <v>31016</v>
      </c>
      <c r="P20" s="1435">
        <v>31016</v>
      </c>
      <c r="Q20" s="1435"/>
      <c r="R20" s="3028">
        <f t="shared" ref="R20:R23" si="4">+(P20/O20)-1</f>
        <v>0</v>
      </c>
    </row>
    <row r="21" spans="1:19" ht="12.75" hidden="1" x14ac:dyDescent="0.2">
      <c r="B21" s="1328"/>
      <c r="C21" s="1432"/>
      <c r="D21" s="1898" t="s">
        <v>1711</v>
      </c>
      <c r="E21" s="1435">
        <v>0</v>
      </c>
      <c r="F21" s="1435">
        <v>0</v>
      </c>
      <c r="G21" s="1435">
        <v>0</v>
      </c>
      <c r="H21" s="1435">
        <v>0</v>
      </c>
      <c r="I21" s="1435">
        <v>0</v>
      </c>
      <c r="J21" s="1435"/>
      <c r="K21" s="1435"/>
      <c r="L21" s="1435"/>
      <c r="M21" s="1435"/>
      <c r="N21" s="1435"/>
      <c r="O21" s="1435">
        <v>6605</v>
      </c>
      <c r="P21" s="1435">
        <v>6605</v>
      </c>
      <c r="Q21" s="1435"/>
      <c r="R21" s="3028">
        <f t="shared" si="4"/>
        <v>0</v>
      </c>
    </row>
    <row r="22" spans="1:19" ht="12.75" hidden="1" x14ac:dyDescent="0.2">
      <c r="B22" s="1328"/>
      <c r="C22" s="1432"/>
      <c r="D22" s="1898" t="s">
        <v>1712</v>
      </c>
      <c r="E22" s="1435">
        <v>0</v>
      </c>
      <c r="F22" s="1435">
        <v>0</v>
      </c>
      <c r="G22" s="1435">
        <v>0</v>
      </c>
      <c r="H22" s="1435">
        <v>0</v>
      </c>
      <c r="I22" s="1435">
        <v>0</v>
      </c>
      <c r="J22" s="1435">
        <f>'[41]NPA PERFORM'!$J$7</f>
        <v>15393</v>
      </c>
      <c r="K22" s="1435">
        <f>'[41]NPA PERFORM'!$K$7</f>
        <v>38029</v>
      </c>
      <c r="L22" s="1435">
        <f>'[41]NPA PERFORM'!$L$7</f>
        <v>68270</v>
      </c>
      <c r="M22" s="1435"/>
      <c r="N22" s="1435"/>
      <c r="O22" s="1435" t="s">
        <v>1713</v>
      </c>
      <c r="P22" s="1435" t="s">
        <v>1713</v>
      </c>
      <c r="Q22" s="1435"/>
      <c r="R22" s="3028">
        <f t="shared" si="4"/>
        <v>0</v>
      </c>
    </row>
    <row r="23" spans="1:19" ht="12.75" x14ac:dyDescent="0.2">
      <c r="B23" s="1328"/>
      <c r="C23" s="1432">
        <v>3</v>
      </c>
      <c r="D23" s="449" t="s">
        <v>1714</v>
      </c>
      <c r="E23" s="1294">
        <f>'[41]NPA PERFORM'!$B$15</f>
        <v>188691</v>
      </c>
      <c r="F23" s="1294">
        <f>'[41]NPA PERFORM'!$C$15</f>
        <v>185423</v>
      </c>
      <c r="G23" s="1294">
        <f>'[41]NPA PERFORM'!$D$15</f>
        <v>206005</v>
      </c>
      <c r="H23" s="1294">
        <f>'[41]NPA PERFORM'!E$15</f>
        <v>198990</v>
      </c>
      <c r="I23" s="1294">
        <f>'[41]NPA PERFORM'!$I$15</f>
        <v>206508</v>
      </c>
      <c r="J23" s="1294">
        <f>'[41]NPA PERFORM'!$J$15</f>
        <v>232518</v>
      </c>
      <c r="K23" s="1294">
        <f>'[41]NPA PERFORM'!$K$15</f>
        <v>234606</v>
      </c>
      <c r="L23" s="1294">
        <f>'[41]NPA PERFORM'!$L$15</f>
        <v>230477</v>
      </c>
      <c r="M23" s="1294">
        <f>'[42]Charges referred to Courts'!$K$23</f>
        <v>218660</v>
      </c>
      <c r="N23" s="1294">
        <v>200532</v>
      </c>
      <c r="O23" s="1294">
        <v>189810</v>
      </c>
      <c r="P23" s="1294">
        <f>'[43]13.14 ALL CRTS'!$AE$77</f>
        <v>182979</v>
      </c>
      <c r="Q23" s="1294"/>
      <c r="R23" s="3031">
        <f t="shared" si="4"/>
        <v>-3.5988620199146504E-2</v>
      </c>
    </row>
    <row r="24" spans="1:19" ht="12.75" x14ac:dyDescent="0.2">
      <c r="B24" s="1328"/>
      <c r="C24" s="1432"/>
      <c r="D24" s="426"/>
      <c r="E24" s="895"/>
      <c r="F24" s="895"/>
      <c r="G24" s="895"/>
      <c r="H24" s="895"/>
      <c r="I24" s="895"/>
      <c r="J24" s="895"/>
      <c r="K24" s="895"/>
      <c r="L24" s="895"/>
      <c r="M24" s="895"/>
      <c r="N24" s="895"/>
      <c r="O24" s="895"/>
      <c r="P24" s="895"/>
      <c r="Q24" s="895"/>
      <c r="R24" s="1436"/>
    </row>
    <row r="25" spans="1:19" ht="12.75" x14ac:dyDescent="0.2">
      <c r="B25" s="1328"/>
      <c r="C25" s="1432"/>
      <c r="D25" s="772" t="s">
        <v>1715</v>
      </c>
      <c r="E25" s="820" t="s">
        <v>1716</v>
      </c>
      <c r="F25" s="422"/>
      <c r="G25" s="422"/>
      <c r="H25" s="422"/>
      <c r="I25" s="422"/>
      <c r="J25" s="422"/>
      <c r="K25" s="422"/>
      <c r="L25" s="422"/>
      <c r="M25" s="422"/>
      <c r="N25" s="422"/>
      <c r="O25" s="422"/>
      <c r="P25" s="422"/>
      <c r="Q25" s="422"/>
      <c r="R25" s="1267"/>
    </row>
    <row r="26" spans="1:19" ht="34.9" customHeight="1" x14ac:dyDescent="0.2">
      <c r="B26" s="1328"/>
      <c r="C26" s="1432"/>
      <c r="D26" s="3032"/>
      <c r="E26" s="1430" t="s">
        <v>133</v>
      </c>
      <c r="F26" s="1430" t="s">
        <v>134</v>
      </c>
      <c r="G26" s="1430" t="s">
        <v>135</v>
      </c>
      <c r="H26" s="1437" t="s">
        <v>136</v>
      </c>
      <c r="I26" s="1437" t="s">
        <v>137</v>
      </c>
      <c r="J26" s="1437" t="s">
        <v>138</v>
      </c>
      <c r="K26" s="1437" t="s">
        <v>139</v>
      </c>
      <c r="L26" s="1437" t="s">
        <v>140</v>
      </c>
      <c r="M26" s="1893" t="s">
        <v>141</v>
      </c>
      <c r="N26" s="1893" t="s">
        <v>142</v>
      </c>
      <c r="O26" s="1893" t="s">
        <v>143</v>
      </c>
      <c r="P26" s="1893" t="s">
        <v>144</v>
      </c>
      <c r="Q26" s="1893" t="s">
        <v>145</v>
      </c>
      <c r="R26" s="3027" t="s">
        <v>1698</v>
      </c>
    </row>
    <row r="27" spans="1:19" ht="12.75" x14ac:dyDescent="0.2">
      <c r="B27" s="1328"/>
      <c r="C27" s="1432"/>
      <c r="D27" s="3033"/>
      <c r="E27" s="1430"/>
      <c r="F27" s="1430"/>
      <c r="G27" s="1430"/>
      <c r="H27" s="1437"/>
      <c r="I27" s="1437"/>
      <c r="J27" s="1437"/>
      <c r="K27" s="1437"/>
      <c r="L27" s="1437"/>
      <c r="M27" s="1893"/>
      <c r="N27" s="1893"/>
      <c r="O27" s="1893"/>
      <c r="P27" s="1893"/>
      <c r="Q27" s="1893"/>
      <c r="R27" s="3035"/>
    </row>
    <row r="28" spans="1:19" ht="12.75" x14ac:dyDescent="0.2">
      <c r="B28" s="1328"/>
      <c r="C28" s="1432"/>
      <c r="D28" s="3034" t="s">
        <v>1693</v>
      </c>
      <c r="E28" s="795">
        <v>0.81480136431673744</v>
      </c>
      <c r="F28" s="795">
        <v>0.83257510036919724</v>
      </c>
      <c r="G28" s="795">
        <v>0.84548580127027451</v>
      </c>
      <c r="H28" s="795">
        <v>0.8628110001470608</v>
      </c>
      <c r="I28" s="795">
        <v>0.8574507324742715</v>
      </c>
      <c r="J28" s="795">
        <v>0.8717144554770816</v>
      </c>
      <c r="K28" s="795">
        <v>0.8776905422669864</v>
      </c>
      <c r="L28" s="795">
        <v>0.88612749707902316</v>
      </c>
      <c r="M28" s="795">
        <f>'[42]Charges referred to Courts'!$K$27</f>
        <v>0.88710900330770737</v>
      </c>
      <c r="N28" s="795">
        <f>N13/N12</f>
        <v>0.88788287176761638</v>
      </c>
      <c r="O28" s="795">
        <f>O13/O12</f>
        <v>0.89609759114382015</v>
      </c>
      <c r="P28" s="795">
        <f>P13/P12</f>
        <v>0.91689275200286802</v>
      </c>
      <c r="Q28" s="795">
        <v>0.9231048820456903</v>
      </c>
      <c r="R28" s="2798">
        <v>6.2121300428222836E-3</v>
      </c>
      <c r="S28" s="1904"/>
    </row>
    <row r="29" spans="1:19" ht="12.75" x14ac:dyDescent="0.2">
      <c r="B29" s="1328"/>
      <c r="C29" s="1432"/>
      <c r="D29" s="426"/>
      <c r="E29" s="895"/>
      <c r="F29" s="895"/>
      <c r="G29" s="895"/>
      <c r="H29" s="895"/>
      <c r="I29" s="895"/>
      <c r="J29" s="895"/>
      <c r="K29" s="895"/>
      <c r="L29" s="895"/>
      <c r="M29" s="895"/>
      <c r="N29" s="895"/>
      <c r="O29" s="895"/>
      <c r="P29" s="895"/>
      <c r="Q29" s="895"/>
      <c r="R29" s="1438"/>
    </row>
    <row r="30" spans="1:19" s="1905" customFormat="1" ht="15" customHeight="1" x14ac:dyDescent="0.2">
      <c r="A30" s="835">
        <v>5</v>
      </c>
      <c r="B30" s="835" t="s">
        <v>78</v>
      </c>
      <c r="C30" s="1224"/>
      <c r="D30" s="3629" t="s">
        <v>555</v>
      </c>
      <c r="E30" s="3630"/>
      <c r="F30" s="3630"/>
      <c r="G30" s="3630"/>
      <c r="H30" s="3630"/>
      <c r="I30" s="3630"/>
      <c r="J30" s="3630"/>
      <c r="K30" s="3630"/>
      <c r="L30" s="3630"/>
      <c r="M30" s="3630"/>
      <c r="N30" s="3630"/>
      <c r="O30" s="3630"/>
      <c r="P30" s="3630"/>
      <c r="Q30" s="3630"/>
      <c r="R30" s="3630"/>
      <c r="S30" s="1134"/>
    </row>
    <row r="31" spans="1:19" s="1905" customFormat="1" ht="42" customHeight="1" x14ac:dyDescent="0.2">
      <c r="A31" s="835">
        <v>6</v>
      </c>
      <c r="B31" s="963" t="s">
        <v>80</v>
      </c>
      <c r="C31" s="1906"/>
      <c r="D31" s="3629" t="s">
        <v>1717</v>
      </c>
      <c r="E31" s="3630"/>
      <c r="F31" s="3630"/>
      <c r="G31" s="3630"/>
      <c r="H31" s="3630"/>
      <c r="I31" s="3630"/>
      <c r="J31" s="3630"/>
      <c r="K31" s="3630"/>
      <c r="L31" s="3630"/>
      <c r="M31" s="3630"/>
      <c r="N31" s="3630"/>
      <c r="O31" s="3630"/>
      <c r="P31" s="3630"/>
      <c r="Q31" s="3630"/>
      <c r="R31" s="3630"/>
      <c r="S31" s="1134"/>
    </row>
    <row r="32" spans="1:19" s="1905" customFormat="1" ht="15.6" customHeight="1" x14ac:dyDescent="0.2">
      <c r="A32" s="835">
        <v>7</v>
      </c>
      <c r="B32" s="835" t="s">
        <v>20</v>
      </c>
      <c r="C32" s="1224"/>
      <c r="D32" s="3629" t="s">
        <v>1718</v>
      </c>
      <c r="E32" s="3630"/>
      <c r="F32" s="3630"/>
      <c r="G32" s="3630"/>
      <c r="H32" s="3630"/>
      <c r="I32" s="3630"/>
      <c r="J32" s="3630"/>
      <c r="K32" s="3630"/>
      <c r="L32" s="3630"/>
      <c r="M32" s="3630"/>
      <c r="N32" s="3630"/>
      <c r="O32" s="3630"/>
      <c r="P32" s="3630"/>
      <c r="Q32" s="3630"/>
      <c r="R32" s="3630"/>
      <c r="S32" s="1134"/>
    </row>
    <row r="33" spans="1:19" s="1905" customFormat="1" ht="52.5" customHeight="1" x14ac:dyDescent="0.2">
      <c r="A33" s="835">
        <v>8</v>
      </c>
      <c r="B33" s="835" t="s">
        <v>22</v>
      </c>
      <c r="C33" s="1224"/>
      <c r="D33" s="3629" t="s">
        <v>1719</v>
      </c>
      <c r="E33" s="3630"/>
      <c r="F33" s="3630"/>
      <c r="G33" s="3630"/>
      <c r="H33" s="3630"/>
      <c r="I33" s="3630"/>
      <c r="J33" s="3630"/>
      <c r="K33" s="3630"/>
      <c r="L33" s="3630"/>
      <c r="M33" s="3630"/>
      <c r="N33" s="3630"/>
      <c r="O33" s="3630"/>
      <c r="P33" s="3630"/>
      <c r="Q33" s="3630"/>
      <c r="R33" s="3630"/>
      <c r="S33" s="1134"/>
    </row>
    <row r="36" spans="1:19" x14ac:dyDescent="0.2">
      <c r="E36" s="1907"/>
      <c r="F36" s="1907"/>
      <c r="G36" s="1907"/>
      <c r="H36" s="1907"/>
      <c r="I36" s="1907"/>
      <c r="J36" s="1907"/>
      <c r="K36" s="1907"/>
      <c r="L36" s="1907"/>
      <c r="M36" s="1907"/>
      <c r="N36" s="1907"/>
      <c r="O36" s="1907"/>
    </row>
    <row r="37" spans="1:19" x14ac:dyDescent="0.2">
      <c r="E37" s="1907"/>
      <c r="F37" s="1907"/>
      <c r="G37" s="1907"/>
      <c r="H37" s="1907"/>
      <c r="I37" s="1907"/>
      <c r="J37" s="1907"/>
      <c r="K37" s="1907"/>
      <c r="L37" s="1907"/>
      <c r="M37" s="1907"/>
      <c r="N37" s="1907"/>
      <c r="O37" s="1907"/>
    </row>
    <row r="38" spans="1:19" x14ac:dyDescent="0.2">
      <c r="E38" s="1907"/>
      <c r="F38" s="1907"/>
      <c r="G38" s="1907"/>
      <c r="H38" s="1907"/>
      <c r="I38" s="1907"/>
      <c r="J38" s="1907"/>
      <c r="K38" s="1907"/>
      <c r="L38" s="1907"/>
      <c r="M38" s="1907"/>
      <c r="N38" s="1907"/>
      <c r="O38" s="1907"/>
    </row>
    <row r="39" spans="1:19" x14ac:dyDescent="0.2">
      <c r="E39" s="1907"/>
      <c r="F39" s="1907"/>
      <c r="G39" s="1907"/>
      <c r="H39" s="1907"/>
      <c r="I39" s="1907"/>
      <c r="J39" s="1907"/>
      <c r="K39" s="1907"/>
      <c r="L39" s="1907"/>
      <c r="M39" s="1907"/>
      <c r="N39" s="1907"/>
      <c r="O39" s="1907"/>
    </row>
    <row r="40" spans="1:19" x14ac:dyDescent="0.2">
      <c r="E40" s="1907"/>
      <c r="F40" s="1907"/>
      <c r="G40" s="1907"/>
      <c r="H40" s="1907"/>
      <c r="I40" s="1907"/>
      <c r="J40" s="1907"/>
      <c r="K40" s="1907"/>
      <c r="L40" s="1907"/>
      <c r="M40" s="1907"/>
      <c r="N40" s="1907"/>
      <c r="O40" s="1907"/>
    </row>
    <row r="41" spans="1:19" x14ac:dyDescent="0.2">
      <c r="E41" s="1907"/>
      <c r="F41" s="1907"/>
      <c r="G41" s="1907"/>
      <c r="H41" s="1907"/>
      <c r="I41" s="1907"/>
      <c r="J41" s="1907"/>
      <c r="K41" s="1907"/>
      <c r="L41" s="1907"/>
      <c r="M41" s="1907"/>
      <c r="N41" s="1907"/>
      <c r="O41" s="1907"/>
    </row>
    <row r="42" spans="1:19" x14ac:dyDescent="0.2">
      <c r="E42" s="1907"/>
      <c r="F42" s="1907"/>
      <c r="G42" s="1907"/>
      <c r="H42" s="1907"/>
      <c r="I42" s="1907"/>
      <c r="J42" s="1907"/>
      <c r="K42" s="1907"/>
      <c r="L42" s="1907"/>
      <c r="M42" s="1907"/>
      <c r="N42" s="1907"/>
      <c r="O42" s="1907"/>
    </row>
    <row r="43" spans="1:19" x14ac:dyDescent="0.2">
      <c r="E43" s="1907"/>
      <c r="F43" s="1907"/>
      <c r="G43" s="1907"/>
      <c r="H43" s="1907"/>
      <c r="I43" s="1907"/>
      <c r="J43" s="1907"/>
      <c r="K43" s="1907"/>
      <c r="L43" s="1907"/>
      <c r="M43" s="1907"/>
      <c r="N43" s="1907"/>
      <c r="O43" s="1907"/>
    </row>
    <row r="44" spans="1:19" x14ac:dyDescent="0.2">
      <c r="E44" s="1907"/>
      <c r="F44" s="1907"/>
      <c r="G44" s="1907"/>
      <c r="H44" s="1907"/>
      <c r="I44" s="1907"/>
      <c r="J44" s="1907"/>
      <c r="K44" s="1907"/>
      <c r="L44" s="1907"/>
      <c r="M44" s="1907"/>
      <c r="N44" s="1907"/>
      <c r="O44" s="1907"/>
    </row>
    <row r="45" spans="1:19" x14ac:dyDescent="0.2">
      <c r="E45" s="1907"/>
      <c r="F45" s="1907"/>
      <c r="G45" s="1907"/>
      <c r="H45" s="1907"/>
      <c r="I45" s="1907"/>
      <c r="J45" s="1907"/>
      <c r="K45" s="1907"/>
      <c r="L45" s="1907"/>
      <c r="M45" s="1907"/>
      <c r="N45" s="1907"/>
      <c r="O45" s="1907"/>
    </row>
    <row r="46" spans="1:19" x14ac:dyDescent="0.2">
      <c r="E46" s="1907"/>
      <c r="F46" s="1907"/>
      <c r="G46" s="1907"/>
      <c r="H46" s="1907"/>
      <c r="I46" s="1907"/>
      <c r="J46" s="1907"/>
      <c r="K46" s="1907"/>
      <c r="L46" s="1907"/>
      <c r="M46" s="1907"/>
      <c r="N46" s="1907"/>
      <c r="O46" s="1907"/>
    </row>
    <row r="47" spans="1:19" x14ac:dyDescent="0.2">
      <c r="E47" s="1907"/>
      <c r="F47" s="1907"/>
      <c r="G47" s="1907"/>
      <c r="H47" s="1907"/>
      <c r="I47" s="1907"/>
      <c r="J47" s="1907"/>
      <c r="K47" s="1907"/>
      <c r="L47" s="1907"/>
      <c r="M47" s="1907"/>
      <c r="N47" s="1907"/>
      <c r="O47" s="1907"/>
    </row>
    <row r="48" spans="1:19" x14ac:dyDescent="0.2">
      <c r="E48" s="1907"/>
      <c r="F48" s="1907"/>
      <c r="G48" s="1907"/>
      <c r="H48" s="1907"/>
      <c r="I48" s="1907"/>
      <c r="J48" s="1907"/>
      <c r="K48" s="1907"/>
      <c r="L48" s="1907"/>
      <c r="M48" s="1907"/>
      <c r="N48" s="1907"/>
      <c r="O48" s="1907"/>
    </row>
    <row r="49" spans="5:15" x14ac:dyDescent="0.2">
      <c r="E49" s="1907"/>
      <c r="F49" s="1907"/>
      <c r="G49" s="1907"/>
      <c r="H49" s="1907"/>
      <c r="I49" s="1907"/>
      <c r="J49" s="1907"/>
      <c r="K49" s="1907"/>
      <c r="L49" s="1907"/>
      <c r="M49" s="1907"/>
      <c r="N49" s="1907"/>
      <c r="O49" s="1907"/>
    </row>
    <row r="50" spans="5:15" x14ac:dyDescent="0.2">
      <c r="E50" s="1907"/>
      <c r="F50" s="1907"/>
      <c r="G50" s="1907"/>
      <c r="H50" s="1907"/>
      <c r="I50" s="1907"/>
      <c r="J50" s="1907"/>
      <c r="K50" s="1907"/>
      <c r="L50" s="1907"/>
      <c r="M50" s="1907"/>
      <c r="N50" s="1907"/>
      <c r="O50" s="1907"/>
    </row>
    <row r="51" spans="5:15" x14ac:dyDescent="0.2">
      <c r="E51" s="1907"/>
      <c r="F51" s="1907"/>
      <c r="G51" s="1907"/>
      <c r="H51" s="1907"/>
      <c r="I51" s="1907"/>
      <c r="J51" s="1907"/>
      <c r="K51" s="1907"/>
      <c r="L51" s="1907"/>
      <c r="M51" s="1907"/>
      <c r="N51" s="1907"/>
      <c r="O51" s="1907"/>
    </row>
    <row r="52" spans="5:15" x14ac:dyDescent="0.2">
      <c r="E52" s="1907"/>
      <c r="F52" s="1907"/>
      <c r="G52" s="1907"/>
      <c r="H52" s="1907"/>
      <c r="I52" s="1907"/>
      <c r="J52" s="1907"/>
      <c r="K52" s="1907"/>
      <c r="L52" s="1907"/>
      <c r="M52" s="1907"/>
      <c r="N52" s="1907"/>
      <c r="O52" s="1907"/>
    </row>
    <row r="53" spans="5:15" x14ac:dyDescent="0.2">
      <c r="E53" s="1907"/>
      <c r="F53" s="1907"/>
      <c r="G53" s="1907"/>
      <c r="H53" s="1907"/>
      <c r="I53" s="1907"/>
      <c r="J53" s="1907"/>
      <c r="K53" s="1907"/>
      <c r="L53" s="1907"/>
      <c r="M53" s="1907"/>
      <c r="N53" s="1907"/>
      <c r="O53" s="1907"/>
    </row>
    <row r="54" spans="5:15" x14ac:dyDescent="0.2">
      <c r="E54" s="1907"/>
      <c r="F54" s="1907"/>
      <c r="G54" s="1907"/>
      <c r="H54" s="1907"/>
      <c r="I54" s="1907"/>
      <c r="J54" s="1907"/>
      <c r="K54" s="1907"/>
      <c r="L54" s="1907"/>
      <c r="M54" s="1907"/>
      <c r="N54" s="1907"/>
      <c r="O54" s="1907"/>
    </row>
    <row r="55" spans="5:15" x14ac:dyDescent="0.2">
      <c r="E55" s="1907"/>
      <c r="F55" s="1907"/>
      <c r="G55" s="1907"/>
      <c r="H55" s="1907"/>
      <c r="I55" s="1907"/>
      <c r="J55" s="1907"/>
      <c r="K55" s="1907"/>
      <c r="L55" s="1907"/>
      <c r="M55" s="1907"/>
      <c r="N55" s="1907"/>
      <c r="O55" s="1907"/>
    </row>
    <row r="56" spans="5:15" x14ac:dyDescent="0.2">
      <c r="E56" s="1907"/>
      <c r="F56" s="1907"/>
      <c r="G56" s="1907"/>
      <c r="H56" s="1907"/>
      <c r="I56" s="1907"/>
      <c r="J56" s="1907"/>
      <c r="K56" s="1907"/>
      <c r="L56" s="1907"/>
      <c r="M56" s="1907"/>
      <c r="N56" s="1907"/>
      <c r="O56" s="1907"/>
    </row>
    <row r="57" spans="5:15" x14ac:dyDescent="0.2">
      <c r="E57" s="1907"/>
      <c r="F57" s="1907"/>
      <c r="G57" s="1907"/>
      <c r="H57" s="1907"/>
      <c r="I57" s="1907"/>
      <c r="J57" s="1907"/>
      <c r="K57" s="1907"/>
      <c r="L57" s="1907"/>
      <c r="M57" s="1907"/>
      <c r="N57" s="1907"/>
      <c r="O57" s="1907"/>
    </row>
    <row r="58" spans="5:15" x14ac:dyDescent="0.2">
      <c r="E58" s="1907"/>
      <c r="F58" s="1907"/>
      <c r="G58" s="1907"/>
      <c r="H58" s="1907"/>
      <c r="I58" s="1907"/>
      <c r="J58" s="1907"/>
      <c r="K58" s="1907"/>
      <c r="L58" s="1907"/>
      <c r="M58" s="1907"/>
      <c r="N58" s="1907"/>
      <c r="O58" s="1907"/>
    </row>
    <row r="59" spans="5:15" x14ac:dyDescent="0.2">
      <c r="E59" s="1907"/>
      <c r="F59" s="1907"/>
      <c r="G59" s="1907"/>
      <c r="H59" s="1907"/>
      <c r="I59" s="1907"/>
      <c r="J59" s="1907"/>
      <c r="K59" s="1907"/>
      <c r="L59" s="1907"/>
      <c r="M59" s="1907"/>
      <c r="N59" s="1907"/>
      <c r="O59" s="1907"/>
    </row>
    <row r="60" spans="5:15" x14ac:dyDescent="0.2">
      <c r="E60" s="1907"/>
      <c r="F60" s="1907"/>
      <c r="G60" s="1907"/>
      <c r="H60" s="1907"/>
      <c r="I60" s="1907"/>
      <c r="J60" s="1907"/>
      <c r="K60" s="1907"/>
      <c r="L60" s="1907"/>
      <c r="M60" s="1907"/>
      <c r="N60" s="1907"/>
      <c r="O60" s="1907"/>
    </row>
    <row r="61" spans="5:15" x14ac:dyDescent="0.2">
      <c r="E61" s="1907"/>
      <c r="F61" s="1907"/>
      <c r="G61" s="1907"/>
      <c r="H61" s="1907"/>
      <c r="I61" s="1907"/>
      <c r="J61" s="1907"/>
      <c r="K61" s="1907"/>
      <c r="L61" s="1907"/>
      <c r="M61" s="1907"/>
      <c r="N61" s="1907"/>
      <c r="O61" s="1907"/>
    </row>
    <row r="62" spans="5:15" x14ac:dyDescent="0.2">
      <c r="E62" s="1907"/>
      <c r="F62" s="1907"/>
      <c r="G62" s="1907"/>
      <c r="H62" s="1907"/>
      <c r="I62" s="1907"/>
      <c r="J62" s="1907"/>
      <c r="K62" s="1907"/>
      <c r="L62" s="1907"/>
      <c r="M62" s="1907"/>
      <c r="N62" s="1907"/>
      <c r="O62" s="1907"/>
    </row>
  </sheetData>
  <mergeCells count="7">
    <mergeCell ref="D33:R33"/>
    <mergeCell ref="D2:R2"/>
    <mergeCell ref="D3:R3"/>
    <mergeCell ref="D4:R4"/>
    <mergeCell ref="D30:R30"/>
    <mergeCell ref="D31:R31"/>
    <mergeCell ref="D32:R32"/>
  </mergeCells>
  <pageMargins left="0.74803149606299213" right="0.74803149606299213" top="0.98425196850393704" bottom="0.98425196850393704" header="0.51181102362204722" footer="0.51181102362204722"/>
  <pageSetup paperSize="9" scale="67" orientation="landscape" r:id="rId1"/>
  <headerFooter alignWithMargins="0">
    <oddHeader>&amp;C&amp;"-,Bold"DEVELOPMENT INDICATORS 2014</oddHeader>
    <oddFooter>&amp;LDepartment of Planning, Monitoring and Evaluation (DPME). &amp;CPage &amp;P of &amp;N&amp;R&amp;D</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8"/>
  <sheetViews>
    <sheetView showGridLines="0" view="pageBreakPreview" topLeftCell="J34" zoomScaleNormal="100" zoomScaleSheetLayoutView="100" workbookViewId="0">
      <selection activeCell="U31" sqref="U31"/>
    </sheetView>
  </sheetViews>
  <sheetFormatPr defaultColWidth="9.140625" defaultRowHeight="15" x14ac:dyDescent="0.25"/>
  <cols>
    <col min="1" max="1" width="3.7109375" style="453" customWidth="1"/>
    <col min="2" max="2" width="14.42578125" style="670" customWidth="1"/>
    <col min="3" max="3" width="3.7109375" style="670" customWidth="1"/>
    <col min="4" max="4" width="18" style="229" bestFit="1" customWidth="1"/>
    <col min="5" max="20" width="7.42578125" style="229" customWidth="1"/>
    <col min="21" max="22" width="6.7109375" style="229" customWidth="1"/>
    <col min="23" max="16384" width="9.140625" style="229"/>
  </cols>
  <sheetData>
    <row r="1" spans="1:26" x14ac:dyDescent="0.25">
      <c r="D1" s="996"/>
      <c r="E1" s="996"/>
      <c r="F1" s="996"/>
      <c r="G1" s="996"/>
      <c r="H1" s="996"/>
      <c r="I1" s="996"/>
      <c r="J1" s="996"/>
      <c r="K1" s="996"/>
      <c r="L1" s="996"/>
      <c r="M1" s="996"/>
      <c r="N1" s="996"/>
      <c r="O1" s="996"/>
      <c r="P1" s="996"/>
      <c r="Q1" s="996"/>
      <c r="R1" s="996"/>
      <c r="S1" s="996"/>
    </row>
    <row r="2" spans="1:26" ht="14.45" customHeight="1" x14ac:dyDescent="0.25">
      <c r="A2" s="453">
        <v>1</v>
      </c>
      <c r="B2" s="453" t="s">
        <v>24</v>
      </c>
      <c r="C2" s="453">
        <f>1+'Cases in court'!C2</f>
        <v>71</v>
      </c>
      <c r="D2" s="3553" t="s">
        <v>1720</v>
      </c>
      <c r="E2" s="3554"/>
      <c r="F2" s="3554"/>
      <c r="G2" s="3554"/>
      <c r="H2" s="3554"/>
      <c r="I2" s="3554"/>
      <c r="J2" s="3554"/>
      <c r="K2" s="3554"/>
      <c r="L2" s="3554"/>
      <c r="M2" s="3554"/>
      <c r="N2" s="3554"/>
      <c r="O2" s="3554"/>
      <c r="P2" s="3554"/>
      <c r="Q2" s="3554"/>
      <c r="R2" s="3554"/>
      <c r="S2" s="3554"/>
      <c r="T2" s="3554"/>
      <c r="U2" s="3554"/>
      <c r="V2" s="3554"/>
      <c r="W2" s="3554"/>
      <c r="X2" s="3554"/>
      <c r="Y2" s="3555"/>
    </row>
    <row r="3" spans="1:26" x14ac:dyDescent="0.25">
      <c r="A3" s="453">
        <v>2</v>
      </c>
      <c r="B3" s="453" t="s">
        <v>26</v>
      </c>
      <c r="C3" s="453"/>
      <c r="D3" s="3553" t="s">
        <v>1721</v>
      </c>
      <c r="E3" s="3554"/>
      <c r="F3" s="3554"/>
      <c r="G3" s="3554"/>
      <c r="H3" s="3554"/>
      <c r="I3" s="3554"/>
      <c r="J3" s="3554"/>
      <c r="K3" s="3554"/>
      <c r="L3" s="3554"/>
      <c r="M3" s="3554"/>
      <c r="N3" s="3554"/>
      <c r="O3" s="3554"/>
      <c r="P3" s="3554"/>
      <c r="Q3" s="3554"/>
      <c r="R3" s="3554"/>
      <c r="S3" s="3554"/>
      <c r="T3" s="3554"/>
      <c r="U3" s="3554"/>
      <c r="V3" s="3554"/>
      <c r="W3" s="3554"/>
      <c r="X3" s="3554"/>
      <c r="Y3" s="3555"/>
    </row>
    <row r="4" spans="1:26" ht="15" customHeight="1" x14ac:dyDescent="0.25">
      <c r="A4" s="453">
        <v>3</v>
      </c>
      <c r="B4" s="453" t="s">
        <v>28</v>
      </c>
      <c r="C4" s="453"/>
      <c r="D4" s="3553" t="s">
        <v>1722</v>
      </c>
      <c r="E4" s="3554"/>
      <c r="F4" s="3554"/>
      <c r="G4" s="3554"/>
      <c r="H4" s="3554"/>
      <c r="I4" s="3554"/>
      <c r="J4" s="3554"/>
      <c r="K4" s="3554"/>
      <c r="L4" s="3554"/>
      <c r="M4" s="3554"/>
      <c r="N4" s="3554"/>
      <c r="O4" s="3554"/>
      <c r="P4" s="3554"/>
      <c r="Q4" s="3554"/>
      <c r="R4" s="3554"/>
      <c r="S4" s="3554"/>
      <c r="T4" s="3554"/>
      <c r="U4" s="3554"/>
      <c r="V4" s="3554"/>
      <c r="W4" s="3554"/>
      <c r="X4" s="3554"/>
      <c r="Y4" s="3555"/>
    </row>
    <row r="5" spans="1:26" ht="15" customHeight="1" x14ac:dyDescent="0.25">
      <c r="A5" s="1170"/>
      <c r="B5" s="1170"/>
      <c r="C5" s="1170"/>
      <c r="D5" s="1439"/>
      <c r="E5" s="1439"/>
      <c r="F5" s="1440"/>
      <c r="G5" s="1440"/>
      <c r="H5" s="1440"/>
      <c r="I5" s="1440"/>
      <c r="J5" s="1440"/>
      <c r="K5" s="1440"/>
      <c r="L5" s="1440"/>
      <c r="M5" s="1440"/>
      <c r="N5" s="1440"/>
      <c r="O5" s="1440"/>
      <c r="P5" s="1440"/>
      <c r="Q5" s="1440"/>
      <c r="R5" s="1440"/>
      <c r="S5" s="1440"/>
      <c r="T5" s="1440"/>
      <c r="U5" s="1440"/>
    </row>
    <row r="6" spans="1:26" x14ac:dyDescent="0.25">
      <c r="A6" s="453">
        <v>4</v>
      </c>
      <c r="B6" s="650" t="s">
        <v>1</v>
      </c>
      <c r="C6" s="722"/>
      <c r="F6" s="1876"/>
      <c r="G6" s="1876"/>
      <c r="H6" s="1876"/>
      <c r="I6" s="1876"/>
      <c r="J6" s="1876"/>
      <c r="K6" s="1876"/>
      <c r="L6" s="1876"/>
      <c r="M6" s="1876"/>
      <c r="N6" s="1876"/>
      <c r="O6" s="1876"/>
      <c r="P6" s="1876"/>
      <c r="Q6" s="1876"/>
      <c r="R6" s="1876"/>
      <c r="S6" s="1876"/>
      <c r="T6" s="1876"/>
      <c r="U6" s="1876"/>
      <c r="V6" s="1876"/>
    </row>
    <row r="7" spans="1:26" s="1856" customFormat="1" x14ac:dyDescent="0.25">
      <c r="A7" s="1850"/>
      <c r="B7" s="1850"/>
      <c r="C7" s="1850"/>
      <c r="D7" s="120" t="s">
        <v>103</v>
      </c>
      <c r="E7" s="119"/>
      <c r="F7" s="1441" t="s">
        <v>1723</v>
      </c>
      <c r="G7" s="614"/>
      <c r="H7" s="614"/>
      <c r="I7" s="1877"/>
      <c r="J7" s="1877"/>
      <c r="K7" s="1877"/>
      <c r="L7" s="1877"/>
      <c r="M7" s="715"/>
      <c r="N7" s="1878"/>
      <c r="O7" s="1878"/>
      <c r="P7" s="1878"/>
      <c r="Q7" s="1878"/>
      <c r="R7" s="219"/>
      <c r="S7" s="1879"/>
      <c r="T7" s="1879"/>
      <c r="U7" s="1879"/>
      <c r="V7" s="1879"/>
      <c r="W7" s="1879"/>
      <c r="X7" s="1879"/>
      <c r="Y7" s="1879"/>
      <c r="Z7" s="1879"/>
    </row>
    <row r="8" spans="1:26" x14ac:dyDescent="0.25">
      <c r="D8" s="2975"/>
      <c r="E8" s="1515" t="s">
        <v>125</v>
      </c>
      <c r="F8" s="1515" t="s">
        <v>126</v>
      </c>
      <c r="G8" s="1515" t="s">
        <v>127</v>
      </c>
      <c r="H8" s="1515" t="s">
        <v>128</v>
      </c>
      <c r="I8" s="1515" t="s">
        <v>129</v>
      </c>
      <c r="J8" s="1515" t="s">
        <v>130</v>
      </c>
      <c r="K8" s="799" t="s">
        <v>131</v>
      </c>
      <c r="L8" s="1515" t="s">
        <v>132</v>
      </c>
      <c r="M8" s="1515" t="s">
        <v>133</v>
      </c>
      <c r="N8" s="1515" t="s">
        <v>134</v>
      </c>
      <c r="O8" s="1515" t="s">
        <v>135</v>
      </c>
      <c r="P8" s="1515" t="s">
        <v>136</v>
      </c>
      <c r="Q8" s="1515" t="s">
        <v>137</v>
      </c>
      <c r="R8" s="1515" t="s">
        <v>138</v>
      </c>
      <c r="S8" s="1515" t="s">
        <v>139</v>
      </c>
      <c r="T8" s="1515" t="s">
        <v>140</v>
      </c>
      <c r="U8" s="1515" t="s">
        <v>141</v>
      </c>
      <c r="V8" s="1515" t="s">
        <v>142</v>
      </c>
      <c r="W8" s="1515" t="s">
        <v>143</v>
      </c>
      <c r="X8" s="1515" t="s">
        <v>144</v>
      </c>
      <c r="Y8" s="3010" t="s">
        <v>145</v>
      </c>
      <c r="Z8" s="1517"/>
    </row>
    <row r="9" spans="1:26" ht="18.75" customHeight="1" x14ac:dyDescent="0.25">
      <c r="D9" s="3036" t="s">
        <v>1724</v>
      </c>
      <c r="E9" s="1030">
        <v>91853</v>
      </c>
      <c r="F9" s="1030">
        <v>86708</v>
      </c>
      <c r="G9" s="1030">
        <v>88885</v>
      </c>
      <c r="H9" s="1030">
        <v>97504</v>
      </c>
      <c r="I9" s="1030">
        <v>95835</v>
      </c>
      <c r="J9" s="1030">
        <v>99692</v>
      </c>
      <c r="K9" s="1030">
        <v>109072</v>
      </c>
      <c r="L9" s="1030">
        <v>115897</v>
      </c>
      <c r="M9" s="1030">
        <v>125322</v>
      </c>
      <c r="N9" s="1030">
        <v>130940</v>
      </c>
      <c r="O9" s="1030">
        <v>134487</v>
      </c>
      <c r="P9" s="1030">
        <v>122410</v>
      </c>
      <c r="Q9" s="1030">
        <v>113711</v>
      </c>
      <c r="R9" s="1030">
        <v>111230</v>
      </c>
      <c r="S9" s="1030">
        <v>109877</v>
      </c>
      <c r="T9" s="1030">
        <v>114972</v>
      </c>
      <c r="U9" s="1030">
        <v>113571</v>
      </c>
      <c r="V9" s="1030">
        <v>112535</v>
      </c>
      <c r="W9" s="1030">
        <v>104335</v>
      </c>
      <c r="X9" s="1030">
        <v>111008</v>
      </c>
      <c r="Y9" s="3041">
        <v>116265</v>
      </c>
      <c r="Z9" s="1030"/>
    </row>
    <row r="10" spans="1:26" x14ac:dyDescent="0.25">
      <c r="D10" s="3037" t="s">
        <v>1725</v>
      </c>
      <c r="E10" s="1880">
        <v>22021</v>
      </c>
      <c r="F10" s="1880">
        <v>23412</v>
      </c>
      <c r="G10" s="1881">
        <v>29514</v>
      </c>
      <c r="H10" s="1881">
        <v>36698</v>
      </c>
      <c r="I10" s="1880">
        <v>45607</v>
      </c>
      <c r="J10" s="1881">
        <v>54884</v>
      </c>
      <c r="K10" s="1880">
        <v>57262</v>
      </c>
      <c r="L10" s="1881">
        <v>53662</v>
      </c>
      <c r="M10" s="1880">
        <v>53996</v>
      </c>
      <c r="N10" s="1880">
        <v>53901</v>
      </c>
      <c r="O10" s="1880">
        <v>51020</v>
      </c>
      <c r="P10" s="1880">
        <v>46971</v>
      </c>
      <c r="Q10" s="1880">
        <v>44884</v>
      </c>
      <c r="R10" s="1880">
        <v>47595</v>
      </c>
      <c r="S10" s="1881">
        <v>49150</v>
      </c>
      <c r="T10" s="1881">
        <v>47602</v>
      </c>
      <c r="U10" s="1881">
        <v>47350</v>
      </c>
      <c r="V10" s="1881">
        <v>49696</v>
      </c>
      <c r="W10" s="1881">
        <v>46090</v>
      </c>
      <c r="X10" s="1881">
        <v>44702</v>
      </c>
      <c r="Y10" s="3042">
        <v>43298</v>
      </c>
      <c r="Z10" s="1882"/>
    </row>
    <row r="11" spans="1:26" x14ac:dyDescent="0.25">
      <c r="D11" s="2982" t="s">
        <v>11</v>
      </c>
      <c r="E11" s="1030"/>
      <c r="F11" s="1030">
        <v>634</v>
      </c>
      <c r="G11" s="1884">
        <v>807</v>
      </c>
      <c r="H11" s="1884">
        <v>1059</v>
      </c>
      <c r="I11" s="1030">
        <v>1174</v>
      </c>
      <c r="J11" s="1884">
        <v>1302</v>
      </c>
      <c r="K11" s="1030">
        <v>1370</v>
      </c>
      <c r="L11" s="1884">
        <v>1236</v>
      </c>
      <c r="M11" s="1030">
        <v>1215</v>
      </c>
      <c r="N11" s="1030">
        <v>1159</v>
      </c>
      <c r="O11" s="1030">
        <v>1052</v>
      </c>
      <c r="P11" s="1030">
        <v>969</v>
      </c>
      <c r="Q11" s="1030">
        <v>920</v>
      </c>
      <c r="R11" s="1030">
        <v>961</v>
      </c>
      <c r="S11" s="1884">
        <v>1016</v>
      </c>
      <c r="T11" s="1884">
        <v>1022</v>
      </c>
      <c r="U11" s="1884">
        <v>978</v>
      </c>
      <c r="V11" s="1884">
        <v>1030</v>
      </c>
      <c r="W11" s="1884">
        <v>988</v>
      </c>
      <c r="X11" s="1884">
        <v>1005</v>
      </c>
      <c r="Y11" s="3043">
        <v>1089</v>
      </c>
      <c r="Z11" s="1884"/>
    </row>
    <row r="12" spans="1:26" x14ac:dyDescent="0.25">
      <c r="D12" s="2982" t="s">
        <v>10</v>
      </c>
      <c r="E12" s="1030"/>
      <c r="F12" s="1030">
        <v>22976</v>
      </c>
      <c r="G12" s="1884">
        <v>29257</v>
      </c>
      <c r="H12" s="1884">
        <v>36060</v>
      </c>
      <c r="I12" s="1030">
        <v>45264</v>
      </c>
      <c r="J12" s="1884">
        <v>54029</v>
      </c>
      <c r="K12" s="1030">
        <v>56184</v>
      </c>
      <c r="L12" s="1884">
        <v>52368</v>
      </c>
      <c r="M12" s="1030">
        <v>52686</v>
      </c>
      <c r="N12" s="1030">
        <v>52832</v>
      </c>
      <c r="O12" s="1030">
        <v>50096</v>
      </c>
      <c r="P12" s="1030">
        <v>46274</v>
      </c>
      <c r="Q12" s="1030">
        <v>44087</v>
      </c>
      <c r="R12" s="1030">
        <v>47735</v>
      </c>
      <c r="S12" s="1884">
        <v>48756</v>
      </c>
      <c r="T12" s="1884">
        <v>47185</v>
      </c>
      <c r="U12" s="1884">
        <v>47253</v>
      </c>
      <c r="V12" s="1884">
        <v>44868</v>
      </c>
      <c r="W12" s="1884">
        <v>44742</v>
      </c>
      <c r="X12" s="1884">
        <v>43853</v>
      </c>
      <c r="Y12" s="3043">
        <v>42209</v>
      </c>
      <c r="Z12" s="1884"/>
    </row>
    <row r="13" spans="1:26" s="1871" customFormat="1" x14ac:dyDescent="0.25">
      <c r="A13" s="453"/>
      <c r="B13" s="1869"/>
      <c r="C13" s="1869"/>
      <c r="D13" s="3038" t="s">
        <v>261</v>
      </c>
      <c r="E13" s="1885">
        <f>SUM(E9:E10)</f>
        <v>113874</v>
      </c>
      <c r="F13" s="1885">
        <f t="shared" ref="F13:U13" si="0">+F9+F10</f>
        <v>110120</v>
      </c>
      <c r="G13" s="1885">
        <f t="shared" si="0"/>
        <v>118399</v>
      </c>
      <c r="H13" s="1885">
        <f t="shared" si="0"/>
        <v>134202</v>
      </c>
      <c r="I13" s="1885">
        <f t="shared" si="0"/>
        <v>141442</v>
      </c>
      <c r="J13" s="1885">
        <f t="shared" si="0"/>
        <v>154576</v>
      </c>
      <c r="K13" s="1885">
        <f t="shared" si="0"/>
        <v>166334</v>
      </c>
      <c r="L13" s="1885">
        <f t="shared" si="0"/>
        <v>169559</v>
      </c>
      <c r="M13" s="1885">
        <f t="shared" si="0"/>
        <v>179318</v>
      </c>
      <c r="N13" s="1885">
        <f t="shared" si="0"/>
        <v>184841</v>
      </c>
      <c r="O13" s="1885">
        <f t="shared" si="0"/>
        <v>185507</v>
      </c>
      <c r="P13" s="1885">
        <f t="shared" si="0"/>
        <v>169381</v>
      </c>
      <c r="Q13" s="1885">
        <f t="shared" si="0"/>
        <v>158595</v>
      </c>
      <c r="R13" s="1885">
        <f t="shared" si="0"/>
        <v>158825</v>
      </c>
      <c r="S13" s="1885">
        <f t="shared" si="0"/>
        <v>159027</v>
      </c>
      <c r="T13" s="1885">
        <f t="shared" si="0"/>
        <v>162574</v>
      </c>
      <c r="U13" s="1885">
        <f t="shared" si="0"/>
        <v>160921</v>
      </c>
      <c r="V13" s="1885">
        <f>+V9+V10</f>
        <v>162231</v>
      </c>
      <c r="W13" s="1885">
        <f>+W9+W10</f>
        <v>150425</v>
      </c>
      <c r="X13" s="1885">
        <f>+X9+X10</f>
        <v>155710</v>
      </c>
      <c r="Y13" s="3044">
        <v>159563</v>
      </c>
      <c r="Z13" s="1886"/>
    </row>
    <row r="14" spans="1:26" x14ac:dyDescent="0.25">
      <c r="A14" s="745"/>
      <c r="B14" s="1887"/>
      <c r="C14" s="1887"/>
      <c r="D14" s="1442"/>
      <c r="E14" s="1442"/>
      <c r="F14" s="1442"/>
      <c r="G14" s="1442"/>
      <c r="H14" s="1442"/>
      <c r="I14" s="1442"/>
      <c r="J14" s="1442"/>
      <c r="K14" s="1442"/>
      <c r="L14" s="1442"/>
      <c r="M14" s="1442"/>
      <c r="N14" s="1442"/>
      <c r="O14" s="1442"/>
      <c r="P14" s="1442"/>
      <c r="Q14" s="1442"/>
      <c r="R14" s="1442"/>
      <c r="S14" s="1442"/>
      <c r="T14" s="1442"/>
      <c r="U14" s="1442"/>
      <c r="V14" s="117"/>
      <c r="W14" s="117"/>
      <c r="Z14" s="117"/>
    </row>
    <row r="15" spans="1:26" s="1856" customFormat="1" x14ac:dyDescent="0.25">
      <c r="A15" s="1850"/>
      <c r="B15" s="1850"/>
      <c r="C15" s="1850"/>
      <c r="D15" s="120" t="s">
        <v>103</v>
      </c>
      <c r="E15" s="120"/>
      <c r="F15" s="1443" t="s">
        <v>1726</v>
      </c>
      <c r="G15" s="1443"/>
      <c r="H15" s="1443"/>
      <c r="I15" s="1888"/>
      <c r="J15" s="1888"/>
      <c r="K15" s="1888"/>
      <c r="L15" s="1888"/>
      <c r="M15" s="1889"/>
      <c r="N15" s="1890"/>
      <c r="O15" s="1890"/>
      <c r="P15" s="1890"/>
      <c r="Q15" s="1890"/>
      <c r="R15" s="1888"/>
      <c r="S15" s="1891"/>
      <c r="T15" s="1891"/>
      <c r="U15" s="1891"/>
      <c r="V15" s="1891"/>
      <c r="W15" s="1892"/>
      <c r="Z15" s="1892"/>
    </row>
    <row r="16" spans="1:26" x14ac:dyDescent="0.25">
      <c r="D16" s="3032"/>
      <c r="E16" s="1515" t="s">
        <v>125</v>
      </c>
      <c r="F16" s="1515" t="s">
        <v>126</v>
      </c>
      <c r="G16" s="1515" t="s">
        <v>127</v>
      </c>
      <c r="H16" s="1515" t="s">
        <v>128</v>
      </c>
      <c r="I16" s="1515" t="s">
        <v>129</v>
      </c>
      <c r="J16" s="1515" t="s">
        <v>130</v>
      </c>
      <c r="K16" s="799" t="s">
        <v>131</v>
      </c>
      <c r="L16" s="1515" t="s">
        <v>132</v>
      </c>
      <c r="M16" s="1515" t="s">
        <v>133</v>
      </c>
      <c r="N16" s="1515" t="s">
        <v>134</v>
      </c>
      <c r="O16" s="1515" t="s">
        <v>135</v>
      </c>
      <c r="P16" s="1515" t="s">
        <v>136</v>
      </c>
      <c r="Q16" s="1515" t="s">
        <v>137</v>
      </c>
      <c r="R16" s="1515" t="s">
        <v>138</v>
      </c>
      <c r="S16" s="1515" t="s">
        <v>139</v>
      </c>
      <c r="T16" s="1515" t="s">
        <v>140</v>
      </c>
      <c r="U16" s="1515" t="s">
        <v>141</v>
      </c>
      <c r="V16" s="1515" t="s">
        <v>142</v>
      </c>
      <c r="W16" s="1515" t="s">
        <v>143</v>
      </c>
      <c r="X16" s="1515" t="s">
        <v>144</v>
      </c>
      <c r="Y16" s="3010" t="s">
        <v>145</v>
      </c>
      <c r="Z16" s="1893"/>
    </row>
    <row r="17" spans="1:27" ht="18.75" customHeight="1" x14ac:dyDescent="0.25">
      <c r="D17" s="2982" t="s">
        <v>1727</v>
      </c>
      <c r="E17" s="1030"/>
      <c r="F17" s="1030">
        <v>35488</v>
      </c>
      <c r="G17" s="1884">
        <v>36060</v>
      </c>
      <c r="H17" s="1884">
        <v>38657</v>
      </c>
      <c r="I17" s="1030">
        <v>34768</v>
      </c>
      <c r="J17" s="1884">
        <v>35540</v>
      </c>
      <c r="K17" s="1030">
        <v>37523</v>
      </c>
      <c r="L17" s="1884">
        <v>37660</v>
      </c>
      <c r="M17" s="1030">
        <v>38981</v>
      </c>
      <c r="N17" s="1030">
        <v>38639</v>
      </c>
      <c r="O17" s="1030">
        <v>37798</v>
      </c>
      <c r="P17" s="1030">
        <v>28590</v>
      </c>
      <c r="Q17" s="1030">
        <v>23898</v>
      </c>
      <c r="R17" s="1030">
        <v>24715</v>
      </c>
      <c r="S17" s="1884">
        <v>25243</v>
      </c>
      <c r="T17" s="1884">
        <v>25694</v>
      </c>
      <c r="U17" s="1030">
        <v>25575</v>
      </c>
      <c r="V17" s="1884">
        <v>25417</v>
      </c>
      <c r="W17" s="1884">
        <v>19999</v>
      </c>
      <c r="X17" s="1884">
        <v>22893</v>
      </c>
      <c r="Y17" s="3043">
        <v>23731</v>
      </c>
      <c r="Z17" s="1030"/>
      <c r="AA17" s="1876"/>
    </row>
    <row r="18" spans="1:27" ht="18.75" customHeight="1" x14ac:dyDescent="0.25">
      <c r="D18" s="2982" t="s">
        <v>1728</v>
      </c>
      <c r="E18" s="1030"/>
      <c r="F18" s="1030">
        <v>34811</v>
      </c>
      <c r="G18" s="1884">
        <v>37927</v>
      </c>
      <c r="H18" s="1884">
        <v>41328</v>
      </c>
      <c r="I18" s="1030">
        <v>41718</v>
      </c>
      <c r="J18" s="1884">
        <v>44090</v>
      </c>
      <c r="K18" s="1030">
        <v>49315</v>
      </c>
      <c r="L18" s="1884">
        <v>54194</v>
      </c>
      <c r="M18" s="1030">
        <v>59766</v>
      </c>
      <c r="N18" s="1030">
        <v>64080</v>
      </c>
      <c r="O18" s="1030">
        <v>68661</v>
      </c>
      <c r="P18" s="1030">
        <v>67254</v>
      </c>
      <c r="Q18" s="1030">
        <v>64813</v>
      </c>
      <c r="R18" s="1030">
        <v>63812</v>
      </c>
      <c r="S18" s="1030">
        <v>63559</v>
      </c>
      <c r="T18" s="1884">
        <v>63746</v>
      </c>
      <c r="U18" s="1030">
        <v>62267</v>
      </c>
      <c r="V18" s="1884">
        <v>61174</v>
      </c>
      <c r="W18" s="1884">
        <v>58242</v>
      </c>
      <c r="X18" s="1884">
        <v>59961</v>
      </c>
      <c r="Y18" s="3043">
        <v>62152</v>
      </c>
      <c r="Z18" s="1030"/>
    </row>
    <row r="19" spans="1:27" ht="18.75" customHeight="1" x14ac:dyDescent="0.25">
      <c r="D19" s="2982" t="s">
        <v>1729</v>
      </c>
      <c r="E19" s="1030"/>
      <c r="F19" s="1030">
        <v>8078</v>
      </c>
      <c r="G19" s="1884">
        <v>9477</v>
      </c>
      <c r="H19" s="1884">
        <v>10624</v>
      </c>
      <c r="I19" s="1030">
        <v>11495</v>
      </c>
      <c r="J19" s="1884">
        <v>11937</v>
      </c>
      <c r="K19" s="1030">
        <v>12859</v>
      </c>
      <c r="L19" s="1884">
        <v>14077</v>
      </c>
      <c r="M19" s="1030">
        <v>15571</v>
      </c>
      <c r="N19" s="1030">
        <v>16960</v>
      </c>
      <c r="O19" s="1030">
        <v>17911</v>
      </c>
      <c r="P19" s="1030">
        <v>18399</v>
      </c>
      <c r="Q19" s="1030">
        <v>18027</v>
      </c>
      <c r="R19" s="1030">
        <v>17744</v>
      </c>
      <c r="S19" s="1884">
        <v>18073</v>
      </c>
      <c r="T19" s="1884">
        <v>18405</v>
      </c>
      <c r="U19" s="1030">
        <v>18128</v>
      </c>
      <c r="V19" s="1884">
        <v>18040</v>
      </c>
      <c r="W19" s="1884">
        <v>18793</v>
      </c>
      <c r="X19" s="1884">
        <v>19812</v>
      </c>
      <c r="Y19" s="3043">
        <v>20535</v>
      </c>
      <c r="Z19" s="1030"/>
    </row>
    <row r="20" spans="1:27" ht="18.75" customHeight="1" x14ac:dyDescent="0.25">
      <c r="D20" s="2982" t="s">
        <v>1730</v>
      </c>
      <c r="E20" s="1030"/>
      <c r="F20" s="1030">
        <v>3458</v>
      </c>
      <c r="G20" s="1884">
        <v>3571</v>
      </c>
      <c r="H20" s="1884">
        <v>4053</v>
      </c>
      <c r="I20" s="1030">
        <v>3724</v>
      </c>
      <c r="J20" s="1884">
        <v>3671</v>
      </c>
      <c r="K20" s="1030">
        <v>3620</v>
      </c>
      <c r="L20" s="1884">
        <v>3556</v>
      </c>
      <c r="M20" s="1030">
        <v>3869</v>
      </c>
      <c r="N20" s="1030">
        <v>3746</v>
      </c>
      <c r="O20" s="1030">
        <v>3499</v>
      </c>
      <c r="P20" s="1030">
        <v>2901</v>
      </c>
      <c r="Q20" s="1030">
        <v>2562</v>
      </c>
      <c r="R20" s="1030">
        <v>2424</v>
      </c>
      <c r="S20" s="1884">
        <v>2473</v>
      </c>
      <c r="T20" s="1884">
        <v>2561</v>
      </c>
      <c r="U20" s="1030">
        <v>2641</v>
      </c>
      <c r="V20" s="1884">
        <v>2691</v>
      </c>
      <c r="W20" s="1884">
        <v>2692</v>
      </c>
      <c r="X20" s="1884">
        <v>3245</v>
      </c>
      <c r="Y20" s="3043">
        <v>3363</v>
      </c>
      <c r="Z20" s="1030"/>
    </row>
    <row r="21" spans="1:27" ht="18.75" customHeight="1" x14ac:dyDescent="0.25">
      <c r="D21" s="3039" t="s">
        <v>1441</v>
      </c>
      <c r="E21" s="1034"/>
      <c r="F21" s="1034">
        <v>5472</v>
      </c>
      <c r="G21" s="1894">
        <v>3191</v>
      </c>
      <c r="H21" s="1894">
        <v>4157</v>
      </c>
      <c r="I21" s="1034">
        <v>4118</v>
      </c>
      <c r="J21" s="1894">
        <v>5269</v>
      </c>
      <c r="K21" s="1034">
        <v>6439</v>
      </c>
      <c r="L21" s="1894">
        <v>7694</v>
      </c>
      <c r="M21" s="1034">
        <v>7985</v>
      </c>
      <c r="N21" s="1034">
        <v>7562</v>
      </c>
      <c r="O21" s="1034">
        <v>7385</v>
      </c>
      <c r="P21" s="1034">
        <v>5011</v>
      </c>
      <c r="Q21" s="1034">
        <v>4480</v>
      </c>
      <c r="R21" s="1034">
        <v>4395</v>
      </c>
      <c r="S21" s="1894">
        <v>4917</v>
      </c>
      <c r="T21" s="1894">
        <v>5285</v>
      </c>
      <c r="U21" s="1034">
        <v>5081</v>
      </c>
      <c r="V21" s="1894">
        <v>5214</v>
      </c>
      <c r="W21" s="1894">
        <v>4609</v>
      </c>
      <c r="X21" s="1894">
        <v>5097</v>
      </c>
      <c r="Y21" s="3045">
        <v>5283</v>
      </c>
      <c r="Z21" s="1030"/>
    </row>
    <row r="22" spans="1:27" ht="18.75" customHeight="1" x14ac:dyDescent="0.25">
      <c r="D22" s="374"/>
      <c r="E22" s="1030"/>
      <c r="F22" s="1030"/>
      <c r="G22" s="1882"/>
      <c r="H22" s="1882"/>
      <c r="I22" s="1030"/>
      <c r="J22" s="1882"/>
      <c r="K22" s="1030"/>
      <c r="L22" s="1882"/>
      <c r="M22" s="1030"/>
      <c r="N22" s="1030"/>
      <c r="O22" s="1030"/>
      <c r="P22" s="1030"/>
      <c r="Q22" s="1030"/>
      <c r="R22" s="1030"/>
      <c r="S22" s="1882"/>
      <c r="T22" s="1882"/>
      <c r="U22" s="1030"/>
      <c r="V22" s="1030"/>
      <c r="W22" s="1030"/>
      <c r="Z22" s="1030"/>
    </row>
    <row r="23" spans="1:27" x14ac:dyDescent="0.25">
      <c r="B23" s="453"/>
      <c r="C23" s="453"/>
      <c r="D23" s="425" t="s">
        <v>93</v>
      </c>
      <c r="E23" s="425"/>
      <c r="F23" s="425" t="s">
        <v>1731</v>
      </c>
      <c r="G23" s="1664"/>
      <c r="H23" s="1664"/>
      <c r="I23" s="1664"/>
      <c r="J23" s="1664"/>
      <c r="K23" s="1664"/>
      <c r="L23" s="1664"/>
      <c r="M23" s="1664"/>
      <c r="N23" s="1664"/>
      <c r="O23" s="1664"/>
      <c r="P23" s="1664"/>
      <c r="Q23" s="1664"/>
      <c r="R23" s="1664"/>
      <c r="S23" s="1664"/>
      <c r="T23" s="1664"/>
      <c r="U23" s="1664"/>
      <c r="V23" s="1664"/>
      <c r="W23" s="1664"/>
      <c r="Z23" s="1664"/>
    </row>
    <row r="24" spans="1:27" x14ac:dyDescent="0.25">
      <c r="D24" s="3032"/>
      <c r="E24" s="1515" t="s">
        <v>125</v>
      </c>
      <c r="F24" s="1515" t="s">
        <v>126</v>
      </c>
      <c r="G24" s="1515" t="s">
        <v>127</v>
      </c>
      <c r="H24" s="1515" t="s">
        <v>128</v>
      </c>
      <c r="I24" s="1515" t="s">
        <v>129</v>
      </c>
      <c r="J24" s="1515" t="s">
        <v>130</v>
      </c>
      <c r="K24" s="799" t="s">
        <v>131</v>
      </c>
      <c r="L24" s="1515" t="s">
        <v>132</v>
      </c>
      <c r="M24" s="1515" t="s">
        <v>133</v>
      </c>
      <c r="N24" s="1515" t="s">
        <v>134</v>
      </c>
      <c r="O24" s="1515" t="s">
        <v>135</v>
      </c>
      <c r="P24" s="1515" t="s">
        <v>136</v>
      </c>
      <c r="Q24" s="1515" t="s">
        <v>137</v>
      </c>
      <c r="R24" s="1515" t="s">
        <v>138</v>
      </c>
      <c r="S24" s="1515" t="s">
        <v>139</v>
      </c>
      <c r="T24" s="1515" t="s">
        <v>140</v>
      </c>
      <c r="U24" s="1515" t="s">
        <v>141</v>
      </c>
      <c r="V24" s="1515" t="s">
        <v>142</v>
      </c>
      <c r="W24" s="1515" t="s">
        <v>143</v>
      </c>
      <c r="X24" s="1515" t="s">
        <v>144</v>
      </c>
      <c r="Y24" s="3010" t="s">
        <v>145</v>
      </c>
      <c r="Z24" s="1895"/>
    </row>
    <row r="25" spans="1:27" ht="18.75" customHeight="1" x14ac:dyDescent="0.25">
      <c r="D25" s="3033" t="s">
        <v>1732</v>
      </c>
      <c r="E25" s="426"/>
      <c r="F25" s="786">
        <v>14392</v>
      </c>
      <c r="G25" s="786">
        <v>13998</v>
      </c>
      <c r="H25" s="786">
        <v>14371</v>
      </c>
      <c r="I25" s="786">
        <v>14339</v>
      </c>
      <c r="J25" s="786">
        <v>14112</v>
      </c>
      <c r="K25" s="786">
        <v>13688</v>
      </c>
      <c r="L25" s="786">
        <v>12994</v>
      </c>
      <c r="M25" s="786">
        <v>12854</v>
      </c>
      <c r="N25" s="786">
        <v>12509</v>
      </c>
      <c r="O25" s="786">
        <v>12240</v>
      </c>
      <c r="P25" s="786">
        <v>10762</v>
      </c>
      <c r="Q25" s="786">
        <v>8576</v>
      </c>
      <c r="R25" s="786">
        <v>7704</v>
      </c>
      <c r="S25" s="786">
        <v>7878</v>
      </c>
      <c r="T25" s="786">
        <v>8150</v>
      </c>
      <c r="U25" s="786">
        <v>8020</v>
      </c>
      <c r="V25" s="786">
        <v>8220</v>
      </c>
      <c r="W25" s="786">
        <v>7746</v>
      </c>
      <c r="X25" s="786">
        <v>7908</v>
      </c>
      <c r="Y25" s="2768">
        <v>8496</v>
      </c>
      <c r="Z25" s="1866"/>
    </row>
    <row r="26" spans="1:27" x14ac:dyDescent="0.25">
      <c r="D26" s="3033" t="s">
        <v>1733</v>
      </c>
      <c r="E26" s="426"/>
      <c r="F26" s="786">
        <v>12395</v>
      </c>
      <c r="G26" s="786">
        <v>13735</v>
      </c>
      <c r="H26" s="786">
        <v>15493</v>
      </c>
      <c r="I26" s="786">
        <v>16808</v>
      </c>
      <c r="J26" s="786">
        <v>17820</v>
      </c>
      <c r="K26" s="786">
        <v>19044</v>
      </c>
      <c r="L26" s="786">
        <v>20209</v>
      </c>
      <c r="M26" s="786">
        <v>21174</v>
      </c>
      <c r="N26" s="786">
        <v>21411</v>
      </c>
      <c r="O26" s="786">
        <v>21403</v>
      </c>
      <c r="P26" s="786">
        <v>20010</v>
      </c>
      <c r="Q26" s="786">
        <v>17526</v>
      </c>
      <c r="R26" s="786">
        <v>15532</v>
      </c>
      <c r="S26" s="786">
        <v>14672</v>
      </c>
      <c r="T26" s="786">
        <v>14770</v>
      </c>
      <c r="U26" s="786">
        <v>14777</v>
      </c>
      <c r="V26" s="786">
        <v>14993</v>
      </c>
      <c r="W26" s="786">
        <v>15134</v>
      </c>
      <c r="X26" s="786">
        <v>15432</v>
      </c>
      <c r="Y26" s="2768">
        <v>16577</v>
      </c>
      <c r="Z26" s="1866"/>
    </row>
    <row r="27" spans="1:27" x14ac:dyDescent="0.25">
      <c r="D27" s="3033" t="s">
        <v>1734</v>
      </c>
      <c r="E27" s="426"/>
      <c r="F27" s="786">
        <v>6099</v>
      </c>
      <c r="G27" s="786">
        <v>6487</v>
      </c>
      <c r="H27" s="786">
        <v>7086</v>
      </c>
      <c r="I27" s="786">
        <v>7848</v>
      </c>
      <c r="J27" s="786">
        <v>9174</v>
      </c>
      <c r="K27" s="786">
        <v>11734</v>
      </c>
      <c r="L27" s="786">
        <v>14516</v>
      </c>
      <c r="M27" s="786">
        <v>17519</v>
      </c>
      <c r="N27" s="786">
        <v>20131</v>
      </c>
      <c r="O27" s="786">
        <v>22161</v>
      </c>
      <c r="P27" s="786">
        <v>23539</v>
      </c>
      <c r="Q27" s="786">
        <v>23956</v>
      </c>
      <c r="R27" s="786">
        <v>23292</v>
      </c>
      <c r="S27" s="786">
        <v>22672</v>
      </c>
      <c r="T27" s="786">
        <v>22033</v>
      </c>
      <c r="U27" s="786">
        <v>20625</v>
      </c>
      <c r="V27" s="786">
        <v>20156</v>
      </c>
      <c r="W27" s="786">
        <v>20631</v>
      </c>
      <c r="X27" s="786">
        <v>21035</v>
      </c>
      <c r="Y27" s="2768">
        <v>22595</v>
      </c>
      <c r="Z27" s="1866"/>
    </row>
    <row r="28" spans="1:27" x14ac:dyDescent="0.25">
      <c r="D28" s="3033" t="s">
        <v>1735</v>
      </c>
      <c r="E28" s="426"/>
      <c r="F28" s="786">
        <v>2732</v>
      </c>
      <c r="G28" s="786">
        <v>2964</v>
      </c>
      <c r="H28" s="786">
        <v>3297</v>
      </c>
      <c r="I28" s="786">
        <v>3623</v>
      </c>
      <c r="J28" s="786">
        <v>4176</v>
      </c>
      <c r="K28" s="786">
        <v>5137</v>
      </c>
      <c r="L28" s="786">
        <v>6316</v>
      </c>
      <c r="M28" s="786">
        <v>7669</v>
      </c>
      <c r="N28" s="786">
        <v>8948</v>
      </c>
      <c r="O28" s="786">
        <v>10120</v>
      </c>
      <c r="P28" s="786">
        <v>10920</v>
      </c>
      <c r="Q28" s="786">
        <v>11375</v>
      </c>
      <c r="R28" s="786">
        <v>11740</v>
      </c>
      <c r="S28" s="786">
        <v>12251</v>
      </c>
      <c r="T28" s="786">
        <v>12597</v>
      </c>
      <c r="U28" s="786">
        <v>12435</v>
      </c>
      <c r="V28" s="786">
        <v>11663</v>
      </c>
      <c r="W28" s="786">
        <v>11973</v>
      </c>
      <c r="X28" s="786">
        <v>12441</v>
      </c>
      <c r="Y28" s="2768">
        <v>13365</v>
      </c>
      <c r="Z28" s="1866"/>
    </row>
    <row r="29" spans="1:27" x14ac:dyDescent="0.25">
      <c r="D29" s="3033" t="s">
        <v>1736</v>
      </c>
      <c r="E29" s="426"/>
      <c r="F29" s="786">
        <v>1983</v>
      </c>
      <c r="G29" s="786">
        <v>2402</v>
      </c>
      <c r="H29" s="786">
        <v>2862</v>
      </c>
      <c r="I29" s="786">
        <v>3568</v>
      </c>
      <c r="J29" s="786">
        <v>4410</v>
      </c>
      <c r="K29" s="786">
        <v>5395</v>
      </c>
      <c r="L29" s="786">
        <v>6437</v>
      </c>
      <c r="M29" s="786">
        <v>7452</v>
      </c>
      <c r="N29" s="786">
        <v>8312</v>
      </c>
      <c r="O29" s="786">
        <v>8934</v>
      </c>
      <c r="P29" s="786">
        <v>9332</v>
      </c>
      <c r="Q29" s="786">
        <v>9583</v>
      </c>
      <c r="R29" s="786">
        <v>9743</v>
      </c>
      <c r="S29" s="786">
        <v>10155</v>
      </c>
      <c r="T29" s="786">
        <v>10583</v>
      </c>
      <c r="U29" s="786">
        <v>10761</v>
      </c>
      <c r="V29" s="786">
        <v>10304</v>
      </c>
      <c r="W29" s="786">
        <v>10134</v>
      </c>
      <c r="X29" s="786">
        <v>9790</v>
      </c>
      <c r="Y29" s="2768">
        <v>10517</v>
      </c>
      <c r="Z29" s="1866"/>
    </row>
    <row r="30" spans="1:27" x14ac:dyDescent="0.25">
      <c r="D30" s="3040" t="s">
        <v>1737</v>
      </c>
      <c r="E30" s="449"/>
      <c r="F30" s="808">
        <v>433</v>
      </c>
      <c r="G30" s="808">
        <v>518</v>
      </c>
      <c r="H30" s="808">
        <v>638</v>
      </c>
      <c r="I30" s="808">
        <v>793</v>
      </c>
      <c r="J30" s="808">
        <v>928</v>
      </c>
      <c r="K30" s="808">
        <v>1436</v>
      </c>
      <c r="L30" s="808">
        <v>2313</v>
      </c>
      <c r="M30" s="808">
        <v>3296</v>
      </c>
      <c r="N30" s="808">
        <v>4249</v>
      </c>
      <c r="O30" s="808">
        <v>5284</v>
      </c>
      <c r="P30" s="808">
        <v>6214</v>
      </c>
      <c r="Q30" s="808">
        <v>6998</v>
      </c>
      <c r="R30" s="808">
        <v>7574</v>
      </c>
      <c r="S30" s="808">
        <v>8354</v>
      </c>
      <c r="T30" s="808">
        <v>9141</v>
      </c>
      <c r="U30" s="808">
        <v>9947</v>
      </c>
      <c r="V30" s="808">
        <v>10981</v>
      </c>
      <c r="W30" s="808">
        <v>11660</v>
      </c>
      <c r="X30" s="808">
        <v>12658</v>
      </c>
      <c r="Y30" s="3046">
        <v>13597</v>
      </c>
      <c r="Z30" s="1866"/>
    </row>
    <row r="31" spans="1:27" x14ac:dyDescent="0.25">
      <c r="A31" s="453">
        <v>5</v>
      </c>
      <c r="B31" s="453" t="s">
        <v>77</v>
      </c>
      <c r="D31" s="996"/>
      <c r="E31" s="996"/>
      <c r="F31" s="117"/>
      <c r="G31" s="117"/>
      <c r="H31" s="117"/>
      <c r="I31" s="117"/>
      <c r="J31" s="117"/>
      <c r="K31" s="117"/>
      <c r="L31" s="117"/>
      <c r="M31" s="117"/>
      <c r="N31" s="1444"/>
      <c r="O31" s="117"/>
      <c r="P31" s="117"/>
      <c r="Q31" s="117"/>
      <c r="R31" s="117"/>
      <c r="S31" s="117"/>
      <c r="T31" s="117"/>
      <c r="U31" s="117"/>
      <c r="V31" s="117"/>
    </row>
    <row r="32" spans="1:27" x14ac:dyDescent="0.25">
      <c r="D32" s="996"/>
      <c r="E32" s="996"/>
      <c r="F32" s="117"/>
      <c r="G32" s="117"/>
      <c r="H32" s="117"/>
      <c r="I32" s="117"/>
      <c r="J32" s="117"/>
      <c r="K32" s="117"/>
      <c r="L32" s="117"/>
      <c r="M32" s="117"/>
      <c r="N32" s="1444"/>
      <c r="O32" s="117"/>
      <c r="P32" s="117"/>
      <c r="Q32" s="117"/>
      <c r="R32" s="117"/>
      <c r="S32" s="117"/>
    </row>
    <row r="33" spans="4:19" x14ac:dyDescent="0.25">
      <c r="D33" s="996"/>
      <c r="E33" s="996"/>
      <c r="F33" s="117"/>
      <c r="G33" s="117"/>
      <c r="H33" s="117"/>
      <c r="I33" s="117"/>
      <c r="J33" s="117"/>
      <c r="K33" s="117"/>
      <c r="L33" s="117"/>
      <c r="M33" s="117"/>
      <c r="N33" s="1444"/>
      <c r="O33" s="117"/>
      <c r="P33" s="117"/>
      <c r="Q33" s="117"/>
      <c r="R33" s="117"/>
      <c r="S33" s="117"/>
    </row>
    <row r="34" spans="4:19" x14ac:dyDescent="0.25">
      <c r="D34" s="996"/>
      <c r="E34" s="996"/>
      <c r="F34" s="117"/>
      <c r="G34" s="117"/>
      <c r="H34" s="117"/>
      <c r="I34" s="117"/>
      <c r="J34" s="117"/>
      <c r="K34" s="117"/>
      <c r="L34" s="117"/>
      <c r="M34" s="117"/>
      <c r="N34" s="1444"/>
      <c r="O34" s="117"/>
      <c r="P34" s="117"/>
      <c r="Q34" s="117"/>
      <c r="R34" s="117"/>
      <c r="S34" s="117"/>
    </row>
    <row r="35" spans="4:19" x14ac:dyDescent="0.25">
      <c r="D35" s="996"/>
      <c r="E35" s="996"/>
      <c r="F35" s="117"/>
      <c r="G35" s="117"/>
      <c r="H35" s="117"/>
      <c r="I35" s="117"/>
      <c r="J35" s="117"/>
      <c r="K35" s="117"/>
      <c r="L35" s="117"/>
      <c r="M35" s="117"/>
      <c r="N35" s="1444"/>
      <c r="O35" s="117"/>
      <c r="P35" s="117"/>
      <c r="Q35" s="117"/>
      <c r="R35" s="117"/>
      <c r="S35" s="117"/>
    </row>
    <row r="36" spans="4:19" x14ac:dyDescent="0.25">
      <c r="D36" s="996"/>
      <c r="E36" s="996"/>
      <c r="F36" s="117"/>
      <c r="G36" s="117"/>
      <c r="H36" s="117"/>
      <c r="I36" s="117"/>
      <c r="J36" s="117"/>
      <c r="K36" s="117"/>
      <c r="L36" s="117"/>
      <c r="M36" s="117"/>
      <c r="N36" s="1444"/>
      <c r="O36" s="117"/>
      <c r="P36" s="117"/>
      <c r="Q36" s="117"/>
      <c r="R36" s="117"/>
      <c r="S36" s="117"/>
    </row>
    <row r="37" spans="4:19" x14ac:dyDescent="0.25">
      <c r="D37" s="996"/>
      <c r="E37" s="996"/>
      <c r="F37" s="117"/>
      <c r="G37" s="117"/>
      <c r="H37" s="117"/>
      <c r="I37" s="117"/>
      <c r="J37" s="117"/>
      <c r="K37" s="117"/>
      <c r="L37" s="117"/>
      <c r="M37" s="117"/>
      <c r="N37" s="1444"/>
      <c r="O37" s="117"/>
      <c r="P37" s="117"/>
      <c r="Q37" s="117"/>
      <c r="R37" s="117"/>
      <c r="S37" s="117"/>
    </row>
    <row r="38" spans="4:19" x14ac:dyDescent="0.25">
      <c r="D38" s="996"/>
      <c r="E38" s="996"/>
      <c r="F38" s="117"/>
      <c r="G38" s="117"/>
      <c r="H38" s="117"/>
      <c r="I38" s="117"/>
      <c r="J38" s="117"/>
      <c r="K38" s="117"/>
      <c r="L38" s="117"/>
      <c r="M38" s="117"/>
      <c r="N38" s="1444"/>
      <c r="O38" s="117"/>
      <c r="P38" s="117"/>
      <c r="Q38" s="117"/>
      <c r="R38" s="117"/>
      <c r="S38" s="117"/>
    </row>
    <row r="39" spans="4:19" x14ac:dyDescent="0.25">
      <c r="D39" s="996"/>
      <c r="E39" s="996"/>
      <c r="F39" s="117"/>
      <c r="G39" s="117"/>
      <c r="H39" s="117"/>
      <c r="I39" s="117"/>
      <c r="J39" s="117"/>
      <c r="K39" s="117"/>
      <c r="L39" s="117"/>
      <c r="M39" s="117"/>
      <c r="N39" s="1444"/>
      <c r="O39" s="117"/>
      <c r="P39" s="117"/>
      <c r="Q39" s="117"/>
      <c r="R39" s="117"/>
      <c r="S39" s="117"/>
    </row>
    <row r="40" spans="4:19" x14ac:dyDescent="0.25">
      <c r="D40" s="996"/>
      <c r="E40" s="996"/>
      <c r="F40" s="117"/>
      <c r="G40" s="117"/>
      <c r="H40" s="117"/>
      <c r="I40" s="117"/>
      <c r="J40" s="117"/>
      <c r="K40" s="117"/>
      <c r="L40" s="117"/>
      <c r="M40" s="117"/>
      <c r="N40" s="1444"/>
      <c r="O40" s="117"/>
      <c r="P40" s="117"/>
      <c r="Q40" s="117"/>
      <c r="R40" s="117"/>
      <c r="S40" s="117"/>
    </row>
    <row r="41" spans="4:19" x14ac:dyDescent="0.25">
      <c r="D41" s="996"/>
      <c r="E41" s="996"/>
      <c r="F41" s="117"/>
      <c r="G41" s="117"/>
      <c r="H41" s="117"/>
      <c r="I41" s="117"/>
      <c r="J41" s="117"/>
      <c r="K41" s="117"/>
      <c r="L41" s="117"/>
      <c r="M41" s="117"/>
      <c r="N41" s="1444"/>
      <c r="O41" s="117"/>
      <c r="P41" s="117"/>
      <c r="Q41" s="117"/>
      <c r="R41" s="117"/>
      <c r="S41" s="117"/>
    </row>
    <row r="42" spans="4:19" x14ac:dyDescent="0.25">
      <c r="D42" s="996"/>
      <c r="E42" s="996"/>
      <c r="F42" s="117"/>
      <c r="G42" s="117"/>
      <c r="H42" s="117"/>
      <c r="I42" s="117"/>
      <c r="J42" s="117"/>
      <c r="K42" s="117"/>
      <c r="L42" s="117"/>
      <c r="M42" s="117"/>
      <c r="N42" s="1444"/>
      <c r="O42" s="117"/>
      <c r="P42" s="117"/>
      <c r="Q42" s="117"/>
      <c r="R42" s="117"/>
      <c r="S42" s="117"/>
    </row>
    <row r="43" spans="4:19" x14ac:dyDescent="0.25">
      <c r="D43" s="1442"/>
      <c r="E43" s="1442"/>
      <c r="F43" s="996"/>
      <c r="G43" s="996"/>
      <c r="H43" s="996"/>
      <c r="I43" s="996"/>
      <c r="J43" s="996"/>
      <c r="K43" s="996"/>
      <c r="L43" s="1442"/>
      <c r="M43" s="996"/>
      <c r="N43" s="1444"/>
      <c r="O43" s="996"/>
      <c r="P43" s="996"/>
      <c r="Q43" s="996"/>
      <c r="R43" s="996"/>
      <c r="S43" s="996"/>
    </row>
    <row r="44" spans="4:19" x14ac:dyDescent="0.25">
      <c r="D44" s="996"/>
      <c r="E44" s="996"/>
      <c r="F44" s="996"/>
      <c r="G44" s="996"/>
      <c r="H44" s="996"/>
      <c r="I44" s="996"/>
      <c r="J44" s="996"/>
      <c r="K44" s="996"/>
      <c r="L44" s="996"/>
      <c r="M44" s="996"/>
      <c r="N44" s="996"/>
      <c r="O44" s="996"/>
      <c r="P44" s="996"/>
      <c r="Q44" s="996"/>
      <c r="R44" s="996"/>
      <c r="S44" s="996"/>
    </row>
    <row r="45" spans="4:19" x14ac:dyDescent="0.25">
      <c r="D45" s="996"/>
      <c r="E45" s="996"/>
      <c r="F45" s="996"/>
      <c r="G45" s="996"/>
      <c r="H45" s="996"/>
      <c r="I45" s="996"/>
      <c r="J45" s="996"/>
      <c r="K45" s="996"/>
      <c r="L45" s="996"/>
      <c r="M45" s="996"/>
      <c r="N45" s="996"/>
      <c r="O45" s="996"/>
      <c r="P45" s="996"/>
      <c r="Q45" s="996"/>
      <c r="R45" s="996"/>
      <c r="S45" s="996"/>
    </row>
    <row r="46" spans="4:19" x14ac:dyDescent="0.25">
      <c r="D46" s="996"/>
      <c r="E46" s="996"/>
      <c r="F46" s="996"/>
      <c r="G46" s="996"/>
      <c r="H46" s="996"/>
      <c r="I46" s="996"/>
      <c r="J46" s="996"/>
      <c r="K46" s="996"/>
      <c r="L46" s="996"/>
      <c r="M46" s="996"/>
      <c r="N46" s="996"/>
      <c r="O46" s="996"/>
      <c r="P46" s="996"/>
      <c r="Q46" s="996"/>
      <c r="R46" s="996"/>
      <c r="S46" s="996"/>
    </row>
    <row r="47" spans="4:19" x14ac:dyDescent="0.25">
      <c r="D47" s="996"/>
      <c r="E47" s="996"/>
      <c r="F47" s="996"/>
      <c r="G47" s="996"/>
      <c r="H47" s="996"/>
      <c r="I47" s="996"/>
      <c r="J47" s="996"/>
      <c r="K47" s="996"/>
      <c r="L47" s="996"/>
      <c r="M47" s="996"/>
      <c r="N47" s="996"/>
      <c r="O47" s="996"/>
      <c r="P47" s="996"/>
      <c r="Q47" s="996"/>
      <c r="R47" s="996"/>
      <c r="S47" s="996"/>
    </row>
    <row r="48" spans="4:19" x14ac:dyDescent="0.25">
      <c r="D48" s="996"/>
      <c r="E48" s="996"/>
      <c r="F48" s="996"/>
      <c r="G48" s="996"/>
      <c r="H48" s="996"/>
      <c r="I48" s="996"/>
      <c r="J48" s="996"/>
      <c r="K48" s="996"/>
      <c r="L48" s="996"/>
      <c r="M48" s="996"/>
      <c r="N48" s="996"/>
      <c r="O48" s="996"/>
      <c r="P48" s="996"/>
      <c r="Q48" s="996"/>
      <c r="R48" s="996"/>
      <c r="S48" s="996"/>
    </row>
    <row r="49" spans="1:25" x14ac:dyDescent="0.25">
      <c r="D49" s="996"/>
      <c r="E49" s="996"/>
      <c r="F49" s="996"/>
      <c r="G49" s="996"/>
      <c r="H49" s="996"/>
      <c r="I49" s="996"/>
      <c r="J49" s="996"/>
      <c r="K49" s="996"/>
      <c r="L49" s="996"/>
      <c r="M49" s="996"/>
      <c r="N49" s="996"/>
      <c r="O49" s="996"/>
      <c r="P49" s="996"/>
      <c r="Q49" s="996"/>
      <c r="R49" s="996"/>
      <c r="S49" s="996"/>
    </row>
    <row r="50" spans="1:25" x14ac:dyDescent="0.25">
      <c r="D50" s="996"/>
      <c r="E50" s="996"/>
      <c r="F50" s="996"/>
      <c r="G50" s="996"/>
      <c r="H50" s="996"/>
      <c r="I50" s="996"/>
      <c r="J50" s="996"/>
      <c r="K50" s="996"/>
      <c r="L50" s="996"/>
      <c r="M50" s="996"/>
      <c r="N50" s="996"/>
      <c r="O50" s="996"/>
      <c r="P50" s="996"/>
      <c r="Q50" s="996"/>
      <c r="R50" s="996"/>
      <c r="S50" s="996"/>
    </row>
    <row r="51" spans="1:25" x14ac:dyDescent="0.25">
      <c r="D51" s="996"/>
      <c r="E51" s="996"/>
      <c r="F51" s="996"/>
      <c r="G51" s="996"/>
      <c r="H51" s="996"/>
      <c r="I51" s="996"/>
      <c r="J51" s="996"/>
      <c r="K51" s="996"/>
      <c r="L51" s="996"/>
      <c r="M51" s="996"/>
      <c r="N51" s="996"/>
      <c r="O51" s="996"/>
      <c r="P51" s="996"/>
      <c r="Q51" s="996"/>
      <c r="R51" s="996"/>
      <c r="S51" s="996"/>
    </row>
    <row r="52" spans="1:25" x14ac:dyDescent="0.25">
      <c r="D52" s="996"/>
      <c r="E52" s="996"/>
      <c r="F52" s="996"/>
      <c r="G52" s="996"/>
      <c r="H52" s="996"/>
      <c r="I52" s="996"/>
      <c r="J52" s="996"/>
      <c r="K52" s="996"/>
      <c r="L52" s="996"/>
      <c r="M52" s="996"/>
      <c r="N52" s="996"/>
      <c r="O52" s="996"/>
      <c r="P52" s="996"/>
      <c r="Q52" s="996"/>
      <c r="R52" s="996"/>
      <c r="S52" s="996"/>
    </row>
    <row r="53" spans="1:25" x14ac:dyDescent="0.25">
      <c r="D53" s="996"/>
      <c r="E53" s="996"/>
      <c r="F53" s="996"/>
      <c r="G53" s="996"/>
      <c r="H53" s="996"/>
      <c r="I53" s="996"/>
      <c r="J53" s="996"/>
      <c r="K53" s="996"/>
      <c r="L53" s="996"/>
      <c r="M53" s="996"/>
      <c r="N53" s="996"/>
      <c r="O53" s="996"/>
      <c r="P53" s="996"/>
      <c r="Q53" s="996"/>
      <c r="R53" s="996"/>
      <c r="S53" s="996"/>
      <c r="T53" s="77"/>
      <c r="U53" s="77"/>
      <c r="V53" s="77"/>
    </row>
    <row r="54" spans="1:25" x14ac:dyDescent="0.25">
      <c r="A54" s="453">
        <v>6</v>
      </c>
      <c r="B54" s="453" t="s">
        <v>78</v>
      </c>
      <c r="C54" s="453"/>
      <c r="D54" s="3553" t="s">
        <v>555</v>
      </c>
      <c r="E54" s="3554"/>
      <c r="F54" s="3554"/>
      <c r="G54" s="3554"/>
      <c r="H54" s="3554"/>
      <c r="I54" s="3554"/>
      <c r="J54" s="3554"/>
      <c r="K54" s="3554"/>
      <c r="L54" s="3554"/>
      <c r="M54" s="3554"/>
      <c r="N54" s="3554"/>
      <c r="O54" s="3554"/>
      <c r="P54" s="3554"/>
      <c r="Q54" s="3554"/>
      <c r="R54" s="3554"/>
      <c r="S54" s="3554"/>
      <c r="T54" s="3554"/>
      <c r="U54" s="3554"/>
      <c r="V54" s="3554"/>
      <c r="W54" s="3554"/>
      <c r="X54" s="3554"/>
      <c r="Y54" s="3555"/>
    </row>
    <row r="55" spans="1:25" ht="66.75" customHeight="1" x14ac:dyDescent="0.25">
      <c r="A55" s="472">
        <v>7</v>
      </c>
      <c r="B55" s="472" t="s">
        <v>80</v>
      </c>
      <c r="C55" s="472"/>
      <c r="D55" s="3941" t="s">
        <v>1738</v>
      </c>
      <c r="E55" s="3942"/>
      <c r="F55" s="3942"/>
      <c r="G55" s="3942"/>
      <c r="H55" s="3942"/>
      <c r="I55" s="3942"/>
      <c r="J55" s="3942"/>
      <c r="K55" s="3942"/>
      <c r="L55" s="3942"/>
      <c r="M55" s="3942"/>
      <c r="N55" s="3942"/>
      <c r="O55" s="3942"/>
      <c r="P55" s="3942"/>
      <c r="Q55" s="3942"/>
      <c r="R55" s="3942"/>
      <c r="S55" s="3942"/>
      <c r="T55" s="3942"/>
      <c r="U55" s="3942"/>
      <c r="V55" s="3942"/>
      <c r="W55" s="3942"/>
      <c r="X55" s="3942"/>
      <c r="Y55" s="3943"/>
    </row>
    <row r="56" spans="1:25" ht="14.45" customHeight="1" x14ac:dyDescent="0.25">
      <c r="A56" s="453">
        <v>8</v>
      </c>
      <c r="B56" s="453" t="s">
        <v>20</v>
      </c>
      <c r="C56" s="453"/>
      <c r="D56" s="3556" t="s">
        <v>1739</v>
      </c>
      <c r="E56" s="3557"/>
      <c r="F56" s="3557"/>
      <c r="G56" s="3557"/>
      <c r="H56" s="3557"/>
      <c r="I56" s="3557"/>
      <c r="J56" s="3557"/>
      <c r="K56" s="3557"/>
      <c r="L56" s="3557"/>
      <c r="M56" s="3557"/>
      <c r="N56" s="3557"/>
      <c r="O56" s="3557"/>
      <c r="P56" s="3557"/>
      <c r="Q56" s="3557"/>
      <c r="R56" s="3557"/>
      <c r="S56" s="3557"/>
      <c r="T56" s="3557"/>
      <c r="U56" s="3557"/>
      <c r="V56" s="3557"/>
      <c r="W56" s="3557"/>
      <c r="X56" s="3557"/>
      <c r="Y56" s="3558"/>
    </row>
    <row r="58" spans="1:25" x14ac:dyDescent="0.25">
      <c r="A58" s="229"/>
      <c r="B58" s="229"/>
      <c r="C58" s="229"/>
      <c r="D58" s="1875"/>
      <c r="E58" s="1875"/>
    </row>
  </sheetData>
  <mergeCells count="6">
    <mergeCell ref="D56:Y56"/>
    <mergeCell ref="D2:Y2"/>
    <mergeCell ref="D3:Y3"/>
    <mergeCell ref="D4:Y4"/>
    <mergeCell ref="D54:Y54"/>
    <mergeCell ref="D55:Y55"/>
  </mergeCells>
  <pageMargins left="0.74803149606299213" right="0.74803149606299213" top="0.98425196850393704" bottom="0.98425196850393704" header="0.51181102362204722" footer="0.51181102362204722"/>
  <pageSetup paperSize="9" scale="4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4"/>
  <sheetViews>
    <sheetView showGridLines="0" view="pageBreakPreview" topLeftCell="J1" zoomScaleNormal="100" zoomScaleSheetLayoutView="100" workbookViewId="0">
      <selection activeCell="Z7" sqref="Z7:Z8"/>
    </sheetView>
  </sheetViews>
  <sheetFormatPr defaultColWidth="9.140625" defaultRowHeight="15" x14ac:dyDescent="0.25"/>
  <cols>
    <col min="1" max="1" width="4" style="113" customWidth="1"/>
    <col min="2" max="2" width="12.7109375" style="110" customWidth="1"/>
    <col min="3" max="3" width="3.7109375" style="111" customWidth="1"/>
    <col min="4" max="4" width="9.7109375" style="51" customWidth="1"/>
    <col min="5" max="5" width="5.42578125" style="51" customWidth="1"/>
    <col min="6" max="25" width="8.28515625" style="51" customWidth="1"/>
    <col min="26" max="26" width="9.140625" style="51"/>
    <col min="27" max="27" width="0" style="51" hidden="1" customWidth="1"/>
    <col min="28" max="16384" width="9.140625" style="51"/>
  </cols>
  <sheetData>
    <row r="1" spans="1:27" x14ac:dyDescent="0.25">
      <c r="D1" s="112"/>
      <c r="E1" s="112"/>
      <c r="F1" s="112"/>
      <c r="G1" s="112"/>
      <c r="H1" s="112"/>
      <c r="I1" s="112"/>
      <c r="J1" s="112"/>
      <c r="K1" s="112"/>
      <c r="L1" s="112"/>
      <c r="M1" s="112"/>
      <c r="N1" s="112"/>
      <c r="O1" s="112"/>
      <c r="P1" s="112"/>
      <c r="Q1" s="112"/>
      <c r="R1" s="112"/>
      <c r="S1" s="112"/>
      <c r="T1" s="112"/>
      <c r="U1" s="112"/>
      <c r="V1" s="112"/>
    </row>
    <row r="2" spans="1:27" ht="12.75" customHeight="1" x14ac:dyDescent="0.25">
      <c r="A2" s="113">
        <v>1</v>
      </c>
      <c r="B2" s="114" t="s">
        <v>24</v>
      </c>
      <c r="C2" s="113">
        <f>'[3]B deficit'!C2+1</f>
        <v>6</v>
      </c>
      <c r="D2" s="3581" t="s">
        <v>150</v>
      </c>
      <c r="E2" s="3582"/>
      <c r="F2" s="3582"/>
      <c r="G2" s="3582"/>
      <c r="H2" s="3582"/>
      <c r="I2" s="3582"/>
      <c r="J2" s="3582"/>
      <c r="K2" s="3582"/>
      <c r="L2" s="3582"/>
      <c r="M2" s="3582"/>
      <c r="N2" s="3582"/>
      <c r="O2" s="3582"/>
      <c r="P2" s="3582"/>
      <c r="Q2" s="3582"/>
      <c r="R2" s="3582"/>
      <c r="S2" s="3582"/>
      <c r="T2" s="3582"/>
      <c r="U2" s="3582"/>
      <c r="V2" s="3582"/>
      <c r="W2" s="3582"/>
      <c r="X2" s="3582"/>
      <c r="Y2" s="3583"/>
      <c r="Z2" s="195"/>
    </row>
    <row r="3" spans="1:27" ht="12.75" customHeight="1" x14ac:dyDescent="0.25">
      <c r="A3" s="113">
        <v>2</v>
      </c>
      <c r="B3" s="114" t="s">
        <v>26</v>
      </c>
      <c r="C3" s="113"/>
      <c r="D3" s="3565" t="s">
        <v>121</v>
      </c>
      <c r="E3" s="3566"/>
      <c r="F3" s="3566"/>
      <c r="G3" s="3566"/>
      <c r="H3" s="3566"/>
      <c r="I3" s="3566"/>
      <c r="J3" s="3566"/>
      <c r="K3" s="3566"/>
      <c r="L3" s="3566"/>
      <c r="M3" s="3566"/>
      <c r="N3" s="3566"/>
      <c r="O3" s="3566"/>
      <c r="P3" s="3566"/>
      <c r="Q3" s="3566"/>
      <c r="R3" s="3566"/>
      <c r="S3" s="3566"/>
      <c r="T3" s="3566"/>
      <c r="U3" s="3566"/>
      <c r="V3" s="3566"/>
      <c r="W3" s="3566"/>
      <c r="X3" s="3566"/>
      <c r="Y3" s="3567"/>
    </row>
    <row r="4" spans="1:27" x14ac:dyDescent="0.25">
      <c r="A4" s="113">
        <v>3</v>
      </c>
      <c r="B4" s="114" t="s">
        <v>28</v>
      </c>
      <c r="C4" s="113"/>
      <c r="D4" s="3587" t="s">
        <v>151</v>
      </c>
      <c r="E4" s="3587"/>
      <c r="F4" s="3587"/>
      <c r="G4" s="3587"/>
      <c r="H4" s="3587"/>
      <c r="I4" s="3587"/>
      <c r="J4" s="3587"/>
      <c r="K4" s="3587"/>
      <c r="L4" s="3587"/>
      <c r="M4" s="3587"/>
      <c r="N4" s="3587"/>
      <c r="O4" s="3587"/>
      <c r="P4" s="3587"/>
      <c r="Q4" s="3587"/>
      <c r="R4" s="3587"/>
      <c r="S4" s="3587"/>
      <c r="T4" s="3587"/>
      <c r="U4" s="3587"/>
      <c r="V4" s="3587"/>
      <c r="W4" s="3587"/>
      <c r="X4" s="3587"/>
      <c r="Y4" s="3587"/>
    </row>
    <row r="5" spans="1:27" ht="15" customHeight="1" x14ac:dyDescent="0.25">
      <c r="B5" s="114"/>
      <c r="C5" s="113"/>
      <c r="D5" s="213"/>
      <c r="E5" s="213"/>
      <c r="F5" s="214"/>
      <c r="G5" s="214"/>
      <c r="H5" s="214"/>
      <c r="I5" s="214"/>
      <c r="J5" s="214"/>
      <c r="K5" s="214"/>
      <c r="L5" s="214"/>
      <c r="M5" s="214"/>
      <c r="N5" s="214"/>
      <c r="O5" s="214"/>
      <c r="P5" s="214"/>
      <c r="Q5" s="214"/>
      <c r="R5" s="214"/>
      <c r="S5" s="214"/>
      <c r="T5" s="214"/>
      <c r="U5" s="214"/>
      <c r="V5" s="214"/>
    </row>
    <row r="6" spans="1:27" ht="10.5" customHeight="1" x14ac:dyDescent="0.25">
      <c r="A6" s="113">
        <v>4</v>
      </c>
      <c r="B6" s="114" t="s">
        <v>1</v>
      </c>
      <c r="C6" s="113"/>
      <c r="D6" s="120" t="s">
        <v>103</v>
      </c>
      <c r="E6" s="120"/>
      <c r="F6" s="120" t="s">
        <v>152</v>
      </c>
      <c r="G6" s="120"/>
      <c r="H6" s="120"/>
      <c r="I6" s="120"/>
      <c r="J6" s="215"/>
      <c r="K6" s="215"/>
      <c r="L6" s="215"/>
      <c r="M6" s="215"/>
      <c r="N6" s="216"/>
      <c r="O6" s="217"/>
      <c r="P6" s="216"/>
      <c r="Q6" s="216"/>
      <c r="R6" s="216"/>
      <c r="S6" s="130"/>
      <c r="T6" s="130"/>
      <c r="U6" s="133"/>
      <c r="V6" s="133"/>
    </row>
    <row r="7" spans="1:27" x14ac:dyDescent="0.25">
      <c r="D7" s="2975"/>
      <c r="E7" s="170"/>
      <c r="F7" s="199" t="s">
        <v>125</v>
      </c>
      <c r="G7" s="199" t="s">
        <v>126</v>
      </c>
      <c r="H7" s="199" t="s">
        <v>127</v>
      </c>
      <c r="I7" s="199" t="s">
        <v>128</v>
      </c>
      <c r="J7" s="199" t="s">
        <v>129</v>
      </c>
      <c r="K7" s="199" t="s">
        <v>130</v>
      </c>
      <c r="L7" s="199" t="s">
        <v>131</v>
      </c>
      <c r="M7" s="199" t="s">
        <v>132</v>
      </c>
      <c r="N7" s="199" t="s">
        <v>133</v>
      </c>
      <c r="O7" s="199" t="s">
        <v>134</v>
      </c>
      <c r="P7" s="199" t="s">
        <v>135</v>
      </c>
      <c r="Q7" s="199" t="s">
        <v>136</v>
      </c>
      <c r="R7" s="199" t="s">
        <v>137</v>
      </c>
      <c r="S7" s="199" t="s">
        <v>138</v>
      </c>
      <c r="T7" s="199" t="s">
        <v>139</v>
      </c>
      <c r="U7" s="199" t="s">
        <v>140</v>
      </c>
      <c r="V7" s="199" t="s">
        <v>141</v>
      </c>
      <c r="W7" s="199" t="s">
        <v>142</v>
      </c>
      <c r="X7" s="199" t="s">
        <v>143</v>
      </c>
      <c r="Y7" s="199" t="s">
        <v>144</v>
      </c>
      <c r="Z7" s="2764" t="s">
        <v>145</v>
      </c>
    </row>
    <row r="8" spans="1:27" ht="34.5" x14ac:dyDescent="0.25">
      <c r="D8" s="2983" t="s">
        <v>153</v>
      </c>
      <c r="E8" s="146" t="s">
        <v>54</v>
      </c>
      <c r="F8" s="131">
        <v>47</v>
      </c>
      <c r="G8" s="131">
        <v>48</v>
      </c>
      <c r="H8" s="131">
        <v>46.8</v>
      </c>
      <c r="I8" s="131">
        <v>46.2</v>
      </c>
      <c r="J8" s="131">
        <v>46.1</v>
      </c>
      <c r="K8" s="131">
        <v>43.6</v>
      </c>
      <c r="L8" s="131">
        <v>40.6</v>
      </c>
      <c r="M8" s="131">
        <v>39.5</v>
      </c>
      <c r="N8" s="131">
        <v>33.4</v>
      </c>
      <c r="O8" s="131">
        <v>32.6</v>
      </c>
      <c r="P8" s="131">
        <v>31.2</v>
      </c>
      <c r="Q8" s="131">
        <v>27.9</v>
      </c>
      <c r="R8" s="131">
        <v>25</v>
      </c>
      <c r="S8" s="131">
        <v>22.3</v>
      </c>
      <c r="T8" s="131">
        <v>21.8</v>
      </c>
      <c r="U8" s="131">
        <v>26.4</v>
      </c>
      <c r="V8" s="131">
        <v>29</v>
      </c>
      <c r="W8" s="131">
        <v>32.1</v>
      </c>
      <c r="X8" s="131">
        <v>35.5</v>
      </c>
      <c r="Y8" s="131">
        <v>38.200000000000003</v>
      </c>
      <c r="Z8" s="3180">
        <v>41.2</v>
      </c>
    </row>
    <row r="9" spans="1:27" ht="22.5" customHeight="1" x14ac:dyDescent="0.25">
      <c r="D9" s="112"/>
      <c r="E9" s="112"/>
      <c r="F9" s="117"/>
      <c r="G9" s="117"/>
      <c r="H9" s="117"/>
      <c r="I9" s="117"/>
      <c r="J9" s="117"/>
      <c r="K9" s="117"/>
      <c r="L9" s="117"/>
      <c r="M9" s="117"/>
      <c r="N9" s="117"/>
      <c r="O9" s="117"/>
      <c r="P9" s="117"/>
      <c r="Q9" s="117"/>
      <c r="R9" s="117"/>
      <c r="S9" s="117"/>
      <c r="T9" s="117"/>
      <c r="U9" s="117"/>
      <c r="V9" s="117"/>
      <c r="AA9" s="218">
        <v>41.9</v>
      </c>
    </row>
    <row r="10" spans="1:27" x14ac:dyDescent="0.25">
      <c r="A10" s="113">
        <v>5</v>
      </c>
      <c r="B10" s="114" t="s">
        <v>77</v>
      </c>
      <c r="C10" s="113"/>
      <c r="D10" s="112"/>
      <c r="E10" s="112"/>
      <c r="F10" s="117"/>
      <c r="G10" s="117"/>
      <c r="H10" s="117"/>
      <c r="I10" s="117"/>
      <c r="J10" s="117"/>
      <c r="K10" s="117"/>
      <c r="L10" s="117"/>
      <c r="M10" s="117"/>
      <c r="N10" s="117"/>
      <c r="O10" s="117"/>
      <c r="P10" s="117"/>
      <c r="Q10" s="117"/>
      <c r="R10" s="117"/>
      <c r="S10" s="117"/>
      <c r="T10" s="117"/>
      <c r="U10" s="117"/>
      <c r="V10" s="117"/>
      <c r="AA10" s="218">
        <v>47</v>
      </c>
    </row>
    <row r="11" spans="1:27" x14ac:dyDescent="0.25">
      <c r="D11" s="219"/>
      <c r="E11" s="219"/>
      <c r="F11" s="112"/>
      <c r="G11" s="117"/>
      <c r="H11" s="117"/>
      <c r="I11" s="117"/>
      <c r="J11" s="117"/>
      <c r="K11" s="117"/>
      <c r="L11" s="117"/>
      <c r="M11" s="117"/>
      <c r="N11" s="117"/>
      <c r="O11" s="117"/>
      <c r="P11" s="117"/>
      <c r="Q11" s="117"/>
      <c r="R11" s="117"/>
      <c r="S11" s="117"/>
      <c r="T11" s="117"/>
      <c r="U11" s="117"/>
      <c r="V11" s="117"/>
      <c r="Z11" s="96"/>
      <c r="AA11" s="218">
        <v>48</v>
      </c>
    </row>
    <row r="12" spans="1:27" x14ac:dyDescent="0.25">
      <c r="D12" s="219"/>
      <c r="E12" s="219"/>
      <c r="F12" s="112"/>
      <c r="G12" s="117"/>
      <c r="H12" s="117"/>
      <c r="I12" s="117"/>
      <c r="J12" s="117"/>
      <c r="K12" s="117"/>
      <c r="L12" s="117"/>
      <c r="M12" s="117"/>
      <c r="N12" s="117"/>
      <c r="O12" s="117"/>
      <c r="P12" s="117"/>
      <c r="Q12" s="117"/>
      <c r="R12" s="117"/>
      <c r="S12" s="117"/>
      <c r="T12" s="117"/>
      <c r="U12" s="117"/>
      <c r="V12" s="117"/>
      <c r="Z12" s="96"/>
      <c r="AA12" s="218">
        <v>48.1</v>
      </c>
    </row>
    <row r="13" spans="1:27" x14ac:dyDescent="0.25">
      <c r="D13" s="219"/>
      <c r="E13" s="219"/>
      <c r="F13" s="112"/>
      <c r="G13" s="117"/>
      <c r="H13" s="117"/>
      <c r="I13" s="117"/>
      <c r="J13" s="117"/>
      <c r="K13" s="117"/>
      <c r="L13" s="117"/>
      <c r="M13" s="117"/>
      <c r="N13" s="117"/>
      <c r="O13" s="117"/>
      <c r="P13" s="117"/>
      <c r="Q13" s="117"/>
      <c r="R13" s="116"/>
      <c r="S13" s="116"/>
      <c r="T13" s="116"/>
      <c r="U13" s="116"/>
      <c r="V13" s="116"/>
      <c r="AA13" s="218">
        <v>47.3</v>
      </c>
    </row>
    <row r="14" spans="1:27" x14ac:dyDescent="0.25">
      <c r="D14" s="219"/>
      <c r="E14" s="219"/>
      <c r="F14" s="112"/>
      <c r="G14" s="117"/>
      <c r="H14" s="117"/>
      <c r="I14" s="117"/>
      <c r="J14" s="117"/>
      <c r="K14" s="117"/>
      <c r="L14" s="117"/>
      <c r="M14" s="117"/>
      <c r="N14" s="117"/>
      <c r="O14" s="117"/>
      <c r="P14" s="117"/>
      <c r="Q14" s="117"/>
      <c r="R14" s="116"/>
      <c r="S14" s="116"/>
      <c r="T14" s="116"/>
      <c r="U14" s="116"/>
      <c r="V14" s="116"/>
      <c r="AA14" s="218">
        <v>47.3</v>
      </c>
    </row>
    <row r="15" spans="1:27" x14ac:dyDescent="0.25">
      <c r="D15" s="219"/>
      <c r="E15" s="219"/>
      <c r="F15" s="112"/>
      <c r="G15" s="117"/>
      <c r="H15" s="117"/>
      <c r="I15" s="117"/>
      <c r="J15" s="117"/>
      <c r="K15" s="117"/>
      <c r="L15" s="117"/>
      <c r="M15" s="117"/>
      <c r="N15" s="117"/>
      <c r="O15" s="117"/>
      <c r="P15" s="117"/>
      <c r="Q15" s="117"/>
      <c r="R15" s="117"/>
      <c r="S15" s="117"/>
      <c r="T15" s="117"/>
      <c r="U15" s="117"/>
      <c r="V15" s="117"/>
      <c r="AA15" s="218">
        <v>44.7</v>
      </c>
    </row>
    <row r="16" spans="1:27" x14ac:dyDescent="0.25">
      <c r="D16" s="219"/>
      <c r="E16" s="219"/>
      <c r="F16" s="112"/>
      <c r="G16" s="117"/>
      <c r="H16" s="117"/>
      <c r="I16" s="117"/>
      <c r="J16" s="117"/>
      <c r="K16" s="117"/>
      <c r="L16" s="117"/>
      <c r="M16" s="117"/>
      <c r="N16" s="117"/>
      <c r="O16" s="117"/>
      <c r="P16" s="117"/>
      <c r="Q16" s="117"/>
      <c r="R16" s="117"/>
      <c r="S16" s="117"/>
      <c r="T16" s="117"/>
      <c r="U16" s="117"/>
      <c r="V16" s="117"/>
      <c r="AA16" s="218">
        <v>41.7</v>
      </c>
    </row>
    <row r="17" spans="1:27" x14ac:dyDescent="0.25">
      <c r="D17" s="219"/>
      <c r="E17" s="219"/>
      <c r="F17" s="112"/>
      <c r="G17" s="117"/>
      <c r="H17" s="117"/>
      <c r="I17" s="117"/>
      <c r="J17" s="117"/>
      <c r="K17" s="117"/>
      <c r="L17" s="117"/>
      <c r="M17" s="117"/>
      <c r="N17" s="117"/>
      <c r="O17" s="117"/>
      <c r="P17" s="117"/>
      <c r="Q17" s="117"/>
      <c r="R17" s="117"/>
      <c r="S17" s="117"/>
      <c r="T17" s="117"/>
      <c r="U17" s="117"/>
      <c r="V17" s="117"/>
      <c r="AA17" s="218">
        <v>40.6</v>
      </c>
    </row>
    <row r="18" spans="1:27" x14ac:dyDescent="0.25">
      <c r="D18" s="219"/>
      <c r="E18" s="219"/>
      <c r="F18" s="112"/>
      <c r="G18" s="117"/>
      <c r="H18" s="117"/>
      <c r="I18" s="117"/>
      <c r="J18" s="117"/>
      <c r="K18" s="117"/>
      <c r="L18" s="117"/>
      <c r="M18" s="117"/>
      <c r="N18" s="117"/>
      <c r="O18" s="117"/>
      <c r="P18" s="117"/>
      <c r="Q18" s="117"/>
      <c r="R18" s="117"/>
      <c r="S18" s="117"/>
      <c r="T18" s="117"/>
      <c r="U18" s="117"/>
      <c r="V18" s="117"/>
      <c r="AA18" s="218">
        <v>34.6</v>
      </c>
    </row>
    <row r="19" spans="1:27" x14ac:dyDescent="0.25">
      <c r="D19" s="219"/>
      <c r="E19" s="219"/>
      <c r="F19" s="112"/>
      <c r="G19" s="117"/>
      <c r="H19" s="117"/>
      <c r="I19" s="117"/>
      <c r="J19" s="117"/>
      <c r="K19" s="117"/>
      <c r="L19" s="117"/>
      <c r="M19" s="117"/>
      <c r="N19" s="117"/>
      <c r="O19" s="117"/>
      <c r="P19" s="117"/>
      <c r="Q19" s="117"/>
      <c r="R19" s="117"/>
      <c r="S19" s="117"/>
      <c r="T19" s="117"/>
      <c r="U19" s="117"/>
      <c r="V19" s="117"/>
      <c r="AA19" s="218">
        <v>33.9</v>
      </c>
    </row>
    <row r="20" spans="1:27" x14ac:dyDescent="0.25">
      <c r="D20" s="219"/>
      <c r="E20" s="219"/>
      <c r="F20" s="112"/>
      <c r="G20" s="112"/>
      <c r="H20" s="112"/>
      <c r="I20" s="112"/>
      <c r="J20" s="112"/>
      <c r="K20" s="112"/>
      <c r="L20" s="112"/>
      <c r="M20" s="112"/>
      <c r="N20" s="112"/>
      <c r="O20" s="112"/>
      <c r="P20" s="112"/>
      <c r="Q20" s="112"/>
      <c r="R20" s="112"/>
      <c r="S20" s="112"/>
      <c r="T20" s="112"/>
      <c r="U20" s="112"/>
      <c r="V20" s="112"/>
      <c r="AA20" s="218">
        <v>32.5</v>
      </c>
    </row>
    <row r="21" spans="1:27" x14ac:dyDescent="0.25">
      <c r="D21" s="219"/>
      <c r="E21" s="219"/>
      <c r="F21" s="112"/>
      <c r="G21" s="112"/>
      <c r="H21" s="112"/>
      <c r="I21" s="112"/>
      <c r="J21" s="112"/>
      <c r="K21" s="112"/>
      <c r="L21" s="112"/>
      <c r="M21" s="112"/>
      <c r="N21" s="112"/>
      <c r="O21" s="112"/>
      <c r="P21" s="112"/>
      <c r="Q21" s="112"/>
      <c r="R21" s="112"/>
      <c r="S21" s="112"/>
      <c r="T21" s="112"/>
      <c r="U21" s="112"/>
      <c r="V21" s="112"/>
      <c r="AA21" s="218">
        <v>29.1</v>
      </c>
    </row>
    <row r="22" spans="1:27" x14ac:dyDescent="0.25">
      <c r="D22" s="219"/>
      <c r="E22" s="219"/>
      <c r="F22" s="112"/>
      <c r="G22" s="112"/>
      <c r="H22" s="112"/>
      <c r="I22" s="112"/>
      <c r="J22" s="112"/>
      <c r="K22" s="112"/>
      <c r="L22" s="112"/>
      <c r="M22" s="112"/>
      <c r="N22" s="112"/>
      <c r="O22" s="112"/>
      <c r="P22" s="112"/>
      <c r="Q22" s="112"/>
      <c r="R22" s="112"/>
      <c r="S22" s="112"/>
      <c r="T22" s="112"/>
      <c r="U22" s="112"/>
      <c r="V22" s="112"/>
      <c r="AA22" s="218">
        <v>26</v>
      </c>
    </row>
    <row r="23" spans="1:27" x14ac:dyDescent="0.25">
      <c r="D23" s="219"/>
      <c r="E23" s="219"/>
      <c r="F23" s="112"/>
      <c r="G23" s="112"/>
      <c r="H23" s="112"/>
      <c r="I23" s="112"/>
      <c r="J23" s="112"/>
      <c r="K23" s="112"/>
      <c r="L23" s="112"/>
      <c r="M23" s="112"/>
      <c r="N23" s="112"/>
      <c r="O23" s="112"/>
      <c r="P23" s="112"/>
      <c r="Q23" s="112"/>
      <c r="R23" s="112"/>
      <c r="S23" s="112"/>
      <c r="T23" s="112"/>
      <c r="U23" s="112"/>
      <c r="V23" s="112"/>
      <c r="AA23" s="218">
        <v>23</v>
      </c>
    </row>
    <row r="24" spans="1:27" x14ac:dyDescent="0.25">
      <c r="D24" s="112"/>
      <c r="E24" s="112"/>
      <c r="F24" s="112"/>
      <c r="G24" s="112"/>
      <c r="H24" s="112"/>
      <c r="I24" s="112"/>
      <c r="J24" s="112"/>
      <c r="K24" s="112"/>
      <c r="L24" s="112"/>
      <c r="M24" s="112"/>
      <c r="N24" s="112"/>
      <c r="O24" s="112"/>
      <c r="P24" s="112"/>
      <c r="Q24" s="112"/>
      <c r="R24" s="112"/>
      <c r="S24" s="112"/>
      <c r="T24" s="112"/>
      <c r="U24" s="112"/>
      <c r="V24" s="112"/>
      <c r="AA24" s="218">
        <v>22.9</v>
      </c>
    </row>
    <row r="25" spans="1:27" x14ac:dyDescent="0.25">
      <c r="D25" s="112"/>
      <c r="E25" s="112"/>
      <c r="F25" s="112"/>
      <c r="G25" s="112"/>
      <c r="H25" s="112"/>
      <c r="I25" s="112"/>
      <c r="J25" s="112"/>
      <c r="K25" s="112"/>
      <c r="L25" s="112"/>
      <c r="M25" s="112"/>
      <c r="N25" s="112"/>
      <c r="O25" s="112"/>
      <c r="P25" s="112"/>
      <c r="Q25" s="112"/>
      <c r="R25" s="112"/>
      <c r="S25" s="112"/>
      <c r="T25" s="112"/>
      <c r="U25" s="112"/>
      <c r="V25" s="112"/>
      <c r="AA25" s="218">
        <v>27.4</v>
      </c>
    </row>
    <row r="26" spans="1:27" x14ac:dyDescent="0.25">
      <c r="D26" s="112"/>
      <c r="E26" s="112"/>
      <c r="F26" s="112"/>
      <c r="G26" s="112"/>
      <c r="H26" s="112"/>
      <c r="I26" s="112"/>
      <c r="J26" s="112"/>
      <c r="K26" s="112"/>
      <c r="L26" s="112"/>
      <c r="M26" s="112"/>
      <c r="N26" s="112"/>
      <c r="O26" s="112"/>
      <c r="P26" s="112"/>
      <c r="Q26" s="112"/>
      <c r="R26" s="112"/>
      <c r="S26" s="112"/>
      <c r="T26" s="112"/>
      <c r="U26" s="112"/>
      <c r="V26" s="112"/>
      <c r="AA26" s="218">
        <v>29.7</v>
      </c>
    </row>
    <row r="27" spans="1:27" x14ac:dyDescent="0.25">
      <c r="D27" s="112"/>
      <c r="E27" s="112"/>
      <c r="F27" s="112"/>
      <c r="G27" s="112"/>
      <c r="H27" s="112"/>
      <c r="I27" s="112"/>
      <c r="J27" s="112"/>
      <c r="K27" s="112"/>
      <c r="L27" s="112"/>
      <c r="M27" s="112"/>
      <c r="N27" s="112"/>
      <c r="O27" s="112"/>
      <c r="P27" s="112"/>
      <c r="Q27" s="112"/>
      <c r="R27" s="112"/>
      <c r="S27" s="112"/>
      <c r="T27" s="112"/>
      <c r="U27" s="112"/>
      <c r="V27" s="112"/>
      <c r="AA27" s="218">
        <v>33</v>
      </c>
    </row>
    <row r="28" spans="1:27" ht="12.75" customHeight="1" x14ac:dyDescent="0.25">
      <c r="A28" s="113">
        <v>6</v>
      </c>
      <c r="B28" s="114" t="s">
        <v>78</v>
      </c>
      <c r="C28" s="113"/>
      <c r="D28" s="3556" t="s">
        <v>154</v>
      </c>
      <c r="E28" s="3557"/>
      <c r="F28" s="3557"/>
      <c r="G28" s="3557"/>
      <c r="H28" s="3557"/>
      <c r="I28" s="3557"/>
      <c r="J28" s="3557"/>
      <c r="K28" s="3557"/>
      <c r="L28" s="3557"/>
      <c r="M28" s="3557"/>
      <c r="N28" s="3557"/>
      <c r="O28" s="3557"/>
      <c r="P28" s="3557"/>
      <c r="Q28" s="3557"/>
      <c r="R28" s="3557"/>
      <c r="S28" s="3557"/>
      <c r="T28" s="3557"/>
      <c r="U28" s="3557"/>
      <c r="V28" s="3557"/>
      <c r="W28" s="3557"/>
      <c r="X28" s="3557"/>
      <c r="Y28" s="3558"/>
      <c r="AA28" s="152">
        <v>36.1</v>
      </c>
    </row>
    <row r="29" spans="1:27" ht="12.75" customHeight="1" x14ac:dyDescent="0.25">
      <c r="A29" s="136">
        <v>7</v>
      </c>
      <c r="B29" s="137" t="s">
        <v>80</v>
      </c>
      <c r="C29" s="136"/>
      <c r="D29" s="3568" t="s">
        <v>155</v>
      </c>
      <c r="E29" s="3569"/>
      <c r="F29" s="3569"/>
      <c r="G29" s="3569"/>
      <c r="H29" s="3569"/>
      <c r="I29" s="3569"/>
      <c r="J29" s="3569"/>
      <c r="K29" s="3569"/>
      <c r="L29" s="3569"/>
      <c r="M29" s="3569"/>
      <c r="N29" s="3569"/>
      <c r="O29" s="3569"/>
      <c r="P29" s="3569"/>
      <c r="Q29" s="3569"/>
      <c r="R29" s="3569"/>
      <c r="S29" s="3569"/>
      <c r="T29" s="3569"/>
      <c r="U29" s="3569"/>
      <c r="V29" s="3569"/>
      <c r="W29" s="3569"/>
      <c r="X29" s="3569"/>
      <c r="Y29" s="3570"/>
      <c r="AA29" s="152">
        <v>40.299999999999997</v>
      </c>
    </row>
    <row r="30" spans="1:27" ht="12.75" customHeight="1" x14ac:dyDescent="0.25">
      <c r="A30" s="113">
        <v>8</v>
      </c>
      <c r="B30" s="114" t="s">
        <v>20</v>
      </c>
      <c r="C30" s="113"/>
      <c r="D30" s="3556" t="s">
        <v>156</v>
      </c>
      <c r="E30" s="3557"/>
      <c r="F30" s="3557"/>
      <c r="G30" s="3557"/>
      <c r="H30" s="3557"/>
      <c r="I30" s="3557"/>
      <c r="J30" s="3557"/>
      <c r="K30" s="3557"/>
      <c r="L30" s="3557"/>
      <c r="M30" s="3557"/>
      <c r="N30" s="3557"/>
      <c r="O30" s="3557"/>
      <c r="P30" s="3557"/>
      <c r="Q30" s="3557"/>
      <c r="R30" s="3557"/>
      <c r="S30" s="3557"/>
      <c r="T30" s="3557"/>
      <c r="U30" s="3557"/>
      <c r="V30" s="3557"/>
      <c r="W30" s="3557"/>
      <c r="X30" s="3557"/>
      <c r="Y30" s="3558"/>
    </row>
    <row r="31" spans="1:27" ht="27" customHeight="1" x14ac:dyDescent="0.25">
      <c r="A31" s="113">
        <v>9</v>
      </c>
      <c r="B31" s="114" t="s">
        <v>157</v>
      </c>
      <c r="C31" s="113"/>
      <c r="D31" s="3556" t="s">
        <v>158</v>
      </c>
      <c r="E31" s="3557"/>
      <c r="F31" s="3557"/>
      <c r="G31" s="3557"/>
      <c r="H31" s="3557"/>
      <c r="I31" s="3557"/>
      <c r="J31" s="3557"/>
      <c r="K31" s="3557"/>
      <c r="L31" s="3557"/>
      <c r="M31" s="3557"/>
      <c r="N31" s="3557"/>
      <c r="O31" s="3557"/>
      <c r="P31" s="3557"/>
      <c r="Q31" s="3557"/>
      <c r="R31" s="3557"/>
      <c r="S31" s="3557"/>
      <c r="T31" s="3557"/>
      <c r="U31" s="3557"/>
      <c r="V31" s="3557"/>
      <c r="W31" s="3557"/>
      <c r="X31" s="3557"/>
      <c r="Y31" s="3558"/>
    </row>
    <row r="34" spans="1:25" hidden="1" x14ac:dyDescent="0.25">
      <c r="F34" s="220" t="s">
        <v>125</v>
      </c>
      <c r="G34" s="220" t="s">
        <v>126</v>
      </c>
      <c r="H34" s="220" t="s">
        <v>127</v>
      </c>
      <c r="I34" s="220" t="s">
        <v>128</v>
      </c>
      <c r="J34" s="220" t="s">
        <v>129</v>
      </c>
      <c r="K34" s="220" t="s">
        <v>130</v>
      </c>
      <c r="L34" s="220" t="s">
        <v>131</v>
      </c>
      <c r="M34" s="220" t="s">
        <v>132</v>
      </c>
      <c r="N34" s="220" t="s">
        <v>133</v>
      </c>
      <c r="O34" s="220" t="s">
        <v>134</v>
      </c>
      <c r="P34" s="220" t="s">
        <v>135</v>
      </c>
      <c r="Q34" s="220" t="s">
        <v>136</v>
      </c>
      <c r="R34" s="220" t="s">
        <v>137</v>
      </c>
      <c r="S34" s="220" t="s">
        <v>138</v>
      </c>
      <c r="T34" s="220" t="s">
        <v>139</v>
      </c>
      <c r="U34" s="199" t="s">
        <v>140</v>
      </c>
      <c r="V34" s="199" t="s">
        <v>141</v>
      </c>
      <c r="W34" s="199" t="s">
        <v>142</v>
      </c>
      <c r="X34" s="199" t="s">
        <v>143</v>
      </c>
      <c r="Y34" s="199" t="s">
        <v>144</v>
      </c>
    </row>
    <row r="35" spans="1:25" hidden="1" x14ac:dyDescent="0.25">
      <c r="D35" s="51">
        <v>35.700000000000003</v>
      </c>
      <c r="E35" s="51">
        <v>40.700000000000003</v>
      </c>
      <c r="F35" s="51">
        <v>45.6</v>
      </c>
      <c r="G35" s="51">
        <v>46.7</v>
      </c>
      <c r="H35" s="51">
        <v>46.8</v>
      </c>
      <c r="I35" s="51">
        <v>46.2</v>
      </c>
      <c r="J35" s="51">
        <v>46.1</v>
      </c>
      <c r="K35" s="51">
        <v>43.5</v>
      </c>
      <c r="L35" s="51">
        <v>40.6</v>
      </c>
      <c r="M35" s="51">
        <v>39.4</v>
      </c>
      <c r="N35" s="51">
        <v>33.299999999999997</v>
      </c>
      <c r="O35" s="51">
        <v>32.6</v>
      </c>
      <c r="P35" s="51">
        <v>31.2</v>
      </c>
      <c r="Q35" s="51">
        <v>28</v>
      </c>
      <c r="R35" s="51">
        <v>24.9</v>
      </c>
      <c r="S35" s="51">
        <v>22</v>
      </c>
      <c r="T35" s="51">
        <v>21.8</v>
      </c>
      <c r="U35" s="51">
        <v>26.4</v>
      </c>
      <c r="V35" s="51">
        <v>28.9</v>
      </c>
      <c r="W35" s="51">
        <v>31.9</v>
      </c>
      <c r="X35" s="51">
        <v>34.700000000000003</v>
      </c>
      <c r="Y35" s="51">
        <v>38.200000000000003</v>
      </c>
    </row>
    <row r="36" spans="1:25" s="59" customFormat="1" hidden="1" x14ac:dyDescent="0.25">
      <c r="A36" s="115"/>
      <c r="B36" s="221"/>
      <c r="C36" s="222"/>
    </row>
    <row r="37" spans="1:25" s="59" customFormat="1" hidden="1" x14ac:dyDescent="0.25">
      <c r="A37" s="115"/>
      <c r="B37" s="3584"/>
      <c r="C37" s="3585"/>
      <c r="D37" s="3585"/>
      <c r="E37" s="3585"/>
      <c r="F37" s="3585"/>
      <c r="G37" s="3585"/>
      <c r="H37" s="3585"/>
      <c r="I37" s="3585"/>
      <c r="J37" s="3585"/>
      <c r="K37" s="3585"/>
      <c r="L37" s="3585"/>
      <c r="M37" s="3585"/>
      <c r="N37" s="3585"/>
      <c r="O37" s="3585"/>
      <c r="P37" s="3586"/>
      <c r="Q37" s="3586"/>
      <c r="R37" s="3586"/>
      <c r="S37" s="3586"/>
      <c r="T37" s="3586"/>
      <c r="U37" s="2441"/>
      <c r="V37" s="2441"/>
    </row>
    <row r="38" spans="1:25" s="59" customFormat="1" hidden="1" x14ac:dyDescent="0.25">
      <c r="A38" s="115"/>
      <c r="B38" s="223"/>
      <c r="C38" s="222"/>
    </row>
    <row r="39" spans="1:25" hidden="1" x14ac:dyDescent="0.25"/>
    <row r="40" spans="1:25" hidden="1" x14ac:dyDescent="0.25"/>
    <row r="41" spans="1:25" hidden="1" x14ac:dyDescent="0.25"/>
    <row r="42" spans="1:25" hidden="1" x14ac:dyDescent="0.25"/>
    <row r="43" spans="1:25" hidden="1" x14ac:dyDescent="0.25"/>
    <row r="44" spans="1:25" hidden="1" x14ac:dyDescent="0.25"/>
    <row r="45" spans="1:25" hidden="1" x14ac:dyDescent="0.25"/>
    <row r="46" spans="1:25" hidden="1" x14ac:dyDescent="0.25"/>
    <row r="47" spans="1:25" hidden="1" x14ac:dyDescent="0.25"/>
    <row r="48" spans="1:25" hidden="1" x14ac:dyDescent="0.25"/>
    <row r="49" hidden="1" x14ac:dyDescent="0.25"/>
    <row r="50" hidden="1" x14ac:dyDescent="0.25"/>
    <row r="51" hidden="1" x14ac:dyDescent="0.25"/>
    <row r="52" hidden="1" x14ac:dyDescent="0.25"/>
    <row r="53" hidden="1" x14ac:dyDescent="0.25"/>
    <row r="54" hidden="1" x14ac:dyDescent="0.25"/>
  </sheetData>
  <mergeCells count="8">
    <mergeCell ref="D30:Y30"/>
    <mergeCell ref="D31:Y31"/>
    <mergeCell ref="B37:T37"/>
    <mergeCell ref="D2:Y2"/>
    <mergeCell ref="D3:Y3"/>
    <mergeCell ref="D4:Y4"/>
    <mergeCell ref="D28:Y28"/>
    <mergeCell ref="D29:Y29"/>
  </mergeCells>
  <pageMargins left="0.74803149606299213" right="0.74803149606299213" top="0.98425196850393704" bottom="0.98425196850393704" header="0.51181102362204722" footer="0.51181102362204722"/>
  <pageSetup paperSize="9" scale="5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48"/>
  <sheetViews>
    <sheetView showGridLines="0" view="pageBreakPreview" topLeftCell="J1" zoomScaleNormal="100" zoomScaleSheetLayoutView="100" workbookViewId="0">
      <selection activeCell="X21" sqref="X21:X24"/>
    </sheetView>
  </sheetViews>
  <sheetFormatPr defaultColWidth="9.140625" defaultRowHeight="15" x14ac:dyDescent="0.25"/>
  <cols>
    <col min="1" max="1" width="3.7109375" style="453" customWidth="1"/>
    <col min="2" max="2" width="14.42578125" style="670" customWidth="1"/>
    <col min="3" max="3" width="3.7109375" style="670" customWidth="1"/>
    <col min="4" max="4" width="18" style="229" bestFit="1" customWidth="1"/>
    <col min="5" max="19" width="7.42578125" style="229" customWidth="1"/>
    <col min="20" max="23" width="6.7109375" style="229" customWidth="1"/>
    <col min="24" max="16384" width="9.140625" style="229"/>
  </cols>
  <sheetData>
    <row r="1" spans="1:24" x14ac:dyDescent="0.25">
      <c r="D1" s="996"/>
      <c r="E1" s="996"/>
      <c r="F1" s="996"/>
      <c r="G1" s="996"/>
      <c r="H1" s="996"/>
      <c r="I1" s="996"/>
      <c r="J1" s="996"/>
      <c r="K1" s="996"/>
      <c r="L1" s="996"/>
      <c r="M1" s="996"/>
      <c r="N1" s="996"/>
      <c r="O1" s="996"/>
      <c r="P1" s="996"/>
      <c r="Q1" s="996"/>
      <c r="R1" s="996"/>
    </row>
    <row r="2" spans="1:24" ht="14.45" customHeight="1" x14ac:dyDescent="0.25">
      <c r="A2" s="453">
        <v>1</v>
      </c>
      <c r="B2" s="453" t="s">
        <v>24</v>
      </c>
      <c r="C2" s="453">
        <f>1+Detainees!C2</f>
        <v>72</v>
      </c>
      <c r="D2" s="3553" t="s">
        <v>1740</v>
      </c>
      <c r="E2" s="3554"/>
      <c r="F2" s="3554"/>
      <c r="G2" s="3554"/>
      <c r="H2" s="3554"/>
      <c r="I2" s="3554"/>
      <c r="J2" s="3554"/>
      <c r="K2" s="3554"/>
      <c r="L2" s="3554"/>
      <c r="M2" s="3554"/>
      <c r="N2" s="3554"/>
      <c r="O2" s="3554"/>
      <c r="P2" s="3554"/>
      <c r="Q2" s="3554"/>
      <c r="R2" s="3554"/>
      <c r="S2" s="3554"/>
      <c r="T2" s="3554"/>
      <c r="U2" s="3554"/>
      <c r="V2" s="3554"/>
      <c r="W2" s="3554"/>
      <c r="X2" s="3555"/>
    </row>
    <row r="3" spans="1:24" x14ac:dyDescent="0.25">
      <c r="A3" s="453">
        <v>2</v>
      </c>
      <c r="B3" s="453" t="s">
        <v>26</v>
      </c>
      <c r="C3" s="453"/>
      <c r="D3" s="3553" t="s">
        <v>1721</v>
      </c>
      <c r="E3" s="3554"/>
      <c r="F3" s="3554"/>
      <c r="G3" s="3554"/>
      <c r="H3" s="3554"/>
      <c r="I3" s="3554"/>
      <c r="J3" s="3554"/>
      <c r="K3" s="3554"/>
      <c r="L3" s="3554"/>
      <c r="M3" s="3554"/>
      <c r="N3" s="3554"/>
      <c r="O3" s="3554"/>
      <c r="P3" s="3554"/>
      <c r="Q3" s="3554"/>
      <c r="R3" s="3554"/>
      <c r="S3" s="3554"/>
      <c r="T3" s="3554"/>
      <c r="U3" s="3554"/>
      <c r="V3" s="3554"/>
      <c r="W3" s="3554"/>
      <c r="X3" s="3555"/>
    </row>
    <row r="4" spans="1:24" ht="14.45" customHeight="1" x14ac:dyDescent="0.25">
      <c r="A4" s="453">
        <v>3</v>
      </c>
      <c r="B4" s="453" t="s">
        <v>28</v>
      </c>
      <c r="C4" s="453"/>
      <c r="D4" s="3553" t="s">
        <v>1741</v>
      </c>
      <c r="E4" s="3554"/>
      <c r="F4" s="3554"/>
      <c r="G4" s="3554"/>
      <c r="H4" s="3554"/>
      <c r="I4" s="3554"/>
      <c r="J4" s="3554"/>
      <c r="K4" s="3554"/>
      <c r="L4" s="3554"/>
      <c r="M4" s="3554"/>
      <c r="N4" s="3554"/>
      <c r="O4" s="3554"/>
      <c r="P4" s="3554"/>
      <c r="Q4" s="3554"/>
      <c r="R4" s="3554"/>
      <c r="S4" s="3554"/>
      <c r="T4" s="3554"/>
      <c r="U4" s="3554"/>
      <c r="V4" s="3554"/>
      <c r="W4" s="3554"/>
      <c r="X4" s="3555"/>
    </row>
    <row r="5" spans="1:24" ht="15" customHeight="1" x14ac:dyDescent="0.25">
      <c r="A5" s="1170"/>
      <c r="B5" s="1170"/>
      <c r="C5" s="1170"/>
      <c r="D5" s="1439"/>
      <c r="E5" s="55"/>
      <c r="F5" s="55"/>
      <c r="G5" s="55"/>
      <c r="H5" s="55"/>
      <c r="I5" s="55"/>
      <c r="J5" s="55"/>
      <c r="K5" s="55"/>
      <c r="L5" s="55"/>
      <c r="M5" s="55"/>
      <c r="N5" s="55"/>
      <c r="O5" s="55"/>
      <c r="P5" s="55"/>
      <c r="Q5" s="77"/>
      <c r="R5" s="77"/>
    </row>
    <row r="6" spans="1:24" x14ac:dyDescent="0.25">
      <c r="A6" s="453">
        <v>4</v>
      </c>
      <c r="B6" s="722" t="s">
        <v>1</v>
      </c>
      <c r="C6" s="722"/>
      <c r="Q6" s="77"/>
      <c r="R6" s="77"/>
    </row>
    <row r="7" spans="1:24" s="1856" customFormat="1" ht="16.5" x14ac:dyDescent="0.3">
      <c r="A7" s="1850"/>
      <c r="B7" s="1850"/>
      <c r="C7" s="1850"/>
      <c r="D7" s="1851" t="s">
        <v>103</v>
      </c>
      <c r="E7" s="1445" t="s">
        <v>1742</v>
      </c>
      <c r="F7" s="1445"/>
      <c r="G7" s="1445"/>
      <c r="H7" s="1852"/>
      <c r="I7" s="1852"/>
      <c r="J7" s="1852"/>
      <c r="K7" s="1852"/>
      <c r="L7" s="1195"/>
      <c r="M7" s="1853"/>
      <c r="N7" s="1853"/>
      <c r="O7" s="1853"/>
      <c r="P7" s="1853"/>
      <c r="Q7" s="1854"/>
      <c r="R7" s="1854"/>
      <c r="S7" s="1854"/>
      <c r="T7" s="1854"/>
      <c r="U7" s="1854"/>
      <c r="V7" s="1854"/>
      <c r="W7" s="1855"/>
    </row>
    <row r="8" spans="1:24" x14ac:dyDescent="0.25">
      <c r="D8" s="3047"/>
      <c r="E8" s="1857" t="s">
        <v>126</v>
      </c>
      <c r="F8" s="1857" t="s">
        <v>127</v>
      </c>
      <c r="G8" s="1857" t="s">
        <v>128</v>
      </c>
      <c r="H8" s="1857" t="s">
        <v>129</v>
      </c>
      <c r="I8" s="1857" t="s">
        <v>130</v>
      </c>
      <c r="J8" s="1858" t="s">
        <v>131</v>
      </c>
      <c r="K8" s="1857" t="s">
        <v>132</v>
      </c>
      <c r="L8" s="1857" t="s">
        <v>133</v>
      </c>
      <c r="M8" s="1857" t="s">
        <v>134</v>
      </c>
      <c r="N8" s="1857" t="s">
        <v>135</v>
      </c>
      <c r="O8" s="1857" t="s">
        <v>136</v>
      </c>
      <c r="P8" s="1857" t="s">
        <v>137</v>
      </c>
      <c r="Q8" s="1857" t="s">
        <v>138</v>
      </c>
      <c r="R8" s="1857" t="s">
        <v>139</v>
      </c>
      <c r="S8" s="1857" t="s">
        <v>140</v>
      </c>
      <c r="T8" s="1857" t="s">
        <v>141</v>
      </c>
      <c r="U8" s="1857" t="s">
        <v>142</v>
      </c>
      <c r="V8" s="1857" t="s">
        <v>143</v>
      </c>
      <c r="W8" s="1857" t="s">
        <v>144</v>
      </c>
      <c r="X8" s="3054" t="s">
        <v>145</v>
      </c>
    </row>
    <row r="9" spans="1:24" ht="18.75" customHeight="1" x14ac:dyDescent="0.25">
      <c r="D9" s="3048" t="s">
        <v>1743</v>
      </c>
      <c r="E9" s="1859"/>
      <c r="F9" s="1860"/>
      <c r="G9" s="1860"/>
      <c r="H9" s="1859"/>
      <c r="I9" s="1860"/>
      <c r="J9" s="1859"/>
      <c r="K9" s="1860"/>
      <c r="L9" s="1859"/>
      <c r="M9" s="1859"/>
      <c r="N9" s="1859"/>
      <c r="O9" s="1859"/>
      <c r="P9" s="1859"/>
      <c r="Q9" s="1859">
        <v>24657</v>
      </c>
      <c r="R9" s="1859">
        <v>60543</v>
      </c>
      <c r="S9" s="1859">
        <v>44481</v>
      </c>
      <c r="T9" s="1859">
        <v>116097</v>
      </c>
      <c r="U9" s="1859">
        <v>116716</v>
      </c>
      <c r="V9" s="1859">
        <v>77087</v>
      </c>
      <c r="W9" s="1859">
        <v>61049</v>
      </c>
      <c r="X9" s="3055">
        <v>68624</v>
      </c>
    </row>
    <row r="10" spans="1:24" x14ac:dyDescent="0.25">
      <c r="D10" s="3049" t="s">
        <v>1744</v>
      </c>
      <c r="E10" s="1861"/>
      <c r="F10" s="1861"/>
      <c r="G10" s="1861">
        <f t="shared" ref="G10:O10" si="0">SUM(G11:G14)</f>
        <v>13013</v>
      </c>
      <c r="H10" s="1861">
        <f t="shared" si="0"/>
        <v>9076</v>
      </c>
      <c r="I10" s="1861">
        <f t="shared" si="0"/>
        <v>19603</v>
      </c>
      <c r="J10" s="1861">
        <f t="shared" si="0"/>
        <v>22998</v>
      </c>
      <c r="K10" s="1861">
        <f t="shared" si="0"/>
        <v>29114</v>
      </c>
      <c r="L10" s="1861">
        <f t="shared" si="0"/>
        <v>41392</v>
      </c>
      <c r="M10" s="1861">
        <f t="shared" si="0"/>
        <v>40938</v>
      </c>
      <c r="N10" s="1861">
        <f t="shared" si="0"/>
        <v>41546</v>
      </c>
      <c r="O10" s="1861">
        <f t="shared" si="0"/>
        <v>35162</v>
      </c>
      <c r="P10" s="1861">
        <f>SUM(P11:P14)</f>
        <v>44663</v>
      </c>
      <c r="Q10" s="1861">
        <f t="shared" ref="Q10:X10" si="1">SUM(Q11:Q14)</f>
        <v>43593</v>
      </c>
      <c r="R10" s="1861">
        <f t="shared" si="1"/>
        <v>25238</v>
      </c>
      <c r="S10" s="1861">
        <f>SUM(S11:S14)</f>
        <v>101620</v>
      </c>
      <c r="T10" s="1861">
        <f t="shared" si="1"/>
        <v>34875</v>
      </c>
      <c r="U10" s="1861">
        <f t="shared" si="1"/>
        <v>33807</v>
      </c>
      <c r="V10" s="1861">
        <f t="shared" si="1"/>
        <v>30657</v>
      </c>
      <c r="W10" s="1861">
        <f t="shared" si="1"/>
        <v>29965</v>
      </c>
      <c r="X10" s="3056">
        <f t="shared" si="1"/>
        <v>24140</v>
      </c>
    </row>
    <row r="11" spans="1:24" x14ac:dyDescent="0.25">
      <c r="D11" s="3049" t="s">
        <v>1745</v>
      </c>
      <c r="E11" s="1862"/>
      <c r="F11" s="1862"/>
      <c r="G11" s="1862"/>
      <c r="H11" s="1862">
        <v>2273</v>
      </c>
      <c r="I11" s="1863">
        <v>9451</v>
      </c>
      <c r="J11" s="1862">
        <v>10334</v>
      </c>
      <c r="K11" s="1863">
        <v>10220</v>
      </c>
      <c r="L11" s="1862">
        <v>16081</v>
      </c>
      <c r="M11" s="1862">
        <v>19851</v>
      </c>
      <c r="N11" s="1862">
        <v>15004</v>
      </c>
      <c r="O11" s="1862">
        <v>8502</v>
      </c>
      <c r="P11" s="1862">
        <v>16202</v>
      </c>
      <c r="Q11" s="1862">
        <v>17475</v>
      </c>
      <c r="R11" s="1862">
        <v>5930</v>
      </c>
      <c r="S11" s="1862">
        <v>78282</v>
      </c>
      <c r="T11" s="1862">
        <v>8302</v>
      </c>
      <c r="U11" s="1862">
        <v>7579</v>
      </c>
      <c r="V11" s="1862">
        <v>7713</v>
      </c>
      <c r="W11" s="1862">
        <v>6875</v>
      </c>
      <c r="X11" s="3057">
        <v>7825</v>
      </c>
    </row>
    <row r="12" spans="1:24" s="723" customFormat="1" x14ac:dyDescent="0.25">
      <c r="A12" s="650"/>
      <c r="B12" s="745"/>
      <c r="C12" s="745"/>
      <c r="D12" s="3050" t="s">
        <v>1746</v>
      </c>
      <c r="E12" s="1865"/>
      <c r="F12" s="1865"/>
      <c r="G12" s="1866"/>
      <c r="H12" s="1866"/>
      <c r="I12" s="1866"/>
      <c r="J12" s="1866"/>
      <c r="K12" s="1866">
        <v>2347</v>
      </c>
      <c r="L12" s="1866">
        <v>2312</v>
      </c>
      <c r="M12" s="1866">
        <v>2786</v>
      </c>
      <c r="N12" s="1866">
        <v>2600</v>
      </c>
      <c r="O12" s="1866">
        <v>1509</v>
      </c>
      <c r="P12" s="1866">
        <v>1789</v>
      </c>
      <c r="Q12" s="1866">
        <v>1757</v>
      </c>
      <c r="R12" s="1862">
        <v>1668</v>
      </c>
      <c r="S12" s="1862">
        <v>1789</v>
      </c>
      <c r="T12" s="1862">
        <v>1745</v>
      </c>
      <c r="U12" s="1862">
        <v>1693</v>
      </c>
      <c r="V12" s="1862">
        <v>1515</v>
      </c>
      <c r="W12" s="1862">
        <v>1690</v>
      </c>
      <c r="X12" s="3057">
        <v>1690</v>
      </c>
    </row>
    <row r="13" spans="1:24" ht="18.75" customHeight="1" x14ac:dyDescent="0.25">
      <c r="D13" s="3050" t="s">
        <v>449</v>
      </c>
      <c r="E13" s="1866"/>
      <c r="F13" s="1866"/>
      <c r="G13" s="1865"/>
      <c r="H13" s="1865"/>
      <c r="I13" s="1865"/>
      <c r="J13" s="1865"/>
      <c r="K13" s="1866">
        <v>2635</v>
      </c>
      <c r="L13" s="1866">
        <v>2895</v>
      </c>
      <c r="M13" s="1866">
        <v>3175</v>
      </c>
      <c r="N13" s="1866">
        <v>3342</v>
      </c>
      <c r="O13" s="1866">
        <v>2759</v>
      </c>
      <c r="P13" s="1866">
        <v>2203</v>
      </c>
      <c r="Q13" s="1866">
        <v>2265</v>
      </c>
      <c r="R13" s="1862">
        <v>2510</v>
      </c>
      <c r="S13" s="1862">
        <v>2960</v>
      </c>
      <c r="T13" s="1862">
        <v>2905</v>
      </c>
      <c r="U13" s="1862">
        <v>2906</v>
      </c>
      <c r="V13" s="1862">
        <v>3110</v>
      </c>
      <c r="W13" s="1862">
        <v>3281</v>
      </c>
      <c r="X13" s="3057">
        <v>3033</v>
      </c>
    </row>
    <row r="14" spans="1:24" x14ac:dyDescent="0.25">
      <c r="D14" s="3051" t="s">
        <v>860</v>
      </c>
      <c r="E14" s="1867"/>
      <c r="F14" s="1867"/>
      <c r="G14" s="1867">
        <v>13013</v>
      </c>
      <c r="H14" s="1867">
        <v>6803</v>
      </c>
      <c r="I14" s="1867">
        <v>10152</v>
      </c>
      <c r="J14" s="1867">
        <v>12664</v>
      </c>
      <c r="K14" s="1867">
        <v>13912</v>
      </c>
      <c r="L14" s="1867">
        <v>20104</v>
      </c>
      <c r="M14" s="1867">
        <v>15126</v>
      </c>
      <c r="N14" s="1867">
        <v>20600</v>
      </c>
      <c r="O14" s="1867">
        <v>22392</v>
      </c>
      <c r="P14" s="1867">
        <v>24469</v>
      </c>
      <c r="Q14" s="1867">
        <v>22096</v>
      </c>
      <c r="R14" s="1867">
        <v>15130</v>
      </c>
      <c r="S14" s="1867">
        <v>18589</v>
      </c>
      <c r="T14" s="1867">
        <v>21923</v>
      </c>
      <c r="U14" s="1867">
        <v>21629</v>
      </c>
      <c r="V14" s="1867">
        <v>18319</v>
      </c>
      <c r="W14" s="1867">
        <v>18119</v>
      </c>
      <c r="X14" s="3058">
        <v>11592</v>
      </c>
    </row>
    <row r="15" spans="1:24" x14ac:dyDescent="0.25">
      <c r="D15" s="3050" t="s">
        <v>1747</v>
      </c>
      <c r="E15" s="1866"/>
      <c r="F15" s="1866"/>
      <c r="G15" s="1866"/>
      <c r="H15" s="1866"/>
      <c r="I15" s="1866"/>
      <c r="J15" s="1866"/>
      <c r="K15" s="1866"/>
      <c r="L15" s="1866"/>
      <c r="M15" s="1866"/>
      <c r="N15" s="1866"/>
      <c r="O15" s="1866"/>
      <c r="P15" s="1866"/>
      <c r="Q15" s="1866">
        <v>157444</v>
      </c>
      <c r="R15" s="1866">
        <v>9073</v>
      </c>
      <c r="S15" s="1866"/>
      <c r="T15" s="1866"/>
      <c r="U15" s="1866"/>
      <c r="V15" s="1866">
        <v>20865</v>
      </c>
      <c r="W15" s="1866">
        <v>21120</v>
      </c>
      <c r="X15" s="3059">
        <v>23565</v>
      </c>
    </row>
    <row r="16" spans="1:24" x14ac:dyDescent="0.25">
      <c r="D16" s="3050" t="s">
        <v>1748</v>
      </c>
      <c r="E16" s="1866">
        <v>10010</v>
      </c>
      <c r="F16" s="1866">
        <v>153672</v>
      </c>
      <c r="G16" s="1866">
        <v>106324</v>
      </c>
      <c r="H16" s="1866">
        <v>125164</v>
      </c>
      <c r="I16" s="1866">
        <v>48680</v>
      </c>
      <c r="J16" s="1866">
        <v>23783</v>
      </c>
      <c r="K16" s="1866">
        <v>31122</v>
      </c>
      <c r="L16" s="1866">
        <v>8851</v>
      </c>
      <c r="M16" s="1866">
        <v>103380</v>
      </c>
      <c r="N16" s="1866">
        <v>77858</v>
      </c>
      <c r="O16" s="1866">
        <v>118057</v>
      </c>
      <c r="P16" s="1866">
        <v>86571</v>
      </c>
      <c r="Q16" s="1866">
        <v>13034</v>
      </c>
      <c r="R16" s="1866">
        <v>116115</v>
      </c>
      <c r="S16" s="1866">
        <v>28187</v>
      </c>
      <c r="T16" s="1866">
        <v>134358</v>
      </c>
      <c r="U16" s="1866">
        <v>40469</v>
      </c>
      <c r="V16" s="1866">
        <v>104073</v>
      </c>
      <c r="W16" s="1866">
        <v>152406</v>
      </c>
      <c r="X16" s="3059">
        <v>152707</v>
      </c>
    </row>
    <row r="17" spans="1:24" x14ac:dyDescent="0.25">
      <c r="D17" s="3052" t="s">
        <v>1749</v>
      </c>
      <c r="E17" s="1868">
        <v>64059</v>
      </c>
      <c r="F17" s="1868">
        <v>76275</v>
      </c>
      <c r="G17" s="1868">
        <v>113033</v>
      </c>
      <c r="H17" s="1868">
        <v>121738</v>
      </c>
      <c r="I17" s="1868" t="s">
        <v>345</v>
      </c>
      <c r="J17" s="1868">
        <v>152786</v>
      </c>
      <c r="K17" s="1868">
        <v>124374</v>
      </c>
      <c r="L17" s="1868">
        <v>168009</v>
      </c>
      <c r="M17" s="1868">
        <v>156457</v>
      </c>
      <c r="N17" s="1868">
        <v>161618</v>
      </c>
      <c r="O17" s="1868">
        <v>165615</v>
      </c>
      <c r="P17" s="1868">
        <v>164582</v>
      </c>
      <c r="Q17" s="1868">
        <v>165965</v>
      </c>
      <c r="R17" s="1868">
        <v>168784</v>
      </c>
      <c r="S17" s="1868">
        <v>178776</v>
      </c>
      <c r="T17" s="1868">
        <v>198859</v>
      </c>
      <c r="U17" s="1868">
        <v>83198</v>
      </c>
      <c r="V17" s="1868">
        <v>106478</v>
      </c>
      <c r="W17" s="1868">
        <v>120668</v>
      </c>
      <c r="X17" s="3060">
        <v>133826</v>
      </c>
    </row>
    <row r="18" spans="1:24" s="1871" customFormat="1" x14ac:dyDescent="0.25">
      <c r="A18" s="453"/>
      <c r="B18" s="1869"/>
      <c r="C18" s="1869"/>
      <c r="D18" s="3053" t="s">
        <v>261</v>
      </c>
      <c r="E18" s="1870">
        <f>SUM(E9,E11:E17)</f>
        <v>74069</v>
      </c>
      <c r="F18" s="1870">
        <f t="shared" ref="F18:R18" si="2">SUM(F9,F11:F17)</f>
        <v>229947</v>
      </c>
      <c r="G18" s="1870">
        <f t="shared" si="2"/>
        <v>232370</v>
      </c>
      <c r="H18" s="1870">
        <f t="shared" si="2"/>
        <v>255978</v>
      </c>
      <c r="I18" s="1870">
        <f t="shared" si="2"/>
        <v>68283</v>
      </c>
      <c r="J18" s="1870">
        <f t="shared" si="2"/>
        <v>199567</v>
      </c>
      <c r="K18" s="1870">
        <f t="shared" si="2"/>
        <v>184610</v>
      </c>
      <c r="L18" s="1870">
        <f t="shared" si="2"/>
        <v>218252</v>
      </c>
      <c r="M18" s="1870">
        <f>SUM(M9,M11:M17)</f>
        <v>300775</v>
      </c>
      <c r="N18" s="1870">
        <f>SUM(N9,N11:N17)</f>
        <v>281022</v>
      </c>
      <c r="O18" s="1870">
        <f t="shared" si="2"/>
        <v>318834</v>
      </c>
      <c r="P18" s="1870">
        <f t="shared" si="2"/>
        <v>295816</v>
      </c>
      <c r="Q18" s="1870">
        <f t="shared" si="2"/>
        <v>404693</v>
      </c>
      <c r="R18" s="1870">
        <f t="shared" si="2"/>
        <v>379753</v>
      </c>
      <c r="S18" s="1870">
        <f>SUM(S9,S11:S17)</f>
        <v>353064</v>
      </c>
      <c r="T18" s="1870">
        <f>SUM(T9,T11:T17)</f>
        <v>484189</v>
      </c>
      <c r="U18" s="1870">
        <f>SUM(U9,U11:U17)</f>
        <v>274190</v>
      </c>
      <c r="V18" s="1870">
        <f t="shared" ref="V18:W18" si="3">SUM(V9,V11:V17)</f>
        <v>339160</v>
      </c>
      <c r="W18" s="1870">
        <f t="shared" si="3"/>
        <v>385208</v>
      </c>
      <c r="X18" s="3061">
        <f>SUM(X9,X11:X17)</f>
        <v>402862</v>
      </c>
    </row>
    <row r="19" spans="1:24" x14ac:dyDescent="0.25">
      <c r="D19" s="1864"/>
      <c r="E19" s="1866"/>
      <c r="F19" s="1866"/>
      <c r="G19" s="1866"/>
      <c r="H19" s="1866"/>
      <c r="I19" s="1866"/>
      <c r="J19" s="1866"/>
      <c r="K19" s="1866"/>
      <c r="L19" s="1866"/>
      <c r="M19" s="1866"/>
      <c r="N19" s="1866"/>
      <c r="O19" s="1866"/>
      <c r="P19" s="1866"/>
      <c r="Q19" s="1866"/>
      <c r="R19" s="1866"/>
      <c r="S19" s="1866"/>
      <c r="T19" s="1866"/>
      <c r="U19" s="1866"/>
      <c r="V19" s="1866"/>
      <c r="W19" s="1866"/>
      <c r="X19" s="1866"/>
    </row>
    <row r="20" spans="1:24" s="1856" customFormat="1" ht="16.5" x14ac:dyDescent="0.3">
      <c r="A20" s="1850"/>
      <c r="B20" s="1850"/>
      <c r="C20" s="1850"/>
      <c r="D20" s="1851" t="s">
        <v>103</v>
      </c>
      <c r="E20" s="1445" t="s">
        <v>1750</v>
      </c>
      <c r="F20" s="1445"/>
      <c r="G20" s="1445"/>
      <c r="H20" s="1852"/>
      <c r="I20" s="1852"/>
      <c r="J20" s="1852"/>
      <c r="K20" s="1852"/>
      <c r="L20" s="1195"/>
      <c r="M20" s="1853"/>
      <c r="N20" s="1853"/>
      <c r="O20" s="1853"/>
      <c r="P20" s="1853"/>
      <c r="Q20" s="1854"/>
      <c r="R20" s="1854"/>
      <c r="S20" s="1854"/>
      <c r="T20" s="1854"/>
      <c r="U20" s="1854"/>
      <c r="V20" s="1854"/>
      <c r="W20" s="1854"/>
      <c r="X20" s="1854"/>
    </row>
    <row r="21" spans="1:24" x14ac:dyDescent="0.25">
      <c r="D21" s="3047"/>
      <c r="E21" s="1857" t="s">
        <v>126</v>
      </c>
      <c r="F21" s="1857" t="s">
        <v>127</v>
      </c>
      <c r="G21" s="1857" t="s">
        <v>128</v>
      </c>
      <c r="H21" s="1857" t="s">
        <v>129</v>
      </c>
      <c r="I21" s="1857" t="s">
        <v>130</v>
      </c>
      <c r="J21" s="1858" t="s">
        <v>131</v>
      </c>
      <c r="K21" s="1857" t="s">
        <v>132</v>
      </c>
      <c r="L21" s="1857" t="s">
        <v>133</v>
      </c>
      <c r="M21" s="1857" t="s">
        <v>134</v>
      </c>
      <c r="N21" s="1857" t="s">
        <v>135</v>
      </c>
      <c r="O21" s="1857" t="s">
        <v>136</v>
      </c>
      <c r="P21" s="1857" t="s">
        <v>137</v>
      </c>
      <c r="Q21" s="1857" t="s">
        <v>138</v>
      </c>
      <c r="R21" s="1857" t="s">
        <v>139</v>
      </c>
      <c r="S21" s="1857" t="s">
        <v>140</v>
      </c>
      <c r="T21" s="1857" t="s">
        <v>141</v>
      </c>
      <c r="U21" s="1857" t="s">
        <v>142</v>
      </c>
      <c r="V21" s="1857" t="s">
        <v>143</v>
      </c>
      <c r="W21" s="1857" t="s">
        <v>144</v>
      </c>
      <c r="X21" s="3054" t="s">
        <v>145</v>
      </c>
    </row>
    <row r="22" spans="1:24" x14ac:dyDescent="0.25">
      <c r="D22" s="3050" t="s">
        <v>1751</v>
      </c>
      <c r="E22" s="1866">
        <v>17433</v>
      </c>
      <c r="F22" s="1866">
        <v>21159</v>
      </c>
      <c r="G22" s="1866">
        <v>22724</v>
      </c>
      <c r="H22" s="1866">
        <v>22280</v>
      </c>
      <c r="I22" s="1866">
        <v>21659</v>
      </c>
      <c r="J22" s="1866">
        <v>24954</v>
      </c>
      <c r="K22" s="1866">
        <v>28030</v>
      </c>
      <c r="L22" s="1866">
        <v>28941</v>
      </c>
      <c r="M22" s="1866">
        <v>31491</v>
      </c>
      <c r="N22" s="1866">
        <v>31562</v>
      </c>
      <c r="O22" s="1866">
        <v>24387</v>
      </c>
      <c r="P22" s="1866">
        <v>25899</v>
      </c>
      <c r="Q22" s="1866">
        <v>30914</v>
      </c>
      <c r="R22" s="1866">
        <v>34299</v>
      </c>
      <c r="S22" s="1866">
        <v>36862</v>
      </c>
      <c r="T22" s="1866">
        <v>42059</v>
      </c>
      <c r="U22" s="1866">
        <v>44218</v>
      </c>
      <c r="V22" s="1866">
        <v>46259</v>
      </c>
      <c r="W22" s="1866">
        <v>49282</v>
      </c>
      <c r="X22" s="3059">
        <v>50855</v>
      </c>
    </row>
    <row r="23" spans="1:24" x14ac:dyDescent="0.25">
      <c r="D23" s="3052" t="s">
        <v>1752</v>
      </c>
      <c r="E23" s="1868">
        <v>8487</v>
      </c>
      <c r="F23" s="1868">
        <v>10715</v>
      </c>
      <c r="G23" s="1868">
        <v>12054</v>
      </c>
      <c r="H23" s="1868">
        <v>11751</v>
      </c>
      <c r="I23" s="1868">
        <v>12648</v>
      </c>
      <c r="J23" s="1868">
        <v>16509</v>
      </c>
      <c r="K23" s="1868">
        <v>17935</v>
      </c>
      <c r="L23" s="1868">
        <v>19248</v>
      </c>
      <c r="M23" s="1868">
        <v>20656</v>
      </c>
      <c r="N23" s="1868">
        <v>20680</v>
      </c>
      <c r="O23" s="1868">
        <v>15470</v>
      </c>
      <c r="P23" s="1868">
        <v>16044</v>
      </c>
      <c r="Q23" s="1868">
        <v>17708</v>
      </c>
      <c r="R23" s="1868">
        <v>18886</v>
      </c>
      <c r="S23" s="1868">
        <v>18370</v>
      </c>
      <c r="T23" s="1868">
        <v>19627</v>
      </c>
      <c r="U23" s="1868">
        <v>19437</v>
      </c>
      <c r="V23" s="1868">
        <v>15943</v>
      </c>
      <c r="W23" s="1868">
        <v>16744</v>
      </c>
      <c r="X23" s="3060">
        <v>17318</v>
      </c>
    </row>
    <row r="24" spans="1:24" s="1871" customFormat="1" x14ac:dyDescent="0.25">
      <c r="A24" s="453"/>
      <c r="B24" s="1869"/>
      <c r="C24" s="1869"/>
      <c r="D24" s="3053" t="s">
        <v>261</v>
      </c>
      <c r="E24" s="1870">
        <f>SUM(E22:E23)</f>
        <v>25920</v>
      </c>
      <c r="F24" s="1870">
        <f>SUM(F22:F23)</f>
        <v>31874</v>
      </c>
      <c r="G24" s="1870">
        <f t="shared" ref="G24:T24" si="4">SUM(G22:G23)</f>
        <v>34778</v>
      </c>
      <c r="H24" s="1870">
        <f t="shared" si="4"/>
        <v>34031</v>
      </c>
      <c r="I24" s="1870">
        <f t="shared" si="4"/>
        <v>34307</v>
      </c>
      <c r="J24" s="1870">
        <f t="shared" si="4"/>
        <v>41463</v>
      </c>
      <c r="K24" s="1870">
        <f t="shared" si="4"/>
        <v>45965</v>
      </c>
      <c r="L24" s="1870">
        <f t="shared" si="4"/>
        <v>48189</v>
      </c>
      <c r="M24" s="1870">
        <f t="shared" si="4"/>
        <v>52147</v>
      </c>
      <c r="N24" s="1870">
        <f t="shared" si="4"/>
        <v>52242</v>
      </c>
      <c r="O24" s="1870">
        <f t="shared" si="4"/>
        <v>39857</v>
      </c>
      <c r="P24" s="1870">
        <f t="shared" si="4"/>
        <v>41943</v>
      </c>
      <c r="Q24" s="1870">
        <f t="shared" si="4"/>
        <v>48622</v>
      </c>
      <c r="R24" s="1870">
        <f t="shared" si="4"/>
        <v>53185</v>
      </c>
      <c r="S24" s="1870">
        <f t="shared" si="4"/>
        <v>55232</v>
      </c>
      <c r="T24" s="1870">
        <f t="shared" si="4"/>
        <v>61686</v>
      </c>
      <c r="U24" s="1870">
        <f>SUM(U22:U23)</f>
        <v>63655</v>
      </c>
      <c r="V24" s="1870">
        <v>62202</v>
      </c>
      <c r="W24" s="1870">
        <v>66025</v>
      </c>
      <c r="X24" s="3061">
        <v>68173</v>
      </c>
    </row>
    <row r="25" spans="1:24" s="1871" customFormat="1" x14ac:dyDescent="0.25">
      <c r="A25" s="453"/>
      <c r="B25" s="1869"/>
      <c r="C25" s="1869"/>
      <c r="D25" s="1872"/>
      <c r="E25" s="1873"/>
      <c r="F25" s="1873"/>
      <c r="G25" s="1873"/>
      <c r="H25" s="1873"/>
      <c r="I25" s="1873"/>
      <c r="J25" s="1873"/>
      <c r="K25" s="1873"/>
      <c r="L25" s="1873"/>
      <c r="M25" s="1873"/>
      <c r="N25" s="1873"/>
      <c r="O25" s="1873"/>
      <c r="P25" s="1873"/>
      <c r="Q25" s="1873"/>
      <c r="R25" s="1873"/>
      <c r="S25" s="1873"/>
      <c r="T25" s="1873"/>
      <c r="U25" s="1873"/>
      <c r="V25" s="1857"/>
      <c r="W25" s="1874"/>
    </row>
    <row r="26" spans="1:24" x14ac:dyDescent="0.25">
      <c r="D26" s="996"/>
      <c r="E26" s="117"/>
      <c r="F26" s="117"/>
      <c r="G26" s="117"/>
      <c r="H26" s="117"/>
      <c r="I26" s="117"/>
      <c r="J26" s="117"/>
      <c r="K26" s="117"/>
      <c r="L26" s="117"/>
      <c r="M26" s="1444"/>
      <c r="N26" s="117"/>
      <c r="O26" s="117"/>
      <c r="P26" s="117"/>
      <c r="Q26" s="117"/>
      <c r="R26" s="117"/>
      <c r="V26" s="1862"/>
    </row>
    <row r="27" spans="1:24" x14ac:dyDescent="0.25">
      <c r="D27" s="996"/>
      <c r="E27" s="117"/>
      <c r="F27" s="117"/>
      <c r="G27" s="117"/>
      <c r="H27" s="117"/>
      <c r="I27" s="117"/>
      <c r="J27" s="117"/>
      <c r="K27" s="117"/>
      <c r="L27" s="117"/>
      <c r="M27" s="1444"/>
      <c r="N27" s="117"/>
      <c r="O27" s="117"/>
      <c r="P27" s="117"/>
      <c r="Q27" s="117"/>
      <c r="R27" s="117"/>
    </row>
    <row r="28" spans="1:24" x14ac:dyDescent="0.25">
      <c r="D28" s="996"/>
      <c r="E28" s="117"/>
      <c r="F28" s="117"/>
      <c r="G28" s="117"/>
      <c r="H28" s="117"/>
      <c r="I28" s="117"/>
      <c r="J28" s="117"/>
      <c r="K28" s="117"/>
      <c r="L28" s="117"/>
      <c r="M28" s="1444"/>
      <c r="N28" s="117"/>
      <c r="O28" s="117"/>
      <c r="P28" s="117"/>
      <c r="Q28" s="117"/>
      <c r="R28" s="117"/>
    </row>
    <row r="29" spans="1:24" x14ac:dyDescent="0.25">
      <c r="D29" s="996"/>
      <c r="E29" s="117"/>
      <c r="F29" s="117"/>
      <c r="G29" s="117"/>
      <c r="H29" s="117"/>
      <c r="I29" s="117"/>
      <c r="J29" s="117"/>
      <c r="K29" s="117"/>
      <c r="L29" s="117"/>
      <c r="M29" s="1444"/>
      <c r="N29" s="117"/>
      <c r="O29" s="117"/>
      <c r="P29" s="117"/>
      <c r="Q29" s="117"/>
      <c r="R29" s="117"/>
    </row>
    <row r="30" spans="1:24" x14ac:dyDescent="0.25">
      <c r="D30" s="996"/>
      <c r="E30" s="117"/>
      <c r="F30" s="117"/>
      <c r="G30" s="117"/>
      <c r="H30" s="117"/>
      <c r="I30" s="117"/>
      <c r="J30" s="117"/>
      <c r="K30" s="117"/>
      <c r="L30" s="117"/>
      <c r="M30" s="1444"/>
      <c r="N30" s="117"/>
      <c r="O30" s="117"/>
      <c r="P30" s="117"/>
      <c r="Q30" s="117"/>
      <c r="R30" s="117"/>
    </row>
    <row r="31" spans="1:24" x14ac:dyDescent="0.25">
      <c r="D31" s="996"/>
      <c r="E31" s="117"/>
      <c r="F31" s="117"/>
      <c r="G31" s="117"/>
      <c r="H31" s="117"/>
      <c r="I31" s="117"/>
      <c r="J31" s="117"/>
      <c r="K31" s="117"/>
      <c r="L31" s="117"/>
      <c r="M31" s="1444"/>
      <c r="N31" s="117"/>
      <c r="O31" s="117"/>
      <c r="P31" s="117"/>
      <c r="Q31" s="117"/>
      <c r="R31" s="117"/>
    </row>
    <row r="32" spans="1:24" x14ac:dyDescent="0.25">
      <c r="A32" s="229"/>
      <c r="B32" s="229"/>
      <c r="C32" s="229"/>
      <c r="D32" s="996"/>
      <c r="E32" s="117"/>
      <c r="F32" s="117"/>
      <c r="G32" s="117"/>
      <c r="H32" s="117"/>
      <c r="I32" s="117"/>
      <c r="J32" s="117"/>
      <c r="K32" s="117"/>
      <c r="L32" s="117"/>
      <c r="M32" s="1444"/>
      <c r="N32" s="117"/>
      <c r="O32" s="117"/>
      <c r="P32" s="117"/>
      <c r="Q32" s="117"/>
      <c r="R32" s="117"/>
    </row>
    <row r="33" spans="1:24" x14ac:dyDescent="0.25">
      <c r="A33" s="229"/>
      <c r="B33" s="229"/>
      <c r="C33" s="229"/>
      <c r="D33" s="996"/>
      <c r="E33" s="117"/>
      <c r="F33" s="117"/>
      <c r="G33" s="117"/>
      <c r="H33" s="117"/>
      <c r="I33" s="117"/>
      <c r="J33" s="117"/>
      <c r="K33" s="117"/>
      <c r="L33" s="117"/>
      <c r="M33" s="1444"/>
      <c r="N33" s="117"/>
      <c r="O33" s="117"/>
      <c r="P33" s="117"/>
      <c r="Q33" s="117"/>
      <c r="R33" s="117"/>
    </row>
    <row r="34" spans="1:24" x14ac:dyDescent="0.25">
      <c r="A34" s="229"/>
      <c r="B34" s="229"/>
      <c r="C34" s="229"/>
      <c r="D34" s="996"/>
      <c r="E34" s="117"/>
      <c r="F34" s="117"/>
      <c r="G34" s="117"/>
      <c r="H34" s="117"/>
      <c r="I34" s="117"/>
      <c r="J34" s="117"/>
      <c r="K34" s="117"/>
      <c r="L34" s="117"/>
      <c r="M34" s="1444"/>
      <c r="N34" s="117"/>
      <c r="O34" s="117"/>
      <c r="P34" s="117"/>
      <c r="Q34" s="117"/>
      <c r="R34" s="117"/>
    </row>
    <row r="35" spans="1:24" x14ac:dyDescent="0.25">
      <c r="A35" s="229"/>
      <c r="B35" s="229"/>
      <c r="C35" s="229"/>
      <c r="D35" s="996"/>
      <c r="E35" s="117"/>
      <c r="F35" s="117"/>
      <c r="G35" s="117"/>
      <c r="H35" s="117"/>
      <c r="I35" s="117"/>
      <c r="J35" s="117"/>
      <c r="K35" s="117"/>
      <c r="L35" s="117"/>
      <c r="M35" s="1444"/>
      <c r="N35" s="117"/>
      <c r="O35" s="117"/>
      <c r="P35" s="117"/>
      <c r="Q35" s="117"/>
      <c r="R35" s="117"/>
    </row>
    <row r="36" spans="1:24" x14ac:dyDescent="0.25">
      <c r="A36" s="229"/>
      <c r="B36" s="229"/>
      <c r="C36" s="229"/>
      <c r="D36" s="996"/>
      <c r="E36" s="117"/>
      <c r="F36" s="117"/>
      <c r="G36" s="117"/>
      <c r="H36" s="117"/>
      <c r="I36" s="117"/>
      <c r="J36" s="117"/>
      <c r="K36" s="117"/>
      <c r="L36" s="117"/>
      <c r="M36" s="1444"/>
      <c r="N36" s="117"/>
      <c r="O36" s="117"/>
      <c r="P36" s="117"/>
      <c r="Q36" s="117"/>
      <c r="R36" s="117"/>
    </row>
    <row r="37" spans="1:24" x14ac:dyDescent="0.25">
      <c r="A37" s="229"/>
      <c r="B37" s="229"/>
      <c r="C37" s="229"/>
      <c r="D37" s="1442"/>
      <c r="E37" s="996"/>
      <c r="F37" s="996"/>
      <c r="G37" s="996"/>
      <c r="H37" s="996"/>
      <c r="I37" s="996"/>
      <c r="J37" s="996"/>
      <c r="K37" s="1442"/>
      <c r="L37" s="996"/>
      <c r="M37" s="1444"/>
      <c r="N37" s="996"/>
      <c r="O37" s="996"/>
      <c r="P37" s="996"/>
      <c r="Q37" s="996"/>
      <c r="R37" s="996"/>
    </row>
    <row r="38" spans="1:24" x14ac:dyDescent="0.25">
      <c r="A38" s="229"/>
      <c r="B38" s="229"/>
      <c r="C38" s="229"/>
      <c r="D38" s="996"/>
      <c r="E38" s="996"/>
      <c r="F38" s="996"/>
      <c r="G38" s="996"/>
      <c r="H38" s="996"/>
      <c r="I38" s="996"/>
      <c r="J38" s="996"/>
      <c r="K38" s="996"/>
      <c r="L38" s="996"/>
      <c r="M38" s="996"/>
      <c r="N38" s="996"/>
      <c r="O38" s="996"/>
      <c r="P38" s="996"/>
      <c r="Q38" s="996"/>
      <c r="R38" s="996"/>
    </row>
    <row r="39" spans="1:24" x14ac:dyDescent="0.25">
      <c r="A39" s="229"/>
      <c r="B39" s="229"/>
      <c r="C39" s="229"/>
      <c r="D39" s="996"/>
      <c r="E39" s="996"/>
      <c r="F39" s="996"/>
      <c r="G39" s="996"/>
      <c r="H39" s="996"/>
      <c r="I39" s="996"/>
      <c r="J39" s="996"/>
      <c r="K39" s="996"/>
      <c r="L39" s="996"/>
      <c r="M39" s="996"/>
      <c r="N39" s="996"/>
      <c r="O39" s="996"/>
      <c r="P39" s="996"/>
      <c r="Q39" s="996"/>
      <c r="R39" s="996"/>
    </row>
    <row r="40" spans="1:24" x14ac:dyDescent="0.25">
      <c r="A40" s="229"/>
      <c r="B40" s="229"/>
      <c r="C40" s="229"/>
      <c r="D40" s="996"/>
      <c r="E40" s="996"/>
      <c r="F40" s="996"/>
      <c r="G40" s="996"/>
      <c r="H40" s="996"/>
      <c r="I40" s="996"/>
      <c r="J40" s="996"/>
      <c r="K40" s="996"/>
      <c r="L40" s="996"/>
      <c r="M40" s="996"/>
      <c r="N40" s="996"/>
      <c r="O40" s="996"/>
      <c r="P40" s="996"/>
      <c r="Q40" s="996"/>
      <c r="R40" s="996"/>
    </row>
    <row r="41" spans="1:24" x14ac:dyDescent="0.25">
      <c r="A41" s="229"/>
      <c r="B41" s="229"/>
      <c r="C41" s="229"/>
      <c r="D41" s="996"/>
      <c r="E41" s="996"/>
      <c r="F41" s="996"/>
      <c r="G41" s="996"/>
      <c r="H41" s="996"/>
      <c r="I41" s="996"/>
      <c r="J41" s="996"/>
      <c r="K41" s="996"/>
      <c r="L41" s="996"/>
      <c r="M41" s="996"/>
      <c r="N41" s="996"/>
      <c r="O41" s="996"/>
      <c r="P41" s="996"/>
      <c r="Q41" s="996"/>
      <c r="R41" s="996"/>
    </row>
    <row r="42" spans="1:24" x14ac:dyDescent="0.25">
      <c r="A42" s="229"/>
      <c r="B42" s="229"/>
      <c r="C42" s="229"/>
      <c r="D42" s="996"/>
      <c r="E42" s="996"/>
      <c r="F42" s="996"/>
      <c r="G42" s="996"/>
      <c r="H42" s="996"/>
      <c r="I42" s="996"/>
      <c r="J42" s="996"/>
      <c r="K42" s="996"/>
      <c r="L42" s="996"/>
      <c r="M42" s="996"/>
      <c r="N42" s="996"/>
      <c r="O42" s="996"/>
      <c r="P42" s="996"/>
      <c r="Q42" s="996"/>
      <c r="R42" s="996"/>
    </row>
    <row r="43" spans="1:24" x14ac:dyDescent="0.25">
      <c r="A43" s="229"/>
      <c r="B43" s="229"/>
      <c r="C43" s="229"/>
      <c r="D43" s="996"/>
      <c r="E43" s="996"/>
      <c r="F43" s="996"/>
      <c r="G43" s="996"/>
      <c r="H43" s="996"/>
      <c r="I43" s="996"/>
      <c r="J43" s="996"/>
      <c r="K43" s="996"/>
      <c r="L43" s="996"/>
      <c r="M43" s="996"/>
      <c r="N43" s="996"/>
      <c r="O43" s="996"/>
      <c r="P43" s="996"/>
      <c r="Q43" s="996"/>
      <c r="R43" s="996"/>
    </row>
    <row r="44" spans="1:24" x14ac:dyDescent="0.25">
      <c r="A44" s="453">
        <v>5</v>
      </c>
      <c r="B44" s="453" t="s">
        <v>78</v>
      </c>
      <c r="C44" s="453"/>
      <c r="D44" s="3553" t="s">
        <v>555</v>
      </c>
      <c r="E44" s="3554"/>
      <c r="F44" s="3554"/>
      <c r="G44" s="3554"/>
      <c r="H44" s="3554"/>
      <c r="I44" s="3554"/>
      <c r="J44" s="3554"/>
      <c r="K44" s="3554"/>
      <c r="L44" s="3554"/>
      <c r="M44" s="3554"/>
      <c r="N44" s="3554"/>
      <c r="O44" s="3554"/>
      <c r="P44" s="3554"/>
      <c r="Q44" s="3554"/>
      <c r="R44" s="3554"/>
      <c r="S44" s="3554"/>
      <c r="T44" s="3554"/>
      <c r="U44" s="3554"/>
      <c r="V44" s="3554"/>
      <c r="W44" s="3554"/>
      <c r="X44" s="3555"/>
    </row>
    <row r="45" spans="1:24" ht="93.75" customHeight="1" x14ac:dyDescent="0.25">
      <c r="A45" s="472">
        <v>6</v>
      </c>
      <c r="B45" s="472" t="s">
        <v>80</v>
      </c>
      <c r="C45" s="472"/>
      <c r="D45" s="3568" t="s">
        <v>1753</v>
      </c>
      <c r="E45" s="3569"/>
      <c r="F45" s="3569"/>
      <c r="G45" s="3569"/>
      <c r="H45" s="3569"/>
      <c r="I45" s="3569"/>
      <c r="J45" s="3569"/>
      <c r="K45" s="3569"/>
      <c r="L45" s="3569"/>
      <c r="M45" s="3569"/>
      <c r="N45" s="3569"/>
      <c r="O45" s="3569"/>
      <c r="P45" s="3569"/>
      <c r="Q45" s="3569"/>
      <c r="R45" s="3569"/>
      <c r="S45" s="3569"/>
      <c r="T45" s="3569"/>
      <c r="U45" s="3569"/>
      <c r="V45" s="3569"/>
      <c r="W45" s="3569"/>
      <c r="X45" s="3570"/>
    </row>
    <row r="46" spans="1:24" ht="15" customHeight="1" x14ac:dyDescent="0.25">
      <c r="A46" s="453">
        <v>7</v>
      </c>
      <c r="B46" s="453" t="s">
        <v>20</v>
      </c>
      <c r="C46" s="453"/>
      <c r="D46" s="3556" t="s">
        <v>1739</v>
      </c>
      <c r="E46" s="3557"/>
      <c r="F46" s="3557"/>
      <c r="G46" s="3557"/>
      <c r="H46" s="3557"/>
      <c r="I46" s="3557"/>
      <c r="J46" s="3557"/>
      <c r="K46" s="3557"/>
      <c r="L46" s="3557"/>
      <c r="M46" s="3557"/>
      <c r="N46" s="3557"/>
      <c r="O46" s="3557"/>
      <c r="P46" s="3557"/>
      <c r="Q46" s="3557"/>
      <c r="R46" s="3557"/>
      <c r="S46" s="3557"/>
      <c r="T46" s="3557"/>
      <c r="U46" s="3557"/>
      <c r="V46" s="3557"/>
      <c r="W46" s="3557"/>
      <c r="X46" s="3558"/>
    </row>
    <row r="48" spans="1:24" x14ac:dyDescent="0.25">
      <c r="A48" s="229"/>
      <c r="B48" s="229"/>
      <c r="C48" s="229"/>
      <c r="D48" s="1875"/>
    </row>
  </sheetData>
  <mergeCells count="6">
    <mergeCell ref="D46:X46"/>
    <mergeCell ref="D2:X2"/>
    <mergeCell ref="D3:X3"/>
    <mergeCell ref="D4:X4"/>
    <mergeCell ref="D44:X44"/>
    <mergeCell ref="D45:X45"/>
  </mergeCells>
  <pageMargins left="0.74803149606299213" right="0.74803149606299213" top="0.98425196850393704" bottom="0.98425196850393704" header="0.51181102362204722" footer="0.51181102362204722"/>
  <pageSetup paperSize="9" scale="5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43"/>
  <sheetViews>
    <sheetView showGridLines="0" view="pageBreakPreview" topLeftCell="H1" zoomScaleNormal="100" zoomScaleSheetLayoutView="100" workbookViewId="0">
      <selection activeCell="Y15" sqref="Y15:Y18"/>
    </sheetView>
  </sheetViews>
  <sheetFormatPr defaultColWidth="9.140625" defaultRowHeight="14.25" x14ac:dyDescent="0.2"/>
  <cols>
    <col min="1" max="1" width="3.7109375" style="453" customWidth="1"/>
    <col min="2" max="2" width="14.42578125" style="1822" customWidth="1"/>
    <col min="3" max="3" width="3.7109375" style="1822" customWidth="1"/>
    <col min="4" max="4" width="18" style="1824" bestFit="1" customWidth="1"/>
    <col min="5" max="19" width="7.42578125" style="1824" customWidth="1"/>
    <col min="20" max="23" width="6.7109375" style="1824" customWidth="1"/>
    <col min="24" max="16384" width="9.140625" style="1824"/>
  </cols>
  <sheetData>
    <row r="1" spans="1:25" x14ac:dyDescent="0.2">
      <c r="D1" s="1823"/>
      <c r="E1" s="1823"/>
      <c r="F1" s="1823"/>
      <c r="G1" s="1823"/>
      <c r="H1" s="1823"/>
      <c r="I1" s="1823"/>
      <c r="J1" s="1823"/>
      <c r="K1" s="1823"/>
      <c r="L1" s="1823"/>
      <c r="M1" s="1823"/>
      <c r="N1" s="1823"/>
      <c r="O1" s="1823"/>
      <c r="P1" s="1823"/>
      <c r="Q1" s="1823"/>
      <c r="R1" s="1823"/>
    </row>
    <row r="2" spans="1:25" ht="13.9" customHeight="1" x14ac:dyDescent="0.2">
      <c r="A2" s="453">
        <v>1</v>
      </c>
      <c r="B2" s="453" t="s">
        <v>24</v>
      </c>
      <c r="C2" s="453">
        <f>1+Rehabilitation!C2</f>
        <v>73</v>
      </c>
      <c r="D2" s="3556" t="s">
        <v>1754</v>
      </c>
      <c r="E2" s="3557"/>
      <c r="F2" s="3557"/>
      <c r="G2" s="3557"/>
      <c r="H2" s="3557"/>
      <c r="I2" s="3557"/>
      <c r="J2" s="3557"/>
      <c r="K2" s="3557"/>
      <c r="L2" s="3557"/>
      <c r="M2" s="3557"/>
      <c r="N2" s="3557"/>
      <c r="O2" s="3557"/>
      <c r="P2" s="3557"/>
      <c r="Q2" s="3557"/>
      <c r="R2" s="3557"/>
      <c r="S2" s="3557"/>
      <c r="T2" s="3557"/>
      <c r="U2" s="3557"/>
      <c r="V2" s="3557"/>
      <c r="W2" s="3557"/>
      <c r="X2" s="3557"/>
      <c r="Y2" s="3558"/>
    </row>
    <row r="3" spans="1:25" ht="15" customHeight="1" x14ac:dyDescent="0.2">
      <c r="A3" s="453">
        <v>2</v>
      </c>
      <c r="B3" s="453" t="s">
        <v>26</v>
      </c>
      <c r="C3" s="453"/>
      <c r="D3" s="3553" t="s">
        <v>1721</v>
      </c>
      <c r="E3" s="3554"/>
      <c r="F3" s="3554"/>
      <c r="G3" s="3554"/>
      <c r="H3" s="3554"/>
      <c r="I3" s="3554"/>
      <c r="J3" s="3554"/>
      <c r="K3" s="3554"/>
      <c r="L3" s="3554"/>
      <c r="M3" s="3554"/>
      <c r="N3" s="3554"/>
      <c r="O3" s="3554"/>
      <c r="P3" s="3554"/>
      <c r="Q3" s="3554"/>
      <c r="R3" s="3554"/>
      <c r="S3" s="3554"/>
      <c r="T3" s="3554"/>
      <c r="U3" s="3554"/>
      <c r="V3" s="3554"/>
      <c r="W3" s="3554"/>
      <c r="X3" s="3554"/>
      <c r="Y3" s="3555"/>
    </row>
    <row r="4" spans="1:25" ht="13.9" customHeight="1" x14ac:dyDescent="0.2">
      <c r="A4" s="453">
        <v>3</v>
      </c>
      <c r="B4" s="453" t="s">
        <v>28</v>
      </c>
      <c r="C4" s="453"/>
      <c r="D4" s="3553" t="s">
        <v>1755</v>
      </c>
      <c r="E4" s="3554"/>
      <c r="F4" s="3554"/>
      <c r="G4" s="3554"/>
      <c r="H4" s="3554"/>
      <c r="I4" s="3554"/>
      <c r="J4" s="3554"/>
      <c r="K4" s="3554"/>
      <c r="L4" s="3554"/>
      <c r="M4" s="3554"/>
      <c r="N4" s="3554"/>
      <c r="O4" s="3554"/>
      <c r="P4" s="3554"/>
      <c r="Q4" s="3554"/>
      <c r="R4" s="3554"/>
      <c r="S4" s="3554"/>
      <c r="T4" s="3554"/>
      <c r="U4" s="3554"/>
      <c r="V4" s="3554"/>
      <c r="W4" s="3554"/>
      <c r="X4" s="3554"/>
      <c r="Y4" s="3555"/>
    </row>
    <row r="5" spans="1:25" ht="15" customHeight="1" x14ac:dyDescent="0.2">
      <c r="A5" s="1170"/>
      <c r="B5" s="1170"/>
      <c r="C5" s="1170"/>
      <c r="D5" s="1439"/>
      <c r="E5" s="55"/>
      <c r="F5" s="55"/>
      <c r="G5" s="55"/>
      <c r="H5" s="55"/>
      <c r="I5" s="55"/>
      <c r="J5" s="55"/>
      <c r="K5" s="55"/>
      <c r="L5" s="55"/>
      <c r="M5" s="55"/>
      <c r="N5" s="55"/>
      <c r="O5" s="55"/>
      <c r="P5" s="55"/>
      <c r="Q5" s="77"/>
      <c r="R5" s="77"/>
    </row>
    <row r="6" spans="1:25" ht="15" x14ac:dyDescent="0.2">
      <c r="A6" s="453">
        <v>4</v>
      </c>
      <c r="B6" s="722" t="s">
        <v>1</v>
      </c>
      <c r="C6" s="722"/>
      <c r="Q6" s="77"/>
      <c r="R6" s="77"/>
    </row>
    <row r="7" spans="1:25" s="1826" customFormat="1" x14ac:dyDescent="0.2">
      <c r="A7" s="1825"/>
      <c r="B7" s="1825"/>
      <c r="C7" s="1825"/>
      <c r="D7" s="286" t="s">
        <v>31</v>
      </c>
      <c r="E7" s="1446" t="s">
        <v>1751</v>
      </c>
      <c r="G7" s="1827"/>
      <c r="H7" s="1827"/>
      <c r="I7" s="1828"/>
      <c r="J7" s="1828"/>
      <c r="K7" s="1828"/>
      <c r="L7" s="1828"/>
      <c r="M7" s="1827"/>
      <c r="N7" s="1828"/>
      <c r="O7" s="1828"/>
      <c r="P7" s="1828"/>
      <c r="Q7" s="1828"/>
      <c r="R7" s="1828"/>
      <c r="S7" s="1828"/>
      <c r="T7" s="1828"/>
      <c r="U7" s="1828"/>
      <c r="V7" s="1828"/>
      <c r="W7" s="1828"/>
      <c r="X7" s="1829"/>
    </row>
    <row r="8" spans="1:25" s="1835" customFormat="1" ht="15" x14ac:dyDescent="0.25">
      <c r="A8" s="1830"/>
      <c r="B8" s="1831"/>
      <c r="C8" s="1831"/>
      <c r="D8" s="3062"/>
      <c r="E8" s="1832" t="s">
        <v>125</v>
      </c>
      <c r="F8" s="1832" t="s">
        <v>126</v>
      </c>
      <c r="G8" s="1832" t="s">
        <v>127</v>
      </c>
      <c r="H8" s="1832" t="s">
        <v>128</v>
      </c>
      <c r="I8" s="1832" t="s">
        <v>129</v>
      </c>
      <c r="J8" s="1832" t="s">
        <v>130</v>
      </c>
      <c r="K8" s="1833" t="s">
        <v>131</v>
      </c>
      <c r="L8" s="1832" t="s">
        <v>132</v>
      </c>
      <c r="M8" s="1832" t="s">
        <v>133</v>
      </c>
      <c r="N8" s="1832" t="s">
        <v>134</v>
      </c>
      <c r="O8" s="1832" t="s">
        <v>135</v>
      </c>
      <c r="P8" s="1832" t="s">
        <v>136</v>
      </c>
      <c r="Q8" s="1832" t="s">
        <v>137</v>
      </c>
      <c r="R8" s="1832" t="s">
        <v>138</v>
      </c>
      <c r="S8" s="1832" t="s">
        <v>139</v>
      </c>
      <c r="T8" s="1832" t="s">
        <v>140</v>
      </c>
      <c r="U8" s="1832" t="s">
        <v>141</v>
      </c>
      <c r="V8" s="1833" t="s">
        <v>142</v>
      </c>
      <c r="W8" s="1833" t="s">
        <v>143</v>
      </c>
      <c r="X8" s="1834" t="s">
        <v>144</v>
      </c>
      <c r="Y8" s="3066" t="s">
        <v>145</v>
      </c>
    </row>
    <row r="9" spans="1:25" s="1835" customFormat="1" ht="15" x14ac:dyDescent="0.25">
      <c r="A9" s="1830"/>
      <c r="B9" s="1831"/>
      <c r="C9" s="1831"/>
      <c r="D9" s="3063" t="s">
        <v>1756</v>
      </c>
      <c r="E9" s="1837"/>
      <c r="F9" s="1838">
        <v>17433</v>
      </c>
      <c r="G9" s="1838">
        <v>21159</v>
      </c>
      <c r="H9" s="1838">
        <v>22724</v>
      </c>
      <c r="I9" s="1838">
        <v>22280</v>
      </c>
      <c r="J9" s="1838">
        <v>21659</v>
      </c>
      <c r="K9" s="1838">
        <v>24954</v>
      </c>
      <c r="L9" s="1838">
        <v>28030</v>
      </c>
      <c r="M9" s="1838">
        <v>28941</v>
      </c>
      <c r="N9" s="1838">
        <v>31491</v>
      </c>
      <c r="O9" s="1838">
        <v>31562</v>
      </c>
      <c r="P9" s="1838">
        <v>24387</v>
      </c>
      <c r="Q9" s="1838">
        <v>25899</v>
      </c>
      <c r="R9" s="1838">
        <v>30914</v>
      </c>
      <c r="S9" s="1838">
        <v>34299</v>
      </c>
      <c r="T9" s="1838">
        <v>36862</v>
      </c>
      <c r="U9" s="1838">
        <v>42059</v>
      </c>
      <c r="V9" s="1838">
        <v>47095</v>
      </c>
      <c r="W9" s="1838">
        <v>46259</v>
      </c>
      <c r="X9" s="1838">
        <v>49282</v>
      </c>
      <c r="Y9" s="3067">
        <v>50855</v>
      </c>
    </row>
    <row r="10" spans="1:25" s="1840" customFormat="1" ht="22.5" x14ac:dyDescent="0.2">
      <c r="A10" s="1830"/>
      <c r="B10" s="1830"/>
      <c r="C10" s="1839"/>
      <c r="D10" s="3063" t="s">
        <v>1757</v>
      </c>
      <c r="E10" s="1837"/>
      <c r="F10" s="1838">
        <v>5563.4944444444445</v>
      </c>
      <c r="G10" s="1838">
        <v>8364.9544770031989</v>
      </c>
      <c r="H10" s="1838">
        <v>10483.174880671688</v>
      </c>
      <c r="I10" s="1838">
        <v>10822.799212482736</v>
      </c>
      <c r="J10" s="1838">
        <v>10149.243128224562</v>
      </c>
      <c r="K10" s="1838">
        <v>11879.074162506331</v>
      </c>
      <c r="L10" s="1838">
        <v>15092.232568258456</v>
      </c>
      <c r="M10" s="1838">
        <v>15724.796177550894</v>
      </c>
      <c r="N10" s="1838">
        <v>19354.038755824877</v>
      </c>
      <c r="O10" s="1838">
        <v>21471.488074729146</v>
      </c>
      <c r="P10" s="1838">
        <v>17046.486689916452</v>
      </c>
      <c r="Q10" s="1838">
        <v>17411.108003719331</v>
      </c>
      <c r="R10" s="1838">
        <v>21238.989963391057</v>
      </c>
      <c r="S10" s="1838">
        <v>23309.261182664286</v>
      </c>
      <c r="T10" s="1838">
        <v>25721.7098783314</v>
      </c>
      <c r="U10" s="1838">
        <v>28106.833916934149</v>
      </c>
      <c r="V10" s="1838">
        <v>35819</v>
      </c>
      <c r="W10" s="1838">
        <v>39269</v>
      </c>
      <c r="X10" s="1838">
        <v>46380</v>
      </c>
      <c r="Y10" s="3067">
        <v>49928</v>
      </c>
    </row>
    <row r="11" spans="1:25" s="1840" customFormat="1" ht="22.5" x14ac:dyDescent="0.2">
      <c r="A11" s="1830"/>
      <c r="B11" s="1839"/>
      <c r="C11" s="1839"/>
      <c r="D11" s="3064" t="s">
        <v>1758</v>
      </c>
      <c r="E11" s="1841"/>
      <c r="F11" s="1842">
        <f t="shared" ref="F11:X11" si="0">F10/F9</f>
        <v>0.31913580246913581</v>
      </c>
      <c r="G11" s="1842">
        <f t="shared" si="0"/>
        <v>0.39533789295350436</v>
      </c>
      <c r="H11" s="1842">
        <f t="shared" si="0"/>
        <v>0.46132612571165676</v>
      </c>
      <c r="I11" s="1842">
        <f t="shared" si="0"/>
        <v>0.48576298081161295</v>
      </c>
      <c r="J11" s="1842">
        <f t="shared" si="0"/>
        <v>0.46859241554201769</v>
      </c>
      <c r="K11" s="1842">
        <f t="shared" si="0"/>
        <v>0.47603887803583916</v>
      </c>
      <c r="L11" s="1842">
        <f t="shared" si="0"/>
        <v>0.53843141520722282</v>
      </c>
      <c r="M11" s="1842">
        <f t="shared" si="0"/>
        <v>0.54333976633671588</v>
      </c>
      <c r="N11" s="1842">
        <f t="shared" si="0"/>
        <v>0.6145895257637064</v>
      </c>
      <c r="O11" s="1842">
        <f t="shared" si="0"/>
        <v>0.6802955476436584</v>
      </c>
      <c r="P11" s="1842">
        <f t="shared" si="0"/>
        <v>0.69899892114308659</v>
      </c>
      <c r="Q11" s="1842">
        <f t="shared" si="0"/>
        <v>0.67226950861883983</v>
      </c>
      <c r="R11" s="1842">
        <f t="shared" si="0"/>
        <v>0.68703467566122334</v>
      </c>
      <c r="S11" s="1842">
        <f t="shared" si="0"/>
        <v>0.67959010999341918</v>
      </c>
      <c r="T11" s="1842">
        <f t="shared" si="0"/>
        <v>0.69778389339513314</v>
      </c>
      <c r="U11" s="1842">
        <f t="shared" si="0"/>
        <v>0.66827156891352979</v>
      </c>
      <c r="V11" s="1842">
        <f t="shared" si="0"/>
        <v>0.76056906253317758</v>
      </c>
      <c r="W11" s="1842">
        <f t="shared" si="0"/>
        <v>0.84889426922328626</v>
      </c>
      <c r="X11" s="1842">
        <f t="shared" si="0"/>
        <v>0.94111440282456071</v>
      </c>
      <c r="Y11" s="3068">
        <v>0.98</v>
      </c>
    </row>
    <row r="12" spans="1:25" s="1840" customFormat="1" x14ac:dyDescent="0.2">
      <c r="A12" s="1830"/>
      <c r="B12" s="1839"/>
      <c r="C12" s="1839"/>
      <c r="D12" s="1836"/>
      <c r="E12" s="1837"/>
      <c r="F12" s="1843"/>
      <c r="G12" s="1843"/>
      <c r="H12" s="1843"/>
      <c r="I12" s="1843"/>
      <c r="J12" s="1843"/>
      <c r="K12" s="1843"/>
      <c r="L12" s="1843"/>
      <c r="M12" s="1843"/>
      <c r="N12" s="1843"/>
      <c r="O12" s="1843"/>
      <c r="P12" s="1843"/>
      <c r="Q12" s="1843"/>
      <c r="R12" s="1843"/>
      <c r="S12" s="1843"/>
      <c r="T12" s="1843"/>
      <c r="U12" s="1843"/>
      <c r="V12" s="1843"/>
      <c r="W12" s="1843"/>
      <c r="X12" s="1843"/>
      <c r="Y12" s="1843"/>
    </row>
    <row r="13" spans="1:25" s="1840" customFormat="1" x14ac:dyDescent="0.2">
      <c r="A13" s="1830"/>
      <c r="B13" s="1839"/>
      <c r="C13" s="1839"/>
      <c r="D13" s="1836"/>
      <c r="E13" s="1837"/>
      <c r="F13" s="1843"/>
      <c r="G13" s="1843"/>
      <c r="H13" s="1843"/>
      <c r="I13" s="1843"/>
      <c r="J13" s="1843"/>
      <c r="K13" s="1843"/>
      <c r="L13" s="1843"/>
      <c r="M13" s="1843"/>
      <c r="N13" s="1843"/>
      <c r="O13" s="1843"/>
      <c r="P13" s="1843"/>
      <c r="Q13" s="1843"/>
      <c r="R13" s="1843"/>
      <c r="S13" s="1843"/>
      <c r="T13" s="1843"/>
      <c r="U13" s="1843"/>
      <c r="V13" s="1843"/>
      <c r="W13" s="1843"/>
      <c r="X13" s="1843"/>
      <c r="Y13" s="1843"/>
    </row>
    <row r="14" spans="1:25" s="1840" customFormat="1" x14ac:dyDescent="0.2">
      <c r="A14" s="1830"/>
      <c r="B14" s="1839"/>
      <c r="C14" s="1839"/>
      <c r="D14" s="1844" t="s">
        <v>55</v>
      </c>
      <c r="E14" s="1447" t="s">
        <v>1759</v>
      </c>
      <c r="F14" s="1843"/>
      <c r="G14" s="1843"/>
      <c r="H14" s="1843"/>
      <c r="I14" s="1843"/>
      <c r="J14" s="1843"/>
      <c r="K14" s="1843"/>
      <c r="L14" s="1843"/>
      <c r="M14" s="1843"/>
      <c r="N14" s="1843"/>
      <c r="O14" s="1843"/>
      <c r="P14" s="1843"/>
      <c r="Q14" s="1843"/>
      <c r="R14" s="1843"/>
      <c r="S14" s="1843"/>
      <c r="T14" s="1843"/>
      <c r="U14" s="1843"/>
      <c r="V14" s="1843"/>
      <c r="W14" s="1843"/>
      <c r="X14" s="1843"/>
      <c r="Y14" s="1843"/>
    </row>
    <row r="15" spans="1:25" s="1840" customFormat="1" x14ac:dyDescent="0.2">
      <c r="A15" s="1830"/>
      <c r="B15" s="1839"/>
      <c r="C15" s="1839"/>
      <c r="D15" s="3065"/>
      <c r="E15" s="1832" t="s">
        <v>125</v>
      </c>
      <c r="F15" s="1832" t="s">
        <v>126</v>
      </c>
      <c r="G15" s="1832" t="s">
        <v>127</v>
      </c>
      <c r="H15" s="1832" t="s">
        <v>128</v>
      </c>
      <c r="I15" s="1832" t="s">
        <v>129</v>
      </c>
      <c r="J15" s="1832" t="s">
        <v>130</v>
      </c>
      <c r="K15" s="1833" t="s">
        <v>131</v>
      </c>
      <c r="L15" s="1832" t="s">
        <v>132</v>
      </c>
      <c r="M15" s="1832" t="s">
        <v>133</v>
      </c>
      <c r="N15" s="1832" t="s">
        <v>134</v>
      </c>
      <c r="O15" s="1832" t="s">
        <v>135</v>
      </c>
      <c r="P15" s="1832" t="s">
        <v>136</v>
      </c>
      <c r="Q15" s="1832" t="s">
        <v>137</v>
      </c>
      <c r="R15" s="1832" t="s">
        <v>138</v>
      </c>
      <c r="S15" s="1832" t="s">
        <v>139</v>
      </c>
      <c r="T15" s="1832" t="s">
        <v>140</v>
      </c>
      <c r="U15" s="1832" t="s">
        <v>141</v>
      </c>
      <c r="V15" s="1833" t="s">
        <v>142</v>
      </c>
      <c r="W15" s="1833" t="s">
        <v>143</v>
      </c>
      <c r="X15" s="1834" t="s">
        <v>144</v>
      </c>
      <c r="Y15" s="3066" t="s">
        <v>145</v>
      </c>
    </row>
    <row r="16" spans="1:25" s="1840" customFormat="1" x14ac:dyDescent="0.2">
      <c r="A16" s="1830"/>
      <c r="B16" s="1839"/>
      <c r="C16" s="1839"/>
      <c r="D16" s="3063" t="s">
        <v>1760</v>
      </c>
      <c r="E16" s="1837"/>
      <c r="F16" s="1838">
        <v>8487</v>
      </c>
      <c r="G16" s="1838">
        <v>10715</v>
      </c>
      <c r="H16" s="1838">
        <v>12054</v>
      </c>
      <c r="I16" s="1838">
        <v>11751</v>
      </c>
      <c r="J16" s="1838">
        <v>12648</v>
      </c>
      <c r="K16" s="1838">
        <v>16509</v>
      </c>
      <c r="L16" s="1838">
        <v>17935</v>
      </c>
      <c r="M16" s="1838">
        <v>19248</v>
      </c>
      <c r="N16" s="1838">
        <v>20656</v>
      </c>
      <c r="O16" s="1838">
        <v>20680</v>
      </c>
      <c r="P16" s="1838">
        <v>15470</v>
      </c>
      <c r="Q16" s="1838">
        <v>16044</v>
      </c>
      <c r="R16" s="1838">
        <v>17708</v>
      </c>
      <c r="S16" s="1838">
        <v>18886</v>
      </c>
      <c r="T16" s="1838">
        <v>18370</v>
      </c>
      <c r="U16" s="1838">
        <v>19627</v>
      </c>
      <c r="V16" s="1838">
        <v>19437</v>
      </c>
      <c r="W16" s="1845">
        <v>15943</v>
      </c>
      <c r="X16" s="1845">
        <v>16744</v>
      </c>
      <c r="Y16" s="3069">
        <v>16640</v>
      </c>
    </row>
    <row r="17" spans="1:25" s="1840" customFormat="1" ht="22.5" x14ac:dyDescent="0.2">
      <c r="A17" s="1830"/>
      <c r="B17" s="1839"/>
      <c r="C17" s="1839"/>
      <c r="D17" s="3063" t="s">
        <v>1761</v>
      </c>
      <c r="E17" s="1837"/>
      <c r="F17" s="1838">
        <v>5123.3059027777781</v>
      </c>
      <c r="G17" s="1838">
        <v>7094.8131706092736</v>
      </c>
      <c r="H17" s="1838">
        <v>8346.4366553568361</v>
      </c>
      <c r="I17" s="1838">
        <v>8012.7517557521078</v>
      </c>
      <c r="J17" s="1838">
        <v>8721.2839362229279</v>
      </c>
      <c r="K17" s="1838">
        <v>11412.523623471528</v>
      </c>
      <c r="L17" s="1838">
        <v>12981.170782116827</v>
      </c>
      <c r="M17" s="1838">
        <v>13955.588868828985</v>
      </c>
      <c r="N17" s="1838">
        <v>15757.691449172531</v>
      </c>
      <c r="O17" s="1838">
        <v>16584.535048428468</v>
      </c>
      <c r="P17" s="1838">
        <v>12652.897358055046</v>
      </c>
      <c r="Q17" s="1838">
        <v>13188.112152206566</v>
      </c>
      <c r="R17" s="1838">
        <v>14673.508288429106</v>
      </c>
      <c r="S17" s="1838">
        <v>15548.413951302058</v>
      </c>
      <c r="T17" s="1838">
        <v>15304.120437427579</v>
      </c>
      <c r="U17" s="1838">
        <v>16443.013536296727</v>
      </c>
      <c r="V17" s="1838">
        <v>16636.337616840781</v>
      </c>
      <c r="W17" s="1838">
        <v>14029</v>
      </c>
      <c r="X17" s="1838">
        <v>15543</v>
      </c>
      <c r="Y17" s="3067">
        <v>16416</v>
      </c>
    </row>
    <row r="18" spans="1:25" s="1840" customFormat="1" ht="33.75" x14ac:dyDescent="0.2">
      <c r="A18" s="1830"/>
      <c r="B18" s="1839"/>
      <c r="C18" s="1839"/>
      <c r="D18" s="3064" t="s">
        <v>1762</v>
      </c>
      <c r="E18" s="1846"/>
      <c r="F18" s="1842">
        <f t="shared" ref="F18:X18" si="1">F17/F16</f>
        <v>0.60366512345679013</v>
      </c>
      <c r="G18" s="1842">
        <f t="shared" si="1"/>
        <v>0.66213842002886358</v>
      </c>
      <c r="H18" s="1842">
        <f t="shared" si="1"/>
        <v>0.69242049571568243</v>
      </c>
      <c r="I18" s="1842">
        <f t="shared" si="1"/>
        <v>0.68187828744380119</v>
      </c>
      <c r="J18" s="1842">
        <f t="shared" si="1"/>
        <v>0.68953857813274255</v>
      </c>
      <c r="K18" s="1842">
        <f t="shared" si="1"/>
        <v>0.69129103055736441</v>
      </c>
      <c r="L18" s="1842">
        <f t="shared" si="1"/>
        <v>0.723789840095725</v>
      </c>
      <c r="M18" s="1842">
        <f t="shared" si="1"/>
        <v>0.72504098445703369</v>
      </c>
      <c r="N18" s="1842">
        <f t="shared" si="1"/>
        <v>0.76286267666404584</v>
      </c>
      <c r="O18" s="1842">
        <f t="shared" si="1"/>
        <v>0.80196010872478085</v>
      </c>
      <c r="P18" s="1842">
        <f t="shared" si="1"/>
        <v>0.8178989888852648</v>
      </c>
      <c r="Q18" s="1842">
        <f t="shared" si="1"/>
        <v>0.82199651908542548</v>
      </c>
      <c r="R18" s="1842">
        <f t="shared" si="1"/>
        <v>0.82863724240055936</v>
      </c>
      <c r="S18" s="1842">
        <f t="shared" si="1"/>
        <v>0.8232772398232584</v>
      </c>
      <c r="T18" s="1842">
        <f t="shared" si="1"/>
        <v>0.83310399768250287</v>
      </c>
      <c r="U18" s="1842">
        <f t="shared" si="1"/>
        <v>0.83777518399636863</v>
      </c>
      <c r="V18" s="1842">
        <f t="shared" si="1"/>
        <v>0.85591076898908169</v>
      </c>
      <c r="W18" s="1842">
        <f t="shared" si="1"/>
        <v>0.87994731230006895</v>
      </c>
      <c r="X18" s="1842">
        <f t="shared" si="1"/>
        <v>0.92827281414237939</v>
      </c>
      <c r="Y18" s="3068">
        <v>0.98</v>
      </c>
    </row>
    <row r="19" spans="1:25" s="1840" customFormat="1" x14ac:dyDescent="0.2">
      <c r="A19" s="1830"/>
      <c r="B19" s="1839"/>
      <c r="C19" s="1839"/>
      <c r="D19" s="1836"/>
      <c r="E19" s="1847"/>
      <c r="F19" s="1448"/>
      <c r="G19" s="1448"/>
      <c r="H19" s="1448"/>
      <c r="I19" s="1448"/>
      <c r="J19" s="1448"/>
      <c r="K19" s="1448"/>
      <c r="L19" s="1448"/>
      <c r="M19" s="1448"/>
      <c r="N19" s="1448"/>
      <c r="O19" s="1448"/>
      <c r="P19" s="1448"/>
      <c r="Q19" s="1448"/>
      <c r="R19" s="1448"/>
      <c r="S19" s="1448"/>
      <c r="T19" s="1448"/>
      <c r="U19" s="1448"/>
      <c r="V19" s="1448"/>
      <c r="W19" s="1448"/>
      <c r="X19" s="1448"/>
      <c r="Y19" s="1448"/>
    </row>
    <row r="20" spans="1:25" x14ac:dyDescent="0.2">
      <c r="D20" s="1823"/>
      <c r="E20" s="1823"/>
      <c r="F20" s="117"/>
      <c r="G20" s="117"/>
      <c r="H20" s="117"/>
      <c r="I20" s="117"/>
      <c r="J20" s="117"/>
      <c r="K20" s="117"/>
      <c r="L20" s="117"/>
      <c r="M20" s="117"/>
      <c r="N20" s="1444"/>
      <c r="O20" s="117"/>
      <c r="P20" s="117"/>
      <c r="Q20" s="117"/>
      <c r="R20" s="117"/>
      <c r="S20" s="117"/>
    </row>
    <row r="21" spans="1:25" x14ac:dyDescent="0.2">
      <c r="D21" s="1823"/>
      <c r="E21" s="117"/>
      <c r="F21" s="117"/>
      <c r="G21" s="117"/>
      <c r="H21" s="117"/>
      <c r="I21" s="117"/>
      <c r="J21" s="117"/>
      <c r="K21" s="117"/>
      <c r="L21" s="117"/>
      <c r="M21" s="1444"/>
      <c r="N21" s="117"/>
      <c r="O21" s="117"/>
      <c r="P21" s="117"/>
      <c r="Q21" s="117"/>
      <c r="R21" s="117"/>
    </row>
    <row r="22" spans="1:25" x14ac:dyDescent="0.2">
      <c r="D22" s="1823"/>
      <c r="E22" s="117"/>
      <c r="F22" s="117"/>
      <c r="G22" s="117"/>
      <c r="H22" s="117"/>
      <c r="I22" s="117"/>
      <c r="J22" s="117"/>
      <c r="K22" s="117"/>
      <c r="L22" s="117"/>
      <c r="M22" s="1444"/>
      <c r="N22" s="117"/>
      <c r="O22" s="117"/>
      <c r="P22" s="117"/>
      <c r="Q22" s="117"/>
      <c r="R22" s="117"/>
    </row>
    <row r="23" spans="1:25" x14ac:dyDescent="0.2">
      <c r="A23" s="1824"/>
      <c r="B23" s="1824"/>
      <c r="C23" s="1824"/>
      <c r="D23" s="1823"/>
      <c r="E23" s="117"/>
      <c r="F23" s="117"/>
      <c r="G23" s="117"/>
      <c r="H23" s="117"/>
      <c r="I23" s="117"/>
      <c r="J23" s="117"/>
      <c r="K23" s="117"/>
      <c r="L23" s="117"/>
      <c r="M23" s="1444"/>
      <c r="N23" s="117"/>
      <c r="O23" s="117"/>
      <c r="P23" s="117"/>
      <c r="Q23" s="117"/>
      <c r="R23" s="117"/>
    </row>
    <row r="24" spans="1:25" x14ac:dyDescent="0.2">
      <c r="A24" s="1824"/>
      <c r="B24" s="1824"/>
      <c r="C24" s="1824"/>
      <c r="D24" s="1823"/>
      <c r="E24" s="117"/>
      <c r="F24" s="117"/>
      <c r="G24" s="117"/>
      <c r="H24" s="117"/>
      <c r="I24" s="117"/>
      <c r="J24" s="117"/>
      <c r="K24" s="117"/>
      <c r="L24" s="117"/>
      <c r="M24" s="1444"/>
      <c r="N24" s="117"/>
      <c r="O24" s="117"/>
      <c r="P24" s="117"/>
      <c r="Q24" s="117"/>
      <c r="R24" s="117"/>
    </row>
    <row r="25" spans="1:25" x14ac:dyDescent="0.2">
      <c r="A25" s="1824"/>
      <c r="B25" s="1824"/>
      <c r="C25" s="1824"/>
      <c r="D25" s="1823"/>
      <c r="E25" s="117"/>
      <c r="F25" s="117"/>
      <c r="G25" s="117"/>
      <c r="H25" s="117"/>
      <c r="I25" s="117"/>
      <c r="J25" s="117"/>
      <c r="K25" s="117"/>
      <c r="L25" s="117"/>
      <c r="M25" s="1444"/>
      <c r="N25" s="117"/>
      <c r="O25" s="117"/>
      <c r="P25" s="117"/>
      <c r="Q25" s="117"/>
      <c r="R25" s="117"/>
    </row>
    <row r="26" spans="1:25" x14ac:dyDescent="0.2">
      <c r="A26" s="1824"/>
      <c r="B26" s="1824"/>
      <c r="C26" s="1824"/>
      <c r="D26" s="1823"/>
      <c r="E26" s="117"/>
      <c r="F26" s="117"/>
      <c r="G26" s="117"/>
      <c r="H26" s="117"/>
      <c r="I26" s="117"/>
      <c r="J26" s="117"/>
      <c r="K26" s="117"/>
      <c r="L26" s="117"/>
      <c r="M26" s="1444"/>
      <c r="N26" s="117"/>
      <c r="O26" s="117"/>
      <c r="P26" s="117"/>
      <c r="Q26" s="117"/>
      <c r="R26" s="117"/>
    </row>
    <row r="27" spans="1:25" x14ac:dyDescent="0.2">
      <c r="A27" s="1824"/>
      <c r="B27" s="1824"/>
      <c r="C27" s="1824"/>
      <c r="D27" s="1823"/>
      <c r="E27" s="117"/>
      <c r="F27" s="117"/>
      <c r="G27" s="117"/>
      <c r="H27" s="117"/>
      <c r="I27" s="117"/>
      <c r="J27" s="117"/>
      <c r="K27" s="117"/>
      <c r="L27" s="117"/>
      <c r="M27" s="1444"/>
      <c r="N27" s="117"/>
      <c r="O27" s="117"/>
      <c r="P27" s="117"/>
      <c r="Q27" s="117"/>
      <c r="R27" s="117"/>
    </row>
    <row r="28" spans="1:25" x14ac:dyDescent="0.2">
      <c r="A28" s="1824"/>
      <c r="B28" s="1824"/>
      <c r="C28" s="1824"/>
      <c r="D28" s="1848"/>
      <c r="E28" s="1823"/>
      <c r="F28" s="1823"/>
      <c r="G28" s="1823"/>
      <c r="H28" s="1823"/>
      <c r="I28" s="1823"/>
      <c r="J28" s="1823"/>
      <c r="K28" s="1848"/>
      <c r="L28" s="1823"/>
      <c r="M28" s="1444"/>
      <c r="N28" s="1823"/>
      <c r="O28" s="1823"/>
      <c r="P28" s="1823"/>
      <c r="Q28" s="1823"/>
      <c r="R28" s="1823"/>
    </row>
    <row r="29" spans="1:25" x14ac:dyDescent="0.2">
      <c r="A29" s="1824"/>
      <c r="B29" s="1824"/>
      <c r="C29" s="1824"/>
      <c r="D29" s="1823"/>
      <c r="E29" s="1823"/>
      <c r="F29" s="1823"/>
      <c r="G29" s="1823"/>
      <c r="H29" s="1823"/>
      <c r="I29" s="1823"/>
      <c r="J29" s="1823"/>
      <c r="K29" s="1823"/>
      <c r="L29" s="1823"/>
      <c r="M29" s="1823"/>
      <c r="N29" s="1823"/>
      <c r="O29" s="1823"/>
      <c r="P29" s="1823"/>
      <c r="Q29" s="1823"/>
      <c r="R29" s="1823"/>
    </row>
    <row r="30" spans="1:25" x14ac:dyDescent="0.2">
      <c r="A30" s="1824"/>
      <c r="B30" s="1824"/>
      <c r="C30" s="1824"/>
      <c r="D30" s="1823"/>
      <c r="E30" s="1823"/>
      <c r="F30" s="1823"/>
      <c r="G30" s="1823"/>
      <c r="H30" s="1823"/>
      <c r="I30" s="1823"/>
      <c r="J30" s="1823"/>
      <c r="K30" s="1823"/>
      <c r="L30" s="1823"/>
      <c r="M30" s="1823"/>
      <c r="N30" s="1823"/>
      <c r="O30" s="1823"/>
      <c r="P30" s="1823"/>
      <c r="Q30" s="1823"/>
      <c r="R30" s="1823"/>
    </row>
    <row r="31" spans="1:25" x14ac:dyDescent="0.2">
      <c r="A31" s="1824"/>
      <c r="B31" s="1824"/>
      <c r="C31" s="1824"/>
      <c r="D31" s="1823"/>
      <c r="E31" s="1823"/>
      <c r="F31" s="1823"/>
      <c r="G31" s="1823"/>
      <c r="H31" s="1823"/>
      <c r="I31" s="1823"/>
      <c r="J31" s="1823"/>
      <c r="K31" s="1823"/>
      <c r="L31" s="1823"/>
      <c r="M31" s="1823"/>
      <c r="N31" s="1823"/>
      <c r="O31" s="1823"/>
      <c r="P31" s="1823"/>
      <c r="Q31" s="1823"/>
      <c r="R31" s="1823"/>
    </row>
    <row r="32" spans="1:25" x14ac:dyDescent="0.2">
      <c r="A32" s="1824"/>
      <c r="B32" s="1824"/>
      <c r="C32" s="1824"/>
      <c r="D32" s="1823"/>
      <c r="E32" s="1823"/>
      <c r="F32" s="1823"/>
      <c r="G32" s="1823"/>
      <c r="H32" s="1823"/>
      <c r="I32" s="1823"/>
      <c r="J32" s="1823"/>
      <c r="K32" s="1823"/>
      <c r="L32" s="1823"/>
      <c r="M32" s="1823"/>
      <c r="N32" s="1823"/>
      <c r="O32" s="1823"/>
      <c r="P32" s="1823"/>
      <c r="Q32" s="1823"/>
      <c r="R32" s="1823"/>
    </row>
    <row r="33" spans="1:25" x14ac:dyDescent="0.2">
      <c r="A33" s="1824"/>
      <c r="B33" s="1824"/>
      <c r="C33" s="1824"/>
      <c r="D33" s="1823"/>
      <c r="E33" s="1823"/>
      <c r="F33" s="1823"/>
      <c r="G33" s="1823"/>
      <c r="H33" s="1823"/>
      <c r="I33" s="1823"/>
      <c r="J33" s="1823"/>
      <c r="K33" s="1823"/>
      <c r="L33" s="1823"/>
      <c r="M33" s="1823"/>
      <c r="N33" s="1823"/>
      <c r="O33" s="1823"/>
      <c r="P33" s="1823"/>
      <c r="Q33" s="1823"/>
      <c r="R33" s="1823"/>
    </row>
    <row r="34" spans="1:25" x14ac:dyDescent="0.2">
      <c r="A34" s="1824"/>
      <c r="B34" s="1824"/>
      <c r="C34" s="1824"/>
      <c r="D34" s="1823"/>
      <c r="E34" s="1823"/>
      <c r="F34" s="1823"/>
      <c r="G34" s="1823"/>
      <c r="H34" s="1823"/>
      <c r="I34" s="1823"/>
      <c r="J34" s="1823"/>
      <c r="K34" s="1823"/>
      <c r="L34" s="1823"/>
      <c r="M34" s="1823"/>
      <c r="N34" s="1823"/>
      <c r="O34" s="1823"/>
      <c r="P34" s="1823"/>
      <c r="Q34" s="1823"/>
      <c r="R34" s="1823"/>
    </row>
    <row r="35" spans="1:25" x14ac:dyDescent="0.2">
      <c r="A35" s="1824"/>
      <c r="B35" s="1824"/>
      <c r="C35" s="1824"/>
      <c r="D35" s="1823"/>
      <c r="E35" s="1823"/>
      <c r="F35" s="1823"/>
      <c r="G35" s="1823"/>
      <c r="H35" s="1823"/>
      <c r="I35" s="1823"/>
      <c r="J35" s="1823"/>
      <c r="K35" s="1823"/>
      <c r="L35" s="1823"/>
      <c r="M35" s="1823"/>
      <c r="N35" s="1823"/>
      <c r="O35" s="1823"/>
      <c r="P35" s="1823"/>
      <c r="Q35" s="1823"/>
      <c r="R35" s="1823"/>
    </row>
    <row r="36" spans="1:25" x14ac:dyDescent="0.2">
      <c r="A36" s="1824"/>
      <c r="B36" s="1824"/>
      <c r="C36" s="1824"/>
      <c r="D36" s="1823"/>
      <c r="E36" s="1823"/>
      <c r="F36" s="1823"/>
      <c r="G36" s="1823"/>
      <c r="H36" s="1823"/>
      <c r="I36" s="1823"/>
      <c r="J36" s="1823"/>
      <c r="K36" s="1823"/>
      <c r="L36" s="1823"/>
      <c r="M36" s="1823"/>
      <c r="N36" s="1823"/>
      <c r="O36" s="1823"/>
      <c r="P36" s="1823"/>
      <c r="Q36" s="1823"/>
      <c r="R36" s="1823"/>
    </row>
    <row r="37" spans="1:25" x14ac:dyDescent="0.2">
      <c r="A37" s="1824"/>
      <c r="B37" s="1824"/>
      <c r="C37" s="1824"/>
      <c r="D37" s="1823"/>
      <c r="E37" s="1823"/>
      <c r="F37" s="1823"/>
      <c r="G37" s="1823"/>
      <c r="H37" s="1823"/>
      <c r="I37" s="1823"/>
      <c r="J37" s="1823"/>
      <c r="K37" s="1823"/>
      <c r="L37" s="1823"/>
      <c r="M37" s="1823"/>
      <c r="N37" s="1823"/>
      <c r="O37" s="1823"/>
      <c r="P37" s="1823"/>
      <c r="Q37" s="1823"/>
      <c r="R37" s="1823"/>
    </row>
    <row r="38" spans="1:25" x14ac:dyDescent="0.2">
      <c r="A38" s="1824"/>
      <c r="B38" s="1824"/>
      <c r="C38" s="1824"/>
      <c r="D38" s="1823"/>
      <c r="E38" s="1823"/>
      <c r="F38" s="1823"/>
      <c r="G38" s="1823"/>
      <c r="H38" s="1823"/>
      <c r="I38" s="1823"/>
      <c r="J38" s="1823"/>
      <c r="K38" s="1823"/>
      <c r="L38" s="1823"/>
      <c r="M38" s="1823"/>
      <c r="N38" s="1823"/>
      <c r="O38" s="1823"/>
      <c r="P38" s="1823"/>
      <c r="Q38" s="1823"/>
      <c r="R38" s="1823"/>
      <c r="S38" s="77"/>
      <c r="T38" s="77"/>
      <c r="U38" s="77"/>
    </row>
    <row r="39" spans="1:25" ht="14.25" customHeight="1" x14ac:dyDescent="0.2">
      <c r="A39" s="453">
        <v>5</v>
      </c>
      <c r="B39" s="453" t="s">
        <v>78</v>
      </c>
      <c r="C39" s="453"/>
      <c r="D39" s="3553" t="s">
        <v>1209</v>
      </c>
      <c r="E39" s="3554"/>
      <c r="F39" s="3554"/>
      <c r="G39" s="3554"/>
      <c r="H39" s="3554"/>
      <c r="I39" s="3554"/>
      <c r="J39" s="3554"/>
      <c r="K39" s="3554"/>
      <c r="L39" s="3554"/>
      <c r="M39" s="3554"/>
      <c r="N39" s="3554"/>
      <c r="O39" s="3554"/>
      <c r="P39" s="3554"/>
      <c r="Q39" s="3554"/>
      <c r="R39" s="3554"/>
      <c r="S39" s="3554"/>
      <c r="T39" s="3554"/>
      <c r="U39" s="3554"/>
      <c r="V39" s="3554"/>
      <c r="W39" s="3554"/>
      <c r="X39" s="3554"/>
      <c r="Y39" s="3555"/>
    </row>
    <row r="40" spans="1:25" ht="54.75" customHeight="1" x14ac:dyDescent="0.2">
      <c r="A40" s="472">
        <v>6</v>
      </c>
      <c r="B40" s="472" t="s">
        <v>80</v>
      </c>
      <c r="C40" s="472"/>
      <c r="D40" s="3568" t="s">
        <v>1763</v>
      </c>
      <c r="E40" s="3569"/>
      <c r="F40" s="3569"/>
      <c r="G40" s="3569"/>
      <c r="H40" s="3569"/>
      <c r="I40" s="3569"/>
      <c r="J40" s="3569"/>
      <c r="K40" s="3569"/>
      <c r="L40" s="3569"/>
      <c r="M40" s="3569"/>
      <c r="N40" s="3569"/>
      <c r="O40" s="3569"/>
      <c r="P40" s="3569"/>
      <c r="Q40" s="3569"/>
      <c r="R40" s="3569"/>
      <c r="S40" s="3569"/>
      <c r="T40" s="3569"/>
      <c r="U40" s="3569"/>
      <c r="V40" s="3569"/>
      <c r="W40" s="3569"/>
      <c r="X40" s="3569"/>
      <c r="Y40" s="3570"/>
    </row>
    <row r="41" spans="1:25" ht="13.9" customHeight="1" x14ac:dyDescent="0.2">
      <c r="A41" s="453">
        <v>7</v>
      </c>
      <c r="B41" s="453" t="s">
        <v>20</v>
      </c>
      <c r="C41" s="453"/>
      <c r="D41" s="3556" t="s">
        <v>1764</v>
      </c>
      <c r="E41" s="3557"/>
      <c r="F41" s="3557"/>
      <c r="G41" s="3557"/>
      <c r="H41" s="3557"/>
      <c r="I41" s="3557"/>
      <c r="J41" s="3557"/>
      <c r="K41" s="3557"/>
      <c r="L41" s="3557"/>
      <c r="M41" s="3557"/>
      <c r="N41" s="3557"/>
      <c r="O41" s="3557"/>
      <c r="P41" s="3557"/>
      <c r="Q41" s="3557"/>
      <c r="R41" s="3557"/>
      <c r="S41" s="3557"/>
      <c r="T41" s="3557"/>
      <c r="U41" s="3557"/>
      <c r="V41" s="3557"/>
      <c r="W41" s="3557"/>
      <c r="X41" s="3557"/>
      <c r="Y41" s="3558"/>
    </row>
    <row r="43" spans="1:25" x14ac:dyDescent="0.2">
      <c r="A43" s="1824"/>
      <c r="B43" s="1824"/>
      <c r="C43" s="1824"/>
      <c r="D43" s="1849"/>
    </row>
  </sheetData>
  <mergeCells count="6">
    <mergeCell ref="D41:Y41"/>
    <mergeCell ref="D2:Y2"/>
    <mergeCell ref="D3:Y3"/>
    <mergeCell ref="D4:Y4"/>
    <mergeCell ref="D39:Y39"/>
    <mergeCell ref="D40:Y40"/>
  </mergeCells>
  <pageMargins left="0.74803149606299213" right="0.74803149606299213" top="0.98425196850393704" bottom="0.98425196850393704" header="0.51181102362204722" footer="0.51181102362204722"/>
  <pageSetup paperSize="9" scale="6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36"/>
  <sheetViews>
    <sheetView showGridLines="0" view="pageBreakPreview" topLeftCell="A4" zoomScaleNormal="100" zoomScaleSheetLayoutView="100" workbookViewId="0">
      <selection activeCell="G14" sqref="G14"/>
    </sheetView>
  </sheetViews>
  <sheetFormatPr defaultColWidth="9.140625" defaultRowHeight="11.25" x14ac:dyDescent="0.2"/>
  <cols>
    <col min="1" max="1" width="3.7109375" style="1174" customWidth="1"/>
    <col min="2" max="2" width="14.42578125" style="1173" customWidth="1"/>
    <col min="3" max="3" width="3.7109375" style="1173" customWidth="1"/>
    <col min="4" max="4" width="39.28515625" style="77" customWidth="1"/>
    <col min="5" max="25" width="9.42578125" style="77" customWidth="1"/>
    <col min="26" max="26" width="9.5703125" style="77" bestFit="1" customWidth="1"/>
    <col min="27" max="258" width="9.140625" style="77"/>
    <col min="259" max="259" width="3.7109375" style="77" customWidth="1"/>
    <col min="260" max="260" width="14.42578125" style="77" customWidth="1"/>
    <col min="261" max="261" width="3.7109375" style="77" customWidth="1"/>
    <col min="262" max="262" width="39.28515625" style="77" customWidth="1"/>
    <col min="263" max="279" width="9.42578125" style="77" customWidth="1"/>
    <col min="280" max="514" width="9.140625" style="77"/>
    <col min="515" max="515" width="3.7109375" style="77" customWidth="1"/>
    <col min="516" max="516" width="14.42578125" style="77" customWidth="1"/>
    <col min="517" max="517" width="3.7109375" style="77" customWidth="1"/>
    <col min="518" max="518" width="39.28515625" style="77" customWidth="1"/>
    <col min="519" max="535" width="9.42578125" style="77" customWidth="1"/>
    <col min="536" max="770" width="9.140625" style="77"/>
    <col min="771" max="771" width="3.7109375" style="77" customWidth="1"/>
    <col min="772" max="772" width="14.42578125" style="77" customWidth="1"/>
    <col min="773" max="773" width="3.7109375" style="77" customWidth="1"/>
    <col min="774" max="774" width="39.28515625" style="77" customWidth="1"/>
    <col min="775" max="791" width="9.42578125" style="77" customWidth="1"/>
    <col min="792" max="1026" width="9.140625" style="77"/>
    <col min="1027" max="1027" width="3.7109375" style="77" customWidth="1"/>
    <col min="1028" max="1028" width="14.42578125" style="77" customWidth="1"/>
    <col min="1029" max="1029" width="3.7109375" style="77" customWidth="1"/>
    <col min="1030" max="1030" width="39.28515625" style="77" customWidth="1"/>
    <col min="1031" max="1047" width="9.42578125" style="77" customWidth="1"/>
    <col min="1048" max="1282" width="9.140625" style="77"/>
    <col min="1283" max="1283" width="3.7109375" style="77" customWidth="1"/>
    <col min="1284" max="1284" width="14.42578125" style="77" customWidth="1"/>
    <col min="1285" max="1285" width="3.7109375" style="77" customWidth="1"/>
    <col min="1286" max="1286" width="39.28515625" style="77" customWidth="1"/>
    <col min="1287" max="1303" width="9.42578125" style="77" customWidth="1"/>
    <col min="1304" max="1538" width="9.140625" style="77"/>
    <col min="1539" max="1539" width="3.7109375" style="77" customWidth="1"/>
    <col min="1540" max="1540" width="14.42578125" style="77" customWidth="1"/>
    <col min="1541" max="1541" width="3.7109375" style="77" customWidth="1"/>
    <col min="1542" max="1542" width="39.28515625" style="77" customWidth="1"/>
    <col min="1543" max="1559" width="9.42578125" style="77" customWidth="1"/>
    <col min="1560" max="1794" width="9.140625" style="77"/>
    <col min="1795" max="1795" width="3.7109375" style="77" customWidth="1"/>
    <col min="1796" max="1796" width="14.42578125" style="77" customWidth="1"/>
    <col min="1797" max="1797" width="3.7109375" style="77" customWidth="1"/>
    <col min="1798" max="1798" width="39.28515625" style="77" customWidth="1"/>
    <col min="1799" max="1815" width="9.42578125" style="77" customWidth="1"/>
    <col min="1816" max="2050" width="9.140625" style="77"/>
    <col min="2051" max="2051" width="3.7109375" style="77" customWidth="1"/>
    <col min="2052" max="2052" width="14.42578125" style="77" customWidth="1"/>
    <col min="2053" max="2053" width="3.7109375" style="77" customWidth="1"/>
    <col min="2054" max="2054" width="39.28515625" style="77" customWidth="1"/>
    <col min="2055" max="2071" width="9.42578125" style="77" customWidth="1"/>
    <col min="2072" max="2306" width="9.140625" style="77"/>
    <col min="2307" max="2307" width="3.7109375" style="77" customWidth="1"/>
    <col min="2308" max="2308" width="14.42578125" style="77" customWidth="1"/>
    <col min="2309" max="2309" width="3.7109375" style="77" customWidth="1"/>
    <col min="2310" max="2310" width="39.28515625" style="77" customWidth="1"/>
    <col min="2311" max="2327" width="9.42578125" style="77" customWidth="1"/>
    <col min="2328" max="2562" width="9.140625" style="77"/>
    <col min="2563" max="2563" width="3.7109375" style="77" customWidth="1"/>
    <col min="2564" max="2564" width="14.42578125" style="77" customWidth="1"/>
    <col min="2565" max="2565" width="3.7109375" style="77" customWidth="1"/>
    <col min="2566" max="2566" width="39.28515625" style="77" customWidth="1"/>
    <col min="2567" max="2583" width="9.42578125" style="77" customWidth="1"/>
    <col min="2584" max="2818" width="9.140625" style="77"/>
    <col min="2819" max="2819" width="3.7109375" style="77" customWidth="1"/>
    <col min="2820" max="2820" width="14.42578125" style="77" customWidth="1"/>
    <col min="2821" max="2821" width="3.7109375" style="77" customWidth="1"/>
    <col min="2822" max="2822" width="39.28515625" style="77" customWidth="1"/>
    <col min="2823" max="2839" width="9.42578125" style="77" customWidth="1"/>
    <col min="2840" max="3074" width="9.140625" style="77"/>
    <col min="3075" max="3075" width="3.7109375" style="77" customWidth="1"/>
    <col min="3076" max="3076" width="14.42578125" style="77" customWidth="1"/>
    <col min="3077" max="3077" width="3.7109375" style="77" customWidth="1"/>
    <col min="3078" max="3078" width="39.28515625" style="77" customWidth="1"/>
    <col min="3079" max="3095" width="9.42578125" style="77" customWidth="1"/>
    <col min="3096" max="3330" width="9.140625" style="77"/>
    <col min="3331" max="3331" width="3.7109375" style="77" customWidth="1"/>
    <col min="3332" max="3332" width="14.42578125" style="77" customWidth="1"/>
    <col min="3333" max="3333" width="3.7109375" style="77" customWidth="1"/>
    <col min="3334" max="3334" width="39.28515625" style="77" customWidth="1"/>
    <col min="3335" max="3351" width="9.42578125" style="77" customWidth="1"/>
    <col min="3352" max="3586" width="9.140625" style="77"/>
    <col min="3587" max="3587" width="3.7109375" style="77" customWidth="1"/>
    <col min="3588" max="3588" width="14.42578125" style="77" customWidth="1"/>
    <col min="3589" max="3589" width="3.7109375" style="77" customWidth="1"/>
    <col min="3590" max="3590" width="39.28515625" style="77" customWidth="1"/>
    <col min="3591" max="3607" width="9.42578125" style="77" customWidth="1"/>
    <col min="3608" max="3842" width="9.140625" style="77"/>
    <col min="3843" max="3843" width="3.7109375" style="77" customWidth="1"/>
    <col min="3844" max="3844" width="14.42578125" style="77" customWidth="1"/>
    <col min="3845" max="3845" width="3.7109375" style="77" customWidth="1"/>
    <col min="3846" max="3846" width="39.28515625" style="77" customWidth="1"/>
    <col min="3847" max="3863" width="9.42578125" style="77" customWidth="1"/>
    <col min="3864" max="4098" width="9.140625" style="77"/>
    <col min="4099" max="4099" width="3.7109375" style="77" customWidth="1"/>
    <col min="4100" max="4100" width="14.42578125" style="77" customWidth="1"/>
    <col min="4101" max="4101" width="3.7109375" style="77" customWidth="1"/>
    <col min="4102" max="4102" width="39.28515625" style="77" customWidth="1"/>
    <col min="4103" max="4119" width="9.42578125" style="77" customWidth="1"/>
    <col min="4120" max="4354" width="9.140625" style="77"/>
    <col min="4355" max="4355" width="3.7109375" style="77" customWidth="1"/>
    <col min="4356" max="4356" width="14.42578125" style="77" customWidth="1"/>
    <col min="4357" max="4357" width="3.7109375" style="77" customWidth="1"/>
    <col min="4358" max="4358" width="39.28515625" style="77" customWidth="1"/>
    <col min="4359" max="4375" width="9.42578125" style="77" customWidth="1"/>
    <col min="4376" max="4610" width="9.140625" style="77"/>
    <col min="4611" max="4611" width="3.7109375" style="77" customWidth="1"/>
    <col min="4612" max="4612" width="14.42578125" style="77" customWidth="1"/>
    <col min="4613" max="4613" width="3.7109375" style="77" customWidth="1"/>
    <col min="4614" max="4614" width="39.28515625" style="77" customWidth="1"/>
    <col min="4615" max="4631" width="9.42578125" style="77" customWidth="1"/>
    <col min="4632" max="4866" width="9.140625" style="77"/>
    <col min="4867" max="4867" width="3.7109375" style="77" customWidth="1"/>
    <col min="4868" max="4868" width="14.42578125" style="77" customWidth="1"/>
    <col min="4869" max="4869" width="3.7109375" style="77" customWidth="1"/>
    <col min="4870" max="4870" width="39.28515625" style="77" customWidth="1"/>
    <col min="4871" max="4887" width="9.42578125" style="77" customWidth="1"/>
    <col min="4888" max="5122" width="9.140625" style="77"/>
    <col min="5123" max="5123" width="3.7109375" style="77" customWidth="1"/>
    <col min="5124" max="5124" width="14.42578125" style="77" customWidth="1"/>
    <col min="5125" max="5125" width="3.7109375" style="77" customWidth="1"/>
    <col min="5126" max="5126" width="39.28515625" style="77" customWidth="1"/>
    <col min="5127" max="5143" width="9.42578125" style="77" customWidth="1"/>
    <col min="5144" max="5378" width="9.140625" style="77"/>
    <col min="5379" max="5379" width="3.7109375" style="77" customWidth="1"/>
    <col min="5380" max="5380" width="14.42578125" style="77" customWidth="1"/>
    <col min="5381" max="5381" width="3.7109375" style="77" customWidth="1"/>
    <col min="5382" max="5382" width="39.28515625" style="77" customWidth="1"/>
    <col min="5383" max="5399" width="9.42578125" style="77" customWidth="1"/>
    <col min="5400" max="5634" width="9.140625" style="77"/>
    <col min="5635" max="5635" width="3.7109375" style="77" customWidth="1"/>
    <col min="5636" max="5636" width="14.42578125" style="77" customWidth="1"/>
    <col min="5637" max="5637" width="3.7109375" style="77" customWidth="1"/>
    <col min="5638" max="5638" width="39.28515625" style="77" customWidth="1"/>
    <col min="5639" max="5655" width="9.42578125" style="77" customWidth="1"/>
    <col min="5656" max="5890" width="9.140625" style="77"/>
    <col min="5891" max="5891" width="3.7109375" style="77" customWidth="1"/>
    <col min="5892" max="5892" width="14.42578125" style="77" customWidth="1"/>
    <col min="5893" max="5893" width="3.7109375" style="77" customWidth="1"/>
    <col min="5894" max="5894" width="39.28515625" style="77" customWidth="1"/>
    <col min="5895" max="5911" width="9.42578125" style="77" customWidth="1"/>
    <col min="5912" max="6146" width="9.140625" style="77"/>
    <col min="6147" max="6147" width="3.7109375" style="77" customWidth="1"/>
    <col min="6148" max="6148" width="14.42578125" style="77" customWidth="1"/>
    <col min="6149" max="6149" width="3.7109375" style="77" customWidth="1"/>
    <col min="6150" max="6150" width="39.28515625" style="77" customWidth="1"/>
    <col min="6151" max="6167" width="9.42578125" style="77" customWidth="1"/>
    <col min="6168" max="6402" width="9.140625" style="77"/>
    <col min="6403" max="6403" width="3.7109375" style="77" customWidth="1"/>
    <col min="6404" max="6404" width="14.42578125" style="77" customWidth="1"/>
    <col min="6405" max="6405" width="3.7109375" style="77" customWidth="1"/>
    <col min="6406" max="6406" width="39.28515625" style="77" customWidth="1"/>
    <col min="6407" max="6423" width="9.42578125" style="77" customWidth="1"/>
    <col min="6424" max="6658" width="9.140625" style="77"/>
    <col min="6659" max="6659" width="3.7109375" style="77" customWidth="1"/>
    <col min="6660" max="6660" width="14.42578125" style="77" customWidth="1"/>
    <col min="6661" max="6661" width="3.7109375" style="77" customWidth="1"/>
    <col min="6662" max="6662" width="39.28515625" style="77" customWidth="1"/>
    <col min="6663" max="6679" width="9.42578125" style="77" customWidth="1"/>
    <col min="6680" max="6914" width="9.140625" style="77"/>
    <col min="6915" max="6915" width="3.7109375" style="77" customWidth="1"/>
    <col min="6916" max="6916" width="14.42578125" style="77" customWidth="1"/>
    <col min="6917" max="6917" width="3.7109375" style="77" customWidth="1"/>
    <col min="6918" max="6918" width="39.28515625" style="77" customWidth="1"/>
    <col min="6919" max="6935" width="9.42578125" style="77" customWidth="1"/>
    <col min="6936" max="7170" width="9.140625" style="77"/>
    <col min="7171" max="7171" width="3.7109375" style="77" customWidth="1"/>
    <col min="7172" max="7172" width="14.42578125" style="77" customWidth="1"/>
    <col min="7173" max="7173" width="3.7109375" style="77" customWidth="1"/>
    <col min="7174" max="7174" width="39.28515625" style="77" customWidth="1"/>
    <col min="7175" max="7191" width="9.42578125" style="77" customWidth="1"/>
    <col min="7192" max="7426" width="9.140625" style="77"/>
    <col min="7427" max="7427" width="3.7109375" style="77" customWidth="1"/>
    <col min="7428" max="7428" width="14.42578125" style="77" customWidth="1"/>
    <col min="7429" max="7429" width="3.7109375" style="77" customWidth="1"/>
    <col min="7430" max="7430" width="39.28515625" style="77" customWidth="1"/>
    <col min="7431" max="7447" width="9.42578125" style="77" customWidth="1"/>
    <col min="7448" max="7682" width="9.140625" style="77"/>
    <col min="7683" max="7683" width="3.7109375" style="77" customWidth="1"/>
    <col min="7684" max="7684" width="14.42578125" style="77" customWidth="1"/>
    <col min="7685" max="7685" width="3.7109375" style="77" customWidth="1"/>
    <col min="7686" max="7686" width="39.28515625" style="77" customWidth="1"/>
    <col min="7687" max="7703" width="9.42578125" style="77" customWidth="1"/>
    <col min="7704" max="7938" width="9.140625" style="77"/>
    <col min="7939" max="7939" width="3.7109375" style="77" customWidth="1"/>
    <col min="7940" max="7940" width="14.42578125" style="77" customWidth="1"/>
    <col min="7941" max="7941" width="3.7109375" style="77" customWidth="1"/>
    <col min="7942" max="7942" width="39.28515625" style="77" customWidth="1"/>
    <col min="7943" max="7959" width="9.42578125" style="77" customWidth="1"/>
    <col min="7960" max="8194" width="9.140625" style="77"/>
    <col min="8195" max="8195" width="3.7109375" style="77" customWidth="1"/>
    <col min="8196" max="8196" width="14.42578125" style="77" customWidth="1"/>
    <col min="8197" max="8197" width="3.7109375" style="77" customWidth="1"/>
    <col min="8198" max="8198" width="39.28515625" style="77" customWidth="1"/>
    <col min="8199" max="8215" width="9.42578125" style="77" customWidth="1"/>
    <col min="8216" max="8450" width="9.140625" style="77"/>
    <col min="8451" max="8451" width="3.7109375" style="77" customWidth="1"/>
    <col min="8452" max="8452" width="14.42578125" style="77" customWidth="1"/>
    <col min="8453" max="8453" width="3.7109375" style="77" customWidth="1"/>
    <col min="8454" max="8454" width="39.28515625" style="77" customWidth="1"/>
    <col min="8455" max="8471" width="9.42578125" style="77" customWidth="1"/>
    <col min="8472" max="8706" width="9.140625" style="77"/>
    <col min="8707" max="8707" width="3.7109375" style="77" customWidth="1"/>
    <col min="8708" max="8708" width="14.42578125" style="77" customWidth="1"/>
    <col min="8709" max="8709" width="3.7109375" style="77" customWidth="1"/>
    <col min="8710" max="8710" width="39.28515625" style="77" customWidth="1"/>
    <col min="8711" max="8727" width="9.42578125" style="77" customWidth="1"/>
    <col min="8728" max="8962" width="9.140625" style="77"/>
    <col min="8963" max="8963" width="3.7109375" style="77" customWidth="1"/>
    <col min="8964" max="8964" width="14.42578125" style="77" customWidth="1"/>
    <col min="8965" max="8965" width="3.7109375" style="77" customWidth="1"/>
    <col min="8966" max="8966" width="39.28515625" style="77" customWidth="1"/>
    <col min="8967" max="8983" width="9.42578125" style="77" customWidth="1"/>
    <col min="8984" max="9218" width="9.140625" style="77"/>
    <col min="9219" max="9219" width="3.7109375" style="77" customWidth="1"/>
    <col min="9220" max="9220" width="14.42578125" style="77" customWidth="1"/>
    <col min="9221" max="9221" width="3.7109375" style="77" customWidth="1"/>
    <col min="9222" max="9222" width="39.28515625" style="77" customWidth="1"/>
    <col min="9223" max="9239" width="9.42578125" style="77" customWidth="1"/>
    <col min="9240" max="9474" width="9.140625" style="77"/>
    <col min="9475" max="9475" width="3.7109375" style="77" customWidth="1"/>
    <col min="9476" max="9476" width="14.42578125" style="77" customWidth="1"/>
    <col min="9477" max="9477" width="3.7109375" style="77" customWidth="1"/>
    <col min="9478" max="9478" width="39.28515625" style="77" customWidth="1"/>
    <col min="9479" max="9495" width="9.42578125" style="77" customWidth="1"/>
    <col min="9496" max="9730" width="9.140625" style="77"/>
    <col min="9731" max="9731" width="3.7109375" style="77" customWidth="1"/>
    <col min="9732" max="9732" width="14.42578125" style="77" customWidth="1"/>
    <col min="9733" max="9733" width="3.7109375" style="77" customWidth="1"/>
    <col min="9734" max="9734" width="39.28515625" style="77" customWidth="1"/>
    <col min="9735" max="9751" width="9.42578125" style="77" customWidth="1"/>
    <col min="9752" max="9986" width="9.140625" style="77"/>
    <col min="9987" max="9987" width="3.7109375" style="77" customWidth="1"/>
    <col min="9988" max="9988" width="14.42578125" style="77" customWidth="1"/>
    <col min="9989" max="9989" width="3.7109375" style="77" customWidth="1"/>
    <col min="9990" max="9990" width="39.28515625" style="77" customWidth="1"/>
    <col min="9991" max="10007" width="9.42578125" style="77" customWidth="1"/>
    <col min="10008" max="10242" width="9.140625" style="77"/>
    <col min="10243" max="10243" width="3.7109375" style="77" customWidth="1"/>
    <col min="10244" max="10244" width="14.42578125" style="77" customWidth="1"/>
    <col min="10245" max="10245" width="3.7109375" style="77" customWidth="1"/>
    <col min="10246" max="10246" width="39.28515625" style="77" customWidth="1"/>
    <col min="10247" max="10263" width="9.42578125" style="77" customWidth="1"/>
    <col min="10264" max="10498" width="9.140625" style="77"/>
    <col min="10499" max="10499" width="3.7109375" style="77" customWidth="1"/>
    <col min="10500" max="10500" width="14.42578125" style="77" customWidth="1"/>
    <col min="10501" max="10501" width="3.7109375" style="77" customWidth="1"/>
    <col min="10502" max="10502" width="39.28515625" style="77" customWidth="1"/>
    <col min="10503" max="10519" width="9.42578125" style="77" customWidth="1"/>
    <col min="10520" max="10754" width="9.140625" style="77"/>
    <col min="10755" max="10755" width="3.7109375" style="77" customWidth="1"/>
    <col min="10756" max="10756" width="14.42578125" style="77" customWidth="1"/>
    <col min="10757" max="10757" width="3.7109375" style="77" customWidth="1"/>
    <col min="10758" max="10758" width="39.28515625" style="77" customWidth="1"/>
    <col min="10759" max="10775" width="9.42578125" style="77" customWidth="1"/>
    <col min="10776" max="11010" width="9.140625" style="77"/>
    <col min="11011" max="11011" width="3.7109375" style="77" customWidth="1"/>
    <col min="11012" max="11012" width="14.42578125" style="77" customWidth="1"/>
    <col min="11013" max="11013" width="3.7109375" style="77" customWidth="1"/>
    <col min="11014" max="11014" width="39.28515625" style="77" customWidth="1"/>
    <col min="11015" max="11031" width="9.42578125" style="77" customWidth="1"/>
    <col min="11032" max="11266" width="9.140625" style="77"/>
    <col min="11267" max="11267" width="3.7109375" style="77" customWidth="1"/>
    <col min="11268" max="11268" width="14.42578125" style="77" customWidth="1"/>
    <col min="11269" max="11269" width="3.7109375" style="77" customWidth="1"/>
    <col min="11270" max="11270" width="39.28515625" style="77" customWidth="1"/>
    <col min="11271" max="11287" width="9.42578125" style="77" customWidth="1"/>
    <col min="11288" max="11522" width="9.140625" style="77"/>
    <col min="11523" max="11523" width="3.7109375" style="77" customWidth="1"/>
    <col min="11524" max="11524" width="14.42578125" style="77" customWidth="1"/>
    <col min="11525" max="11525" width="3.7109375" style="77" customWidth="1"/>
    <col min="11526" max="11526" width="39.28515625" style="77" customWidth="1"/>
    <col min="11527" max="11543" width="9.42578125" style="77" customWidth="1"/>
    <col min="11544" max="11778" width="9.140625" style="77"/>
    <col min="11779" max="11779" width="3.7109375" style="77" customWidth="1"/>
    <col min="11780" max="11780" width="14.42578125" style="77" customWidth="1"/>
    <col min="11781" max="11781" width="3.7109375" style="77" customWidth="1"/>
    <col min="11782" max="11782" width="39.28515625" style="77" customWidth="1"/>
    <col min="11783" max="11799" width="9.42578125" style="77" customWidth="1"/>
    <col min="11800" max="12034" width="9.140625" style="77"/>
    <col min="12035" max="12035" width="3.7109375" style="77" customWidth="1"/>
    <col min="12036" max="12036" width="14.42578125" style="77" customWidth="1"/>
    <col min="12037" max="12037" width="3.7109375" style="77" customWidth="1"/>
    <col min="12038" max="12038" width="39.28515625" style="77" customWidth="1"/>
    <col min="12039" max="12055" width="9.42578125" style="77" customWidth="1"/>
    <col min="12056" max="12290" width="9.140625" style="77"/>
    <col min="12291" max="12291" width="3.7109375" style="77" customWidth="1"/>
    <col min="12292" max="12292" width="14.42578125" style="77" customWidth="1"/>
    <col min="12293" max="12293" width="3.7109375" style="77" customWidth="1"/>
    <col min="12294" max="12294" width="39.28515625" style="77" customWidth="1"/>
    <col min="12295" max="12311" width="9.42578125" style="77" customWidth="1"/>
    <col min="12312" max="12546" width="9.140625" style="77"/>
    <col min="12547" max="12547" width="3.7109375" style="77" customWidth="1"/>
    <col min="12548" max="12548" width="14.42578125" style="77" customWidth="1"/>
    <col min="12549" max="12549" width="3.7109375" style="77" customWidth="1"/>
    <col min="12550" max="12550" width="39.28515625" style="77" customWidth="1"/>
    <col min="12551" max="12567" width="9.42578125" style="77" customWidth="1"/>
    <col min="12568" max="12802" width="9.140625" style="77"/>
    <col min="12803" max="12803" width="3.7109375" style="77" customWidth="1"/>
    <col min="12804" max="12804" width="14.42578125" style="77" customWidth="1"/>
    <col min="12805" max="12805" width="3.7109375" style="77" customWidth="1"/>
    <col min="12806" max="12806" width="39.28515625" style="77" customWidth="1"/>
    <col min="12807" max="12823" width="9.42578125" style="77" customWidth="1"/>
    <col min="12824" max="13058" width="9.140625" style="77"/>
    <col min="13059" max="13059" width="3.7109375" style="77" customWidth="1"/>
    <col min="13060" max="13060" width="14.42578125" style="77" customWidth="1"/>
    <col min="13061" max="13061" width="3.7109375" style="77" customWidth="1"/>
    <col min="13062" max="13062" width="39.28515625" style="77" customWidth="1"/>
    <col min="13063" max="13079" width="9.42578125" style="77" customWidth="1"/>
    <col min="13080" max="13314" width="9.140625" style="77"/>
    <col min="13315" max="13315" width="3.7109375" style="77" customWidth="1"/>
    <col min="13316" max="13316" width="14.42578125" style="77" customWidth="1"/>
    <col min="13317" max="13317" width="3.7109375" style="77" customWidth="1"/>
    <col min="13318" max="13318" width="39.28515625" style="77" customWidth="1"/>
    <col min="13319" max="13335" width="9.42578125" style="77" customWidth="1"/>
    <col min="13336" max="13570" width="9.140625" style="77"/>
    <col min="13571" max="13571" width="3.7109375" style="77" customWidth="1"/>
    <col min="13572" max="13572" width="14.42578125" style="77" customWidth="1"/>
    <col min="13573" max="13573" width="3.7109375" style="77" customWidth="1"/>
    <col min="13574" max="13574" width="39.28515625" style="77" customWidth="1"/>
    <col min="13575" max="13591" width="9.42578125" style="77" customWidth="1"/>
    <col min="13592" max="13826" width="9.140625" style="77"/>
    <col min="13827" max="13827" width="3.7109375" style="77" customWidth="1"/>
    <col min="13828" max="13828" width="14.42578125" style="77" customWidth="1"/>
    <col min="13829" max="13829" width="3.7109375" style="77" customWidth="1"/>
    <col min="13830" max="13830" width="39.28515625" style="77" customWidth="1"/>
    <col min="13831" max="13847" width="9.42578125" style="77" customWidth="1"/>
    <col min="13848" max="14082" width="9.140625" style="77"/>
    <col min="14083" max="14083" width="3.7109375" style="77" customWidth="1"/>
    <col min="14084" max="14084" width="14.42578125" style="77" customWidth="1"/>
    <col min="14085" max="14085" width="3.7109375" style="77" customWidth="1"/>
    <col min="14086" max="14086" width="39.28515625" style="77" customWidth="1"/>
    <col min="14087" max="14103" width="9.42578125" style="77" customWidth="1"/>
    <col min="14104" max="14338" width="9.140625" style="77"/>
    <col min="14339" max="14339" width="3.7109375" style="77" customWidth="1"/>
    <col min="14340" max="14340" width="14.42578125" style="77" customWidth="1"/>
    <col min="14341" max="14341" width="3.7109375" style="77" customWidth="1"/>
    <col min="14342" max="14342" width="39.28515625" style="77" customWidth="1"/>
    <col min="14343" max="14359" width="9.42578125" style="77" customWidth="1"/>
    <col min="14360" max="14594" width="9.140625" style="77"/>
    <col min="14595" max="14595" width="3.7109375" style="77" customWidth="1"/>
    <col min="14596" max="14596" width="14.42578125" style="77" customWidth="1"/>
    <col min="14597" max="14597" width="3.7109375" style="77" customWidth="1"/>
    <col min="14598" max="14598" width="39.28515625" style="77" customWidth="1"/>
    <col min="14599" max="14615" width="9.42578125" style="77" customWidth="1"/>
    <col min="14616" max="14850" width="9.140625" style="77"/>
    <col min="14851" max="14851" width="3.7109375" style="77" customWidth="1"/>
    <col min="14852" max="14852" width="14.42578125" style="77" customWidth="1"/>
    <col min="14853" max="14853" width="3.7109375" style="77" customWidth="1"/>
    <col min="14854" max="14854" width="39.28515625" style="77" customWidth="1"/>
    <col min="14855" max="14871" width="9.42578125" style="77" customWidth="1"/>
    <col min="14872" max="15106" width="9.140625" style="77"/>
    <col min="15107" max="15107" width="3.7109375" style="77" customWidth="1"/>
    <col min="15108" max="15108" width="14.42578125" style="77" customWidth="1"/>
    <col min="15109" max="15109" width="3.7109375" style="77" customWidth="1"/>
    <col min="15110" max="15110" width="39.28515625" style="77" customWidth="1"/>
    <col min="15111" max="15127" width="9.42578125" style="77" customWidth="1"/>
    <col min="15128" max="15362" width="9.140625" style="77"/>
    <col min="15363" max="15363" width="3.7109375" style="77" customWidth="1"/>
    <col min="15364" max="15364" width="14.42578125" style="77" customWidth="1"/>
    <col min="15365" max="15365" width="3.7109375" style="77" customWidth="1"/>
    <col min="15366" max="15366" width="39.28515625" style="77" customWidth="1"/>
    <col min="15367" max="15383" width="9.42578125" style="77" customWidth="1"/>
    <col min="15384" max="15618" width="9.140625" style="77"/>
    <col min="15619" max="15619" width="3.7109375" style="77" customWidth="1"/>
    <col min="15620" max="15620" width="14.42578125" style="77" customWidth="1"/>
    <col min="15621" max="15621" width="3.7109375" style="77" customWidth="1"/>
    <col min="15622" max="15622" width="39.28515625" style="77" customWidth="1"/>
    <col min="15623" max="15639" width="9.42578125" style="77" customWidth="1"/>
    <col min="15640" max="15874" width="9.140625" style="77"/>
    <col min="15875" max="15875" width="3.7109375" style="77" customWidth="1"/>
    <col min="15876" max="15876" width="14.42578125" style="77" customWidth="1"/>
    <col min="15877" max="15877" width="3.7109375" style="77" customWidth="1"/>
    <col min="15878" max="15878" width="39.28515625" style="77" customWidth="1"/>
    <col min="15879" max="15895" width="9.42578125" style="77" customWidth="1"/>
    <col min="15896" max="16130" width="9.140625" style="77"/>
    <col min="16131" max="16131" width="3.7109375" style="77" customWidth="1"/>
    <col min="16132" max="16132" width="14.42578125" style="77" customWidth="1"/>
    <col min="16133" max="16133" width="3.7109375" style="77" customWidth="1"/>
    <col min="16134" max="16134" width="39.28515625" style="77" customWidth="1"/>
    <col min="16135" max="16151" width="9.42578125" style="77" customWidth="1"/>
    <col min="16152" max="16384" width="9.140625" style="77"/>
  </cols>
  <sheetData>
    <row r="1" spans="1:29" x14ac:dyDescent="0.2">
      <c r="D1" s="117"/>
      <c r="E1" s="117"/>
      <c r="F1" s="117"/>
      <c r="G1" s="117"/>
      <c r="H1" s="117"/>
      <c r="I1" s="117"/>
      <c r="J1" s="117"/>
      <c r="K1" s="117"/>
      <c r="L1" s="117"/>
      <c r="M1" s="117"/>
      <c r="N1" s="117"/>
      <c r="O1" s="117"/>
      <c r="P1" s="117"/>
      <c r="Q1" s="117"/>
      <c r="R1" s="117"/>
      <c r="S1" s="117"/>
    </row>
    <row r="2" spans="1:29" ht="12.75" x14ac:dyDescent="0.2">
      <c r="A2" s="453">
        <v>1</v>
      </c>
      <c r="B2" s="453" t="s">
        <v>24</v>
      </c>
      <c r="C2" s="453">
        <f>1+Parolees!C2</f>
        <v>74</v>
      </c>
      <c r="D2" s="1455" t="s">
        <v>1765</v>
      </c>
      <c r="E2" s="1456"/>
      <c r="F2" s="1456"/>
      <c r="G2" s="1456"/>
      <c r="H2" s="1456"/>
      <c r="I2" s="1456"/>
      <c r="J2" s="1456"/>
      <c r="K2" s="1456"/>
      <c r="L2" s="1456"/>
      <c r="M2" s="1456"/>
      <c r="N2" s="1456"/>
      <c r="O2" s="1456"/>
      <c r="P2" s="1456"/>
      <c r="Q2" s="1456"/>
      <c r="R2" s="1456"/>
      <c r="S2" s="1456"/>
      <c r="T2" s="1456"/>
      <c r="U2" s="1456"/>
      <c r="V2" s="1456"/>
      <c r="W2" s="1456"/>
      <c r="X2" s="1456"/>
      <c r="Y2" s="1457"/>
    </row>
    <row r="3" spans="1:29" ht="12.75" x14ac:dyDescent="0.2">
      <c r="A3" s="453">
        <v>2</v>
      </c>
      <c r="B3" s="453" t="s">
        <v>26</v>
      </c>
      <c r="C3" s="453"/>
      <c r="D3" s="3553" t="s">
        <v>1621</v>
      </c>
      <c r="E3" s="3554"/>
      <c r="F3" s="3554"/>
      <c r="G3" s="3554"/>
      <c r="H3" s="3554"/>
      <c r="I3" s="3554"/>
      <c r="J3" s="3554"/>
      <c r="K3" s="3554"/>
      <c r="L3" s="3554"/>
      <c r="M3" s="3554"/>
      <c r="N3" s="3554"/>
      <c r="O3" s="3554"/>
      <c r="P3" s="3554"/>
      <c r="Q3" s="3554"/>
      <c r="R3" s="3554"/>
      <c r="S3" s="3554"/>
      <c r="T3" s="3554"/>
      <c r="U3" s="3554"/>
      <c r="V3" s="3554"/>
      <c r="W3" s="3554"/>
      <c r="X3" s="3554"/>
      <c r="Y3" s="3555"/>
    </row>
    <row r="4" spans="1:29" ht="12.75" customHeight="1" x14ac:dyDescent="0.2">
      <c r="A4" s="453">
        <v>3</v>
      </c>
      <c r="B4" s="453" t="s">
        <v>28</v>
      </c>
      <c r="C4" s="453"/>
      <c r="D4" s="3553" t="s">
        <v>1766</v>
      </c>
      <c r="E4" s="3554"/>
      <c r="F4" s="3554"/>
      <c r="G4" s="3554"/>
      <c r="H4" s="3554"/>
      <c r="I4" s="3554"/>
      <c r="J4" s="3554"/>
      <c r="K4" s="3554"/>
      <c r="L4" s="3554"/>
      <c r="M4" s="3554"/>
      <c r="N4" s="3554"/>
      <c r="O4" s="3554"/>
      <c r="P4" s="3554"/>
      <c r="Q4" s="3554"/>
      <c r="R4" s="3554"/>
      <c r="S4" s="3554"/>
      <c r="T4" s="3554"/>
      <c r="U4" s="3554"/>
      <c r="V4" s="3554"/>
      <c r="W4" s="3554"/>
      <c r="X4" s="3554"/>
      <c r="Y4" s="3555"/>
    </row>
    <row r="5" spans="1:29" ht="14.25" customHeight="1" x14ac:dyDescent="0.2">
      <c r="A5" s="453"/>
      <c r="B5" s="1170"/>
      <c r="C5" s="1170"/>
      <c r="D5" s="1449"/>
      <c r="E5" s="1476"/>
      <c r="F5" s="1476"/>
      <c r="G5" s="1476"/>
      <c r="H5" s="1476"/>
      <c r="I5" s="1476"/>
      <c r="J5" s="1476"/>
      <c r="K5" s="1476"/>
      <c r="L5" s="1476"/>
      <c r="M5" s="1476"/>
      <c r="N5" s="1476"/>
      <c r="O5" s="1476"/>
      <c r="P5" s="1476"/>
    </row>
    <row r="6" spans="1:29" ht="15" x14ac:dyDescent="0.2">
      <c r="C6" s="722"/>
      <c r="D6" s="865"/>
      <c r="E6" s="865"/>
      <c r="F6" s="865"/>
      <c r="G6" s="865"/>
      <c r="H6" s="865"/>
      <c r="I6" s="865"/>
      <c r="J6" s="865"/>
      <c r="K6" s="865"/>
      <c r="L6" s="865"/>
      <c r="M6" s="865"/>
      <c r="N6" s="865"/>
      <c r="O6" s="865"/>
      <c r="P6" s="865"/>
    </row>
    <row r="7" spans="1:29" ht="12.75" x14ac:dyDescent="0.2">
      <c r="A7" s="453">
        <v>4</v>
      </c>
      <c r="B7" s="650" t="s">
        <v>1</v>
      </c>
      <c r="D7" s="120" t="s">
        <v>103</v>
      </c>
      <c r="E7" s="120" t="s">
        <v>1767</v>
      </c>
      <c r="F7" s="120"/>
      <c r="G7" s="120"/>
      <c r="H7" s="120"/>
      <c r="I7" s="120"/>
      <c r="J7" s="120"/>
      <c r="K7" s="120"/>
      <c r="L7" s="120"/>
      <c r="M7" s="130"/>
      <c r="N7" s="130"/>
      <c r="O7" s="130"/>
      <c r="P7" s="130"/>
      <c r="Q7" s="133"/>
      <c r="R7" s="117"/>
      <c r="S7" s="117"/>
    </row>
    <row r="8" spans="1:29" ht="12.75" x14ac:dyDescent="0.2">
      <c r="A8" s="453"/>
      <c r="D8" s="2975"/>
      <c r="E8" s="171">
        <v>1994</v>
      </c>
      <c r="F8" s="171">
        <v>1995</v>
      </c>
      <c r="G8" s="171">
        <v>1996</v>
      </c>
      <c r="H8" s="171">
        <v>1997</v>
      </c>
      <c r="I8" s="171">
        <v>1998</v>
      </c>
      <c r="J8" s="171">
        <v>1999</v>
      </c>
      <c r="K8" s="171">
        <v>2000</v>
      </c>
      <c r="L8" s="171">
        <v>2001</v>
      </c>
      <c r="M8" s="171">
        <v>2002</v>
      </c>
      <c r="N8" s="171">
        <v>2003</v>
      </c>
      <c r="O8" s="171">
        <v>2004</v>
      </c>
      <c r="P8" s="171">
        <v>2005</v>
      </c>
      <c r="Q8" s="171">
        <v>2006</v>
      </c>
      <c r="R8" s="171">
        <v>2007</v>
      </c>
      <c r="S8" s="171">
        <v>2008</v>
      </c>
      <c r="T8" s="171">
        <v>2009</v>
      </c>
      <c r="U8" s="171">
        <v>2010</v>
      </c>
      <c r="V8" s="171">
        <v>2011</v>
      </c>
      <c r="W8" s="171">
        <v>2012</v>
      </c>
      <c r="X8" s="171">
        <v>2013</v>
      </c>
      <c r="Y8" s="171">
        <v>2014</v>
      </c>
      <c r="Z8" s="2831">
        <v>2015</v>
      </c>
    </row>
    <row r="9" spans="1:29" ht="16.5" customHeight="1" x14ac:dyDescent="0.2">
      <c r="A9" s="453"/>
      <c r="D9" s="3074" t="s">
        <v>1768</v>
      </c>
      <c r="E9" s="787">
        <v>4904223.2199425697</v>
      </c>
      <c r="F9" s="787">
        <v>5733497.3496370073</v>
      </c>
      <c r="G9" s="787">
        <v>5776424.1447586864</v>
      </c>
      <c r="H9" s="787">
        <v>5819350.9398803646</v>
      </c>
      <c r="I9" s="787">
        <v>5850566</v>
      </c>
      <c r="J9" s="787">
        <v>5992057</v>
      </c>
      <c r="K9" s="787">
        <v>6074201</v>
      </c>
      <c r="L9" s="787">
        <v>6159679</v>
      </c>
      <c r="M9" s="787">
        <v>6245392</v>
      </c>
      <c r="N9" s="787">
        <v>6417484</v>
      </c>
      <c r="O9" s="787">
        <v>6677239</v>
      </c>
      <c r="P9" s="787">
        <v>7128791</v>
      </c>
      <c r="Q9" s="787">
        <v>7653044</v>
      </c>
      <c r="R9" s="787">
        <v>8133723</v>
      </c>
      <c r="S9" s="787">
        <v>8357564</v>
      </c>
      <c r="T9" s="787">
        <v>8600031</v>
      </c>
      <c r="U9" s="787">
        <v>8816366</v>
      </c>
      <c r="V9" s="787">
        <v>9150805</v>
      </c>
      <c r="W9" s="787">
        <v>9541627</v>
      </c>
      <c r="X9" s="787">
        <v>9909923</v>
      </c>
      <c r="Y9" s="787">
        <v>10249504</v>
      </c>
      <c r="Z9" s="3070">
        <v>10565967</v>
      </c>
      <c r="AC9" s="1818"/>
    </row>
    <row r="10" spans="1:29" s="58" customFormat="1" ht="14.25" customHeight="1" x14ac:dyDescent="0.2">
      <c r="A10" s="453"/>
      <c r="B10" s="737"/>
      <c r="C10" s="737"/>
      <c r="D10" s="3074" t="s">
        <v>1769</v>
      </c>
      <c r="E10" s="410">
        <f>E13/(((C9+E9)/2)/10000)</f>
        <v>33.195878878022697</v>
      </c>
      <c r="F10" s="410">
        <f t="shared" ref="F10:R10" si="0">F13/(((E9+F9)/2)/10000)</f>
        <v>15.670650390715078</v>
      </c>
      <c r="G10" s="410">
        <f t="shared" si="0"/>
        <v>13.640405807845433</v>
      </c>
      <c r="H10" s="410">
        <f t="shared" si="0"/>
        <v>13.435928074043851</v>
      </c>
      <c r="I10" s="410">
        <f t="shared" si="0"/>
        <v>12.442247939554619</v>
      </c>
      <c r="J10" s="410">
        <f t="shared" si="0"/>
        <v>12.399280125695126</v>
      </c>
      <c r="K10" s="410">
        <f t="shared" si="0"/>
        <v>11.070540676322352</v>
      </c>
      <c r="L10" s="410">
        <f t="shared" si="0"/>
        <v>14.389547715033988</v>
      </c>
      <c r="M10" s="410">
        <f t="shared" si="0"/>
        <v>16.078908375453878</v>
      </c>
      <c r="N10" s="410">
        <f t="shared" si="0"/>
        <v>16.105346052508132</v>
      </c>
      <c r="O10" s="410">
        <f t="shared" si="0"/>
        <v>16.200419054301495</v>
      </c>
      <c r="P10" s="410">
        <f t="shared" si="0"/>
        <v>17.001266837751331</v>
      </c>
      <c r="Q10" s="410">
        <f t="shared" si="0"/>
        <v>16.853117356539293</v>
      </c>
      <c r="R10" s="410">
        <f t="shared" si="0"/>
        <v>15.216541803651122</v>
      </c>
      <c r="S10" s="410">
        <f>S13/(((Q9+S9)/2)/10000)</f>
        <v>13.497301289245231</v>
      </c>
      <c r="T10" s="410">
        <f>T13/(((Q9+T9)/2)/10000)</f>
        <v>13.35993342798209</v>
      </c>
      <c r="U10" s="410">
        <f>U13/(((R9+U9)/2)/10000)</f>
        <v>12.786953508031727</v>
      </c>
      <c r="V10" s="410">
        <f>V13/(((U9+V9)/2)/10000)</f>
        <v>12.498350463743012</v>
      </c>
      <c r="W10" s="410">
        <v>11.71</v>
      </c>
      <c r="X10" s="410">
        <v>10.45</v>
      </c>
      <c r="Y10" s="1028">
        <v>10.26</v>
      </c>
      <c r="Z10" s="2818">
        <v>12</v>
      </c>
      <c r="AB10" s="1819">
        <f>(Y13*10000)/Y9</f>
        <v>10.114635791156333</v>
      </c>
    </row>
    <row r="11" spans="1:29" ht="15" customHeight="1" x14ac:dyDescent="0.2">
      <c r="A11" s="453"/>
      <c r="D11" s="3074" t="s">
        <v>1770</v>
      </c>
      <c r="E11" s="410">
        <f>E14/(((C9+E9)/2)/10000)</f>
        <v>40.703693744661493</v>
      </c>
      <c r="F11" s="410">
        <f>F14/(((F9+E9)/2)/10000)</f>
        <v>19.282326383584142</v>
      </c>
      <c r="G11" s="410">
        <f t="shared" ref="G11:P11" si="1">G14/(((G9+F9)/2)/10000)</f>
        <v>17.112193171421886</v>
      </c>
      <c r="H11" s="410">
        <f>H14/(((H9+G9)/2)/10000)</f>
        <v>16.714708467979325</v>
      </c>
      <c r="I11" s="410">
        <f t="shared" si="1"/>
        <v>15.540813266650316</v>
      </c>
      <c r="J11" s="410">
        <f>J14/(((J9+I9)/2)/10000)</f>
        <v>17.771400812134271</v>
      </c>
      <c r="K11" s="410">
        <f t="shared" si="1"/>
        <v>14.07892985546969</v>
      </c>
      <c r="L11" s="410">
        <f t="shared" si="1"/>
        <v>18.311820447907127</v>
      </c>
      <c r="M11" s="410">
        <f t="shared" si="1"/>
        <v>19.666189665470291</v>
      </c>
      <c r="N11" s="410">
        <f t="shared" si="1"/>
        <v>19.509829668850344</v>
      </c>
      <c r="O11" s="410">
        <f>O14/(((O9+N9)/2)/10000)</f>
        <v>19.507857967925364</v>
      </c>
      <c r="P11" s="410">
        <f t="shared" si="1"/>
        <v>20.475962882567707</v>
      </c>
      <c r="Q11" s="410">
        <f>Q14/(((Q9+P9)/2)/10000)</f>
        <v>20.862387140232475</v>
      </c>
      <c r="R11" s="410">
        <f>R14/(((R9+Q9)/2)/10000)</f>
        <v>18.902132835348798</v>
      </c>
      <c r="S11" s="410">
        <f>S14/(((S9+Q9)/2)/10000)</f>
        <v>17.19859732997023</v>
      </c>
      <c r="T11" s="410">
        <f>T14/(((T9+Q9)/2)/10000)</f>
        <v>16.942024816842352</v>
      </c>
      <c r="U11" s="410">
        <f>U14/(((U9+R9)/2)/10000)</f>
        <v>16.480149455262445</v>
      </c>
      <c r="V11" s="410">
        <f>V14/(((V9+P9)/2)/10000)</f>
        <v>17.142931556778191</v>
      </c>
      <c r="W11" s="410">
        <v>14.43</v>
      </c>
      <c r="X11" s="410">
        <v>12.17</v>
      </c>
      <c r="Y11" s="1028">
        <v>12.57</v>
      </c>
      <c r="Z11" s="2818">
        <v>11.1</v>
      </c>
    </row>
    <row r="12" spans="1:29" ht="22.5" x14ac:dyDescent="0.2">
      <c r="A12" s="453"/>
      <c r="D12" s="3075" t="s">
        <v>1771</v>
      </c>
      <c r="E12" s="1005">
        <f t="shared" ref="E12:Z12" si="2">E13/E9*100</f>
        <v>0.16597939439011347</v>
      </c>
      <c r="F12" s="1005">
        <f t="shared" si="2"/>
        <v>0.14537374819799465</v>
      </c>
      <c r="G12" s="1005">
        <f t="shared" si="2"/>
        <v>0.13589722297526921</v>
      </c>
      <c r="H12" s="1005">
        <f t="shared" si="2"/>
        <v>0.13386372604914851</v>
      </c>
      <c r="I12" s="1005">
        <f t="shared" si="2"/>
        <v>0.1240905580759195</v>
      </c>
      <c r="J12" s="1005">
        <f t="shared" si="2"/>
        <v>0.12252887447499249</v>
      </c>
      <c r="K12" s="1005">
        <f t="shared" si="2"/>
        <v>0.10995684864560787</v>
      </c>
      <c r="L12" s="1005">
        <f t="shared" si="2"/>
        <v>0.142897056810915</v>
      </c>
      <c r="M12" s="1005">
        <f t="shared" si="2"/>
        <v>0.15968573309729797</v>
      </c>
      <c r="N12" s="1005">
        <f t="shared" si="2"/>
        <v>0.1588940463271899</v>
      </c>
      <c r="O12" s="1005">
        <f t="shared" si="2"/>
        <v>0.15885308283858043</v>
      </c>
      <c r="P12" s="1005">
        <f t="shared" si="2"/>
        <v>0.16462819572070497</v>
      </c>
      <c r="Q12" s="1005">
        <f t="shared" si="2"/>
        <v>0.16275876631573005</v>
      </c>
      <c r="R12" s="1005">
        <f t="shared" si="2"/>
        <v>0.14766915470320296</v>
      </c>
      <c r="S12" s="1005">
        <f t="shared" si="2"/>
        <v>0.12928408325679588</v>
      </c>
      <c r="T12" s="1005">
        <f t="shared" si="2"/>
        <v>0.12624373098189995</v>
      </c>
      <c r="U12" s="1005">
        <f t="shared" si="2"/>
        <v>0.12291912563521069</v>
      </c>
      <c r="V12" s="1005">
        <f t="shared" si="2"/>
        <v>0.12269958763190779</v>
      </c>
      <c r="W12" s="1005">
        <f t="shared" si="2"/>
        <v>0.11504327301832278</v>
      </c>
      <c r="X12" s="1005">
        <f t="shared" si="2"/>
        <v>0.10262440989702948</v>
      </c>
      <c r="Y12" s="1005">
        <f t="shared" si="2"/>
        <v>0.10114635791156333</v>
      </c>
      <c r="Z12" s="3071">
        <f t="shared" si="2"/>
        <v>0.10044513673003143</v>
      </c>
    </row>
    <row r="13" spans="1:29" ht="15" x14ac:dyDescent="0.2">
      <c r="A13" s="453"/>
      <c r="C13" s="1170"/>
      <c r="D13" s="2976" t="s">
        <v>1772</v>
      </c>
      <c r="E13" s="1450">
        <v>8140</v>
      </c>
      <c r="F13" s="1450">
        <v>8335</v>
      </c>
      <c r="G13" s="1450">
        <v>7850</v>
      </c>
      <c r="H13" s="1450">
        <v>7790</v>
      </c>
      <c r="I13" s="1450">
        <v>7260</v>
      </c>
      <c r="J13" s="1450">
        <v>7342</v>
      </c>
      <c r="K13" s="1450">
        <v>6679</v>
      </c>
      <c r="L13" s="1450">
        <v>8802</v>
      </c>
      <c r="M13" s="1450">
        <v>9973</v>
      </c>
      <c r="N13" s="1450">
        <v>10197</v>
      </c>
      <c r="O13" s="1450">
        <v>10607</v>
      </c>
      <c r="P13" s="1450">
        <v>11736</v>
      </c>
      <c r="Q13" s="1450">
        <v>12456</v>
      </c>
      <c r="R13" s="1450">
        <v>12011</v>
      </c>
      <c r="S13" s="1450">
        <v>10805</v>
      </c>
      <c r="T13" s="1450">
        <v>10857</v>
      </c>
      <c r="U13" s="1450">
        <v>10837</v>
      </c>
      <c r="V13" s="1450">
        <v>11228</v>
      </c>
      <c r="W13" s="1450">
        <v>10977</v>
      </c>
      <c r="X13" s="1450">
        <v>10170</v>
      </c>
      <c r="Y13" s="1450">
        <v>10367</v>
      </c>
      <c r="Z13" s="3072">
        <v>10613</v>
      </c>
    </row>
    <row r="14" spans="1:29" ht="14.25" x14ac:dyDescent="0.2">
      <c r="A14" s="453"/>
      <c r="B14" s="886"/>
      <c r="C14" s="886"/>
      <c r="D14" s="2977" t="s">
        <v>1773</v>
      </c>
      <c r="E14" s="1451">
        <v>9981</v>
      </c>
      <c r="F14" s="1451">
        <v>10256</v>
      </c>
      <c r="G14" s="1451">
        <v>9848</v>
      </c>
      <c r="H14" s="1451">
        <v>9691</v>
      </c>
      <c r="I14" s="1451">
        <v>9068</v>
      </c>
      <c r="J14" s="1451">
        <v>10523</v>
      </c>
      <c r="K14" s="1451">
        <v>8494</v>
      </c>
      <c r="L14" s="1451">
        <v>11201.230697062101</v>
      </c>
      <c r="M14" s="1451">
        <v>12198.023954981261</v>
      </c>
      <c r="N14" s="1451">
        <v>12352.527693888649</v>
      </c>
      <c r="O14" s="1451">
        <v>12772.499820666277</v>
      </c>
      <c r="P14" s="1451">
        <v>14134.587891780813</v>
      </c>
      <c r="Q14" s="1451">
        <v>15419.218220651916</v>
      </c>
      <c r="R14" s="1451">
        <v>14920.17834373504</v>
      </c>
      <c r="S14" s="1451">
        <v>13768</v>
      </c>
      <c r="T14" s="1451">
        <v>13768</v>
      </c>
      <c r="U14" s="1451">
        <v>13967</v>
      </c>
      <c r="V14" s="1451">
        <v>13954</v>
      </c>
      <c r="W14" s="1451">
        <v>13528</v>
      </c>
      <c r="X14" s="1451">
        <v>11844</v>
      </c>
      <c r="Y14" s="1451">
        <v>12702</v>
      </c>
      <c r="Z14" s="3073">
        <v>12944</v>
      </c>
    </row>
    <row r="15" spans="1:29" ht="14.25" x14ac:dyDescent="0.2">
      <c r="A15" s="453"/>
      <c r="C15" s="886"/>
      <c r="D15" s="885"/>
      <c r="E15" s="1452"/>
      <c r="F15" s="1452"/>
      <c r="G15" s="1452"/>
      <c r="H15" s="1452"/>
      <c r="I15" s="1452"/>
      <c r="J15" s="1452"/>
      <c r="K15" s="1452"/>
      <c r="L15" s="1452"/>
      <c r="M15" s="1452"/>
      <c r="N15" s="1452"/>
      <c r="O15" s="1452"/>
      <c r="P15" s="1452"/>
      <c r="Q15" s="1820"/>
      <c r="R15" s="1820"/>
      <c r="S15" s="1820"/>
    </row>
    <row r="16" spans="1:29" ht="14.25" x14ac:dyDescent="0.2">
      <c r="A16" s="453">
        <v>5</v>
      </c>
      <c r="B16" s="453" t="s">
        <v>77</v>
      </c>
      <c r="C16" s="886"/>
      <c r="D16" s="885"/>
      <c r="E16" s="885"/>
      <c r="F16" s="885"/>
      <c r="G16" s="885"/>
      <c r="H16" s="885"/>
      <c r="I16" s="885"/>
      <c r="J16" s="885"/>
      <c r="K16" s="885"/>
      <c r="L16" s="885"/>
      <c r="M16" s="885"/>
      <c r="N16" s="885"/>
      <c r="O16" s="885"/>
      <c r="P16" s="885"/>
      <c r="Q16" s="117"/>
      <c r="R16" s="117"/>
      <c r="S16" s="117"/>
    </row>
    <row r="17" spans="1:19" ht="14.25" x14ac:dyDescent="0.2">
      <c r="A17" s="453"/>
      <c r="B17" s="886"/>
      <c r="C17" s="886"/>
      <c r="D17" s="885"/>
      <c r="E17" s="885"/>
      <c r="F17" s="885"/>
      <c r="G17" s="885"/>
      <c r="H17" s="885"/>
      <c r="I17" s="885"/>
      <c r="J17" s="885"/>
      <c r="K17" s="885"/>
      <c r="L17" s="885"/>
      <c r="M17" s="1453"/>
      <c r="N17" s="885"/>
      <c r="O17" s="885"/>
      <c r="P17" s="885"/>
      <c r="Q17" s="117"/>
      <c r="R17" s="117"/>
      <c r="S17" s="117"/>
    </row>
    <row r="18" spans="1:19" ht="14.25" x14ac:dyDescent="0.2">
      <c r="A18" s="453"/>
      <c r="B18" s="886"/>
      <c r="C18" s="886"/>
      <c r="D18" s="885"/>
      <c r="E18" s="885"/>
      <c r="F18" s="885"/>
      <c r="G18" s="885"/>
      <c r="H18" s="885"/>
      <c r="I18" s="885"/>
      <c r="J18" s="885"/>
      <c r="K18" s="885"/>
      <c r="L18" s="885"/>
      <c r="M18" s="1453"/>
      <c r="N18" s="885"/>
      <c r="O18" s="885"/>
      <c r="P18" s="885"/>
      <c r="Q18" s="117"/>
      <c r="R18" s="117"/>
      <c r="S18" s="117"/>
    </row>
    <row r="19" spans="1:19" ht="14.25" x14ac:dyDescent="0.2">
      <c r="A19" s="453"/>
      <c r="B19" s="886"/>
      <c r="C19" s="886"/>
      <c r="D19" s="885"/>
      <c r="E19" s="885"/>
      <c r="F19" s="885"/>
      <c r="G19" s="885"/>
      <c r="H19" s="885"/>
      <c r="I19" s="885"/>
      <c r="J19" s="885"/>
      <c r="K19" s="885"/>
      <c r="L19" s="885"/>
      <c r="M19" s="1453"/>
      <c r="N19" s="885"/>
      <c r="O19" s="885"/>
      <c r="P19" s="885"/>
      <c r="Q19" s="117"/>
      <c r="R19" s="117"/>
      <c r="S19" s="117"/>
    </row>
    <row r="20" spans="1:19" ht="14.25" x14ac:dyDescent="0.2">
      <c r="A20" s="453"/>
      <c r="B20" s="886"/>
      <c r="C20" s="886"/>
      <c r="D20" s="885"/>
      <c r="E20" s="885"/>
      <c r="F20" s="885"/>
      <c r="G20" s="885"/>
      <c r="H20" s="885"/>
      <c r="I20" s="885"/>
      <c r="J20" s="885"/>
      <c r="K20" s="885"/>
      <c r="L20" s="885"/>
      <c r="M20" s="1453"/>
      <c r="N20" s="885"/>
      <c r="O20" s="885"/>
      <c r="P20" s="885"/>
      <c r="Q20" s="117"/>
      <c r="R20" s="117"/>
      <c r="S20" s="117"/>
    </row>
    <row r="21" spans="1:19" ht="14.25" x14ac:dyDescent="0.2">
      <c r="A21" s="453"/>
      <c r="B21" s="886"/>
      <c r="C21" s="886"/>
      <c r="D21" s="885"/>
      <c r="E21" s="885"/>
      <c r="F21" s="885"/>
      <c r="G21" s="885"/>
      <c r="H21" s="885"/>
      <c r="I21" s="885"/>
      <c r="J21" s="885"/>
      <c r="K21" s="885"/>
      <c r="L21" s="885"/>
      <c r="M21" s="1453"/>
      <c r="N21" s="885"/>
      <c r="O21" s="885"/>
      <c r="P21" s="885"/>
      <c r="Q21" s="117"/>
      <c r="R21" s="1821"/>
      <c r="S21" s="1821"/>
    </row>
    <row r="22" spans="1:19" ht="14.25" x14ac:dyDescent="0.2">
      <c r="A22" s="453"/>
      <c r="B22" s="886"/>
      <c r="C22" s="886"/>
      <c r="D22" s="885"/>
      <c r="E22" s="885"/>
      <c r="F22" s="885"/>
      <c r="G22" s="885"/>
      <c r="H22" s="885"/>
      <c r="I22" s="885"/>
      <c r="J22" s="885"/>
      <c r="K22" s="885"/>
      <c r="L22" s="885"/>
      <c r="M22" s="1453"/>
      <c r="N22" s="885"/>
      <c r="O22" s="885"/>
      <c r="P22" s="885"/>
      <c r="Q22" s="117"/>
      <c r="R22" s="117"/>
      <c r="S22" s="117"/>
    </row>
    <row r="23" spans="1:19" ht="14.25" x14ac:dyDescent="0.2">
      <c r="A23" s="453"/>
      <c r="B23" s="1204"/>
      <c r="C23" s="1204"/>
      <c r="D23" s="885"/>
      <c r="E23" s="885"/>
      <c r="F23" s="885"/>
      <c r="G23" s="885"/>
      <c r="H23" s="885"/>
      <c r="I23" s="885"/>
      <c r="J23" s="1454"/>
      <c r="K23" s="885"/>
      <c r="L23" s="885"/>
      <c r="M23" s="1453"/>
      <c r="N23" s="885"/>
      <c r="O23" s="885"/>
      <c r="P23" s="885"/>
      <c r="Q23" s="117"/>
      <c r="R23" s="117"/>
      <c r="S23" s="117"/>
    </row>
    <row r="24" spans="1:19" ht="14.25" x14ac:dyDescent="0.2">
      <c r="A24" s="453"/>
      <c r="B24" s="886"/>
      <c r="C24" s="886"/>
      <c r="D24" s="885"/>
      <c r="E24" s="885"/>
      <c r="F24" s="885"/>
      <c r="G24" s="885"/>
      <c r="H24" s="885"/>
      <c r="I24" s="885"/>
      <c r="J24" s="885"/>
      <c r="K24" s="885"/>
      <c r="L24" s="885"/>
      <c r="M24" s="885"/>
      <c r="N24" s="885"/>
      <c r="O24" s="885"/>
      <c r="P24" s="885"/>
      <c r="Q24" s="117"/>
      <c r="R24" s="117"/>
      <c r="S24" s="117"/>
    </row>
    <row r="25" spans="1:19" ht="14.25" x14ac:dyDescent="0.2">
      <c r="A25" s="453"/>
      <c r="B25" s="886"/>
      <c r="C25" s="886"/>
      <c r="D25" s="885"/>
      <c r="E25" s="885"/>
      <c r="F25" s="885"/>
      <c r="G25" s="885"/>
      <c r="H25" s="885"/>
      <c r="I25" s="885"/>
      <c r="J25" s="885"/>
      <c r="K25" s="885"/>
      <c r="L25" s="885"/>
      <c r="M25" s="885"/>
      <c r="N25" s="885"/>
      <c r="O25" s="885"/>
      <c r="P25" s="885"/>
      <c r="Q25" s="117"/>
      <c r="R25" s="117"/>
      <c r="S25" s="117"/>
    </row>
    <row r="26" spans="1:19" ht="14.25" x14ac:dyDescent="0.2">
      <c r="A26" s="453"/>
      <c r="B26" s="886"/>
      <c r="C26" s="886"/>
      <c r="D26" s="885"/>
      <c r="E26" s="885"/>
      <c r="F26" s="885"/>
      <c r="G26" s="885"/>
      <c r="H26" s="885"/>
      <c r="I26" s="885"/>
      <c r="J26" s="885"/>
      <c r="K26" s="885"/>
      <c r="L26" s="885"/>
      <c r="M26" s="885"/>
      <c r="N26" s="885"/>
      <c r="O26" s="885"/>
      <c r="P26" s="885"/>
      <c r="Q26" s="117"/>
      <c r="R26" s="117"/>
      <c r="S26" s="117"/>
    </row>
    <row r="27" spans="1:19" ht="14.25" x14ac:dyDescent="0.2">
      <c r="A27" s="453"/>
      <c r="B27" s="886"/>
      <c r="C27" s="886"/>
      <c r="D27" s="885"/>
      <c r="E27" s="885"/>
      <c r="F27" s="885"/>
      <c r="G27" s="885"/>
      <c r="H27" s="885"/>
      <c r="I27" s="885"/>
      <c r="J27" s="885"/>
      <c r="K27" s="885"/>
      <c r="L27" s="885"/>
      <c r="M27" s="885"/>
      <c r="N27" s="885"/>
      <c r="O27" s="885"/>
      <c r="P27" s="885"/>
      <c r="Q27" s="117"/>
      <c r="R27" s="117"/>
      <c r="S27" s="117"/>
    </row>
    <row r="28" spans="1:19" ht="14.25" x14ac:dyDescent="0.2">
      <c r="A28" s="453"/>
      <c r="B28" s="886"/>
      <c r="C28" s="886"/>
      <c r="D28" s="885"/>
      <c r="E28" s="885"/>
      <c r="F28" s="885"/>
      <c r="G28" s="885"/>
      <c r="H28" s="885"/>
      <c r="I28" s="885"/>
      <c r="J28" s="885"/>
      <c r="K28" s="885"/>
      <c r="L28" s="885"/>
      <c r="M28" s="885"/>
      <c r="N28" s="885"/>
      <c r="O28" s="885"/>
      <c r="P28" s="885"/>
      <c r="Q28" s="117"/>
      <c r="R28" s="117"/>
      <c r="S28" s="117"/>
    </row>
    <row r="29" spans="1:19" ht="14.25" x14ac:dyDescent="0.2">
      <c r="A29" s="453"/>
      <c r="B29" s="886"/>
      <c r="C29" s="886"/>
      <c r="D29" s="885"/>
      <c r="E29" s="885"/>
      <c r="F29" s="885"/>
      <c r="G29" s="885"/>
      <c r="H29" s="885"/>
      <c r="I29" s="885"/>
      <c r="J29" s="885"/>
      <c r="K29" s="885"/>
      <c r="L29" s="885"/>
      <c r="M29" s="885"/>
      <c r="N29" s="885"/>
      <c r="O29" s="885"/>
      <c r="P29" s="885"/>
      <c r="Q29" s="117"/>
      <c r="R29" s="117"/>
      <c r="S29" s="117"/>
    </row>
    <row r="30" spans="1:19" ht="14.25" x14ac:dyDescent="0.2">
      <c r="A30" s="453"/>
      <c r="B30" s="886"/>
      <c r="C30" s="886"/>
      <c r="D30" s="885"/>
      <c r="E30" s="885"/>
      <c r="F30" s="885"/>
      <c r="G30" s="885"/>
      <c r="H30" s="885"/>
      <c r="I30" s="885"/>
      <c r="J30" s="885"/>
      <c r="K30" s="885"/>
      <c r="L30" s="885"/>
      <c r="M30" s="885"/>
      <c r="N30" s="885"/>
      <c r="O30" s="885"/>
      <c r="P30" s="885"/>
      <c r="Q30" s="117"/>
      <c r="R30" s="117"/>
      <c r="S30" s="117"/>
    </row>
    <row r="31" spans="1:19" ht="14.25" x14ac:dyDescent="0.2">
      <c r="A31" s="453"/>
      <c r="B31" s="886"/>
      <c r="C31" s="886"/>
      <c r="D31" s="885"/>
      <c r="E31" s="885"/>
      <c r="F31" s="885"/>
      <c r="G31" s="885"/>
      <c r="H31" s="885"/>
      <c r="I31" s="885"/>
      <c r="J31" s="885"/>
      <c r="K31" s="885"/>
      <c r="L31" s="885"/>
      <c r="M31" s="885"/>
      <c r="N31" s="885"/>
      <c r="O31" s="885"/>
      <c r="P31" s="885"/>
      <c r="Q31" s="117"/>
      <c r="R31" s="117"/>
      <c r="S31" s="117"/>
    </row>
    <row r="32" spans="1:19" ht="14.25" x14ac:dyDescent="0.2">
      <c r="A32" s="453"/>
      <c r="B32" s="886"/>
      <c r="C32" s="886"/>
      <c r="D32" s="885"/>
      <c r="E32" s="885"/>
      <c r="F32" s="885"/>
      <c r="G32" s="885"/>
      <c r="H32" s="885"/>
      <c r="I32" s="885"/>
      <c r="J32" s="885"/>
      <c r="K32" s="885"/>
      <c r="L32" s="885"/>
      <c r="M32" s="885"/>
      <c r="N32" s="885"/>
      <c r="O32" s="885"/>
      <c r="P32" s="885"/>
      <c r="Q32" s="117"/>
      <c r="R32" s="117"/>
      <c r="S32" s="117"/>
    </row>
    <row r="33" spans="1:25" ht="12.75" x14ac:dyDescent="0.2">
      <c r="A33" s="453">
        <v>6</v>
      </c>
      <c r="B33" s="453" t="s">
        <v>78</v>
      </c>
      <c r="C33" s="1619"/>
      <c r="D33" s="3553" t="s">
        <v>1774</v>
      </c>
      <c r="E33" s="3554"/>
      <c r="F33" s="3554"/>
      <c r="G33" s="3554"/>
      <c r="H33" s="3554"/>
      <c r="I33" s="3554"/>
      <c r="J33" s="3554"/>
      <c r="K33" s="3554"/>
      <c r="L33" s="3554"/>
      <c r="M33" s="3554"/>
      <c r="N33" s="3554"/>
      <c r="O33" s="3554"/>
      <c r="P33" s="3554"/>
      <c r="Q33" s="3554"/>
      <c r="R33" s="3554"/>
      <c r="S33" s="3554"/>
      <c r="T33" s="3554"/>
      <c r="U33" s="3554"/>
      <c r="V33" s="3554"/>
      <c r="W33" s="3554"/>
      <c r="X33" s="3554"/>
      <c r="Y33" s="3555"/>
    </row>
    <row r="34" spans="1:25" ht="12.75" customHeight="1" x14ac:dyDescent="0.2">
      <c r="A34" s="453">
        <v>7</v>
      </c>
      <c r="B34" s="453" t="s">
        <v>1775</v>
      </c>
      <c r="C34" s="1619"/>
      <c r="D34" s="3578" t="s">
        <v>1776</v>
      </c>
      <c r="E34" s="3579"/>
      <c r="F34" s="3579"/>
      <c r="G34" s="3579"/>
      <c r="H34" s="3579"/>
      <c r="I34" s="3579"/>
      <c r="J34" s="3579"/>
      <c r="K34" s="3579"/>
      <c r="L34" s="3579"/>
      <c r="M34" s="3579"/>
      <c r="N34" s="3579"/>
      <c r="O34" s="3579"/>
      <c r="P34" s="3579"/>
      <c r="Q34" s="3579"/>
      <c r="R34" s="3579"/>
      <c r="S34" s="3579"/>
      <c r="T34" s="3579"/>
      <c r="U34" s="3579"/>
      <c r="V34" s="3579"/>
      <c r="W34" s="3579"/>
      <c r="X34" s="3579"/>
      <c r="Y34" s="3580"/>
    </row>
    <row r="35" spans="1:25" ht="14.25" customHeight="1" x14ac:dyDescent="0.2">
      <c r="A35" s="453"/>
      <c r="B35" s="453"/>
      <c r="C35" s="1619"/>
      <c r="D35" s="3553" t="s">
        <v>1777</v>
      </c>
      <c r="E35" s="3554"/>
      <c r="F35" s="3554"/>
      <c r="G35" s="3554"/>
      <c r="H35" s="3554"/>
      <c r="I35" s="3554"/>
      <c r="J35" s="3554"/>
      <c r="K35" s="3554"/>
      <c r="L35" s="3554"/>
      <c r="M35" s="3554"/>
      <c r="N35" s="3554"/>
      <c r="O35" s="3554"/>
      <c r="P35" s="3554"/>
      <c r="Q35" s="3554"/>
      <c r="R35" s="3554"/>
      <c r="S35" s="3554"/>
      <c r="T35" s="3554"/>
      <c r="U35" s="3554"/>
      <c r="V35" s="3554"/>
      <c r="W35" s="3554"/>
      <c r="X35" s="3554"/>
      <c r="Y35" s="3555"/>
    </row>
    <row r="36" spans="1:25" ht="12.75" customHeight="1" x14ac:dyDescent="0.2">
      <c r="A36" s="453">
        <v>8</v>
      </c>
      <c r="B36" s="453" t="s">
        <v>20</v>
      </c>
      <c r="C36" s="1619"/>
      <c r="D36" s="3553" t="s">
        <v>1778</v>
      </c>
      <c r="E36" s="3554"/>
      <c r="F36" s="3554"/>
      <c r="G36" s="3554"/>
      <c r="H36" s="3554"/>
      <c r="I36" s="3554"/>
      <c r="J36" s="3554"/>
      <c r="K36" s="3554"/>
      <c r="L36" s="3554"/>
      <c r="M36" s="3554"/>
      <c r="N36" s="3554"/>
      <c r="O36" s="3554"/>
      <c r="P36" s="3554"/>
      <c r="Q36" s="3554"/>
      <c r="R36" s="3554"/>
      <c r="S36" s="3554"/>
      <c r="T36" s="3554"/>
      <c r="U36" s="3554"/>
      <c r="V36" s="3554"/>
      <c r="W36" s="3554"/>
      <c r="X36" s="3554"/>
      <c r="Y36" s="3555"/>
    </row>
  </sheetData>
  <mergeCells count="6">
    <mergeCell ref="D36:Y36"/>
    <mergeCell ref="D3:Y3"/>
    <mergeCell ref="D4:Y4"/>
    <mergeCell ref="D33:Y33"/>
    <mergeCell ref="D34:Y34"/>
    <mergeCell ref="D35:Y35"/>
  </mergeCells>
  <pageMargins left="0.74803149606299213" right="0.74803149606299213" top="0.98425196850393704" bottom="0.98425196850393704" header="0.51181102362204722" footer="0.51181102362204722"/>
  <pageSetup paperSize="9" scale="4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37"/>
  <sheetViews>
    <sheetView showGridLines="0" view="pageBreakPreview" zoomScaleNormal="100" zoomScaleSheetLayoutView="100" workbookViewId="0">
      <selection activeCell="S12" sqref="S12"/>
    </sheetView>
  </sheetViews>
  <sheetFormatPr defaultColWidth="9.140625" defaultRowHeight="11.25" x14ac:dyDescent="0.2"/>
  <cols>
    <col min="1" max="1" width="3.7109375" style="1224" customWidth="1"/>
    <col min="2" max="2" width="14.42578125" style="1222" customWidth="1"/>
    <col min="3" max="3" width="5.42578125" style="1222" customWidth="1"/>
    <col min="4" max="4" width="18.28515625" style="401" customWidth="1"/>
    <col min="5" max="18" width="7.140625" style="401" customWidth="1"/>
    <col min="19" max="19" width="6" style="401" customWidth="1"/>
    <col min="20" max="257" width="9.140625" style="401"/>
    <col min="258" max="258" width="3.7109375" style="401" customWidth="1"/>
    <col min="259" max="259" width="14.42578125" style="401" customWidth="1"/>
    <col min="260" max="260" width="5.42578125" style="401" customWidth="1"/>
    <col min="261" max="261" width="14.140625" style="401" customWidth="1"/>
    <col min="262" max="275" width="6" style="401" customWidth="1"/>
    <col min="276" max="513" width="9.140625" style="401"/>
    <col min="514" max="514" width="3.7109375" style="401" customWidth="1"/>
    <col min="515" max="515" width="14.42578125" style="401" customWidth="1"/>
    <col min="516" max="516" width="5.42578125" style="401" customWidth="1"/>
    <col min="517" max="517" width="14.140625" style="401" customWidth="1"/>
    <col min="518" max="531" width="6" style="401" customWidth="1"/>
    <col min="532" max="769" width="9.140625" style="401"/>
    <col min="770" max="770" width="3.7109375" style="401" customWidth="1"/>
    <col min="771" max="771" width="14.42578125" style="401" customWidth="1"/>
    <col min="772" max="772" width="5.42578125" style="401" customWidth="1"/>
    <col min="773" max="773" width="14.140625" style="401" customWidth="1"/>
    <col min="774" max="787" width="6" style="401" customWidth="1"/>
    <col min="788" max="1025" width="9.140625" style="401"/>
    <col min="1026" max="1026" width="3.7109375" style="401" customWidth="1"/>
    <col min="1027" max="1027" width="14.42578125" style="401" customWidth="1"/>
    <col min="1028" max="1028" width="5.42578125" style="401" customWidth="1"/>
    <col min="1029" max="1029" width="14.140625" style="401" customWidth="1"/>
    <col min="1030" max="1043" width="6" style="401" customWidth="1"/>
    <col min="1044" max="1281" width="9.140625" style="401"/>
    <col min="1282" max="1282" width="3.7109375" style="401" customWidth="1"/>
    <col min="1283" max="1283" width="14.42578125" style="401" customWidth="1"/>
    <col min="1284" max="1284" width="5.42578125" style="401" customWidth="1"/>
    <col min="1285" max="1285" width="14.140625" style="401" customWidth="1"/>
    <col min="1286" max="1299" width="6" style="401" customWidth="1"/>
    <col min="1300" max="1537" width="9.140625" style="401"/>
    <col min="1538" max="1538" width="3.7109375" style="401" customWidth="1"/>
    <col min="1539" max="1539" width="14.42578125" style="401" customWidth="1"/>
    <col min="1540" max="1540" width="5.42578125" style="401" customWidth="1"/>
    <col min="1541" max="1541" width="14.140625" style="401" customWidth="1"/>
    <col min="1542" max="1555" width="6" style="401" customWidth="1"/>
    <col min="1556" max="1793" width="9.140625" style="401"/>
    <col min="1794" max="1794" width="3.7109375" style="401" customWidth="1"/>
    <col min="1795" max="1795" width="14.42578125" style="401" customWidth="1"/>
    <col min="1796" max="1796" width="5.42578125" style="401" customWidth="1"/>
    <col min="1797" max="1797" width="14.140625" style="401" customWidth="1"/>
    <col min="1798" max="1811" width="6" style="401" customWidth="1"/>
    <col min="1812" max="2049" width="9.140625" style="401"/>
    <col min="2050" max="2050" width="3.7109375" style="401" customWidth="1"/>
    <col min="2051" max="2051" width="14.42578125" style="401" customWidth="1"/>
    <col min="2052" max="2052" width="5.42578125" style="401" customWidth="1"/>
    <col min="2053" max="2053" width="14.140625" style="401" customWidth="1"/>
    <col min="2054" max="2067" width="6" style="401" customWidth="1"/>
    <col min="2068" max="2305" width="9.140625" style="401"/>
    <col min="2306" max="2306" width="3.7109375" style="401" customWidth="1"/>
    <col min="2307" max="2307" width="14.42578125" style="401" customWidth="1"/>
    <col min="2308" max="2308" width="5.42578125" style="401" customWidth="1"/>
    <col min="2309" max="2309" width="14.140625" style="401" customWidth="1"/>
    <col min="2310" max="2323" width="6" style="401" customWidth="1"/>
    <col min="2324" max="2561" width="9.140625" style="401"/>
    <col min="2562" max="2562" width="3.7109375" style="401" customWidth="1"/>
    <col min="2563" max="2563" width="14.42578125" style="401" customWidth="1"/>
    <col min="2564" max="2564" width="5.42578125" style="401" customWidth="1"/>
    <col min="2565" max="2565" width="14.140625" style="401" customWidth="1"/>
    <col min="2566" max="2579" width="6" style="401" customWidth="1"/>
    <col min="2580" max="2817" width="9.140625" style="401"/>
    <col min="2818" max="2818" width="3.7109375" style="401" customWidth="1"/>
    <col min="2819" max="2819" width="14.42578125" style="401" customWidth="1"/>
    <col min="2820" max="2820" width="5.42578125" style="401" customWidth="1"/>
    <col min="2821" max="2821" width="14.140625" style="401" customWidth="1"/>
    <col min="2822" max="2835" width="6" style="401" customWidth="1"/>
    <col min="2836" max="3073" width="9.140625" style="401"/>
    <col min="3074" max="3074" width="3.7109375" style="401" customWidth="1"/>
    <col min="3075" max="3075" width="14.42578125" style="401" customWidth="1"/>
    <col min="3076" max="3076" width="5.42578125" style="401" customWidth="1"/>
    <col min="3077" max="3077" width="14.140625" style="401" customWidth="1"/>
    <col min="3078" max="3091" width="6" style="401" customWidth="1"/>
    <col min="3092" max="3329" width="9.140625" style="401"/>
    <col min="3330" max="3330" width="3.7109375" style="401" customWidth="1"/>
    <col min="3331" max="3331" width="14.42578125" style="401" customWidth="1"/>
    <col min="3332" max="3332" width="5.42578125" style="401" customWidth="1"/>
    <col min="3333" max="3333" width="14.140625" style="401" customWidth="1"/>
    <col min="3334" max="3347" width="6" style="401" customWidth="1"/>
    <col min="3348" max="3585" width="9.140625" style="401"/>
    <col min="3586" max="3586" width="3.7109375" style="401" customWidth="1"/>
    <col min="3587" max="3587" width="14.42578125" style="401" customWidth="1"/>
    <col min="3588" max="3588" width="5.42578125" style="401" customWidth="1"/>
    <col min="3589" max="3589" width="14.140625" style="401" customWidth="1"/>
    <col min="3590" max="3603" width="6" style="401" customWidth="1"/>
    <col min="3604" max="3841" width="9.140625" style="401"/>
    <col min="3842" max="3842" width="3.7109375" style="401" customWidth="1"/>
    <col min="3843" max="3843" width="14.42578125" style="401" customWidth="1"/>
    <col min="3844" max="3844" width="5.42578125" style="401" customWidth="1"/>
    <col min="3845" max="3845" width="14.140625" style="401" customWidth="1"/>
    <col min="3846" max="3859" width="6" style="401" customWidth="1"/>
    <col min="3860" max="4097" width="9.140625" style="401"/>
    <col min="4098" max="4098" width="3.7109375" style="401" customWidth="1"/>
    <col min="4099" max="4099" width="14.42578125" style="401" customWidth="1"/>
    <col min="4100" max="4100" width="5.42578125" style="401" customWidth="1"/>
    <col min="4101" max="4101" width="14.140625" style="401" customWidth="1"/>
    <col min="4102" max="4115" width="6" style="401" customWidth="1"/>
    <col min="4116" max="4353" width="9.140625" style="401"/>
    <col min="4354" max="4354" width="3.7109375" style="401" customWidth="1"/>
    <col min="4355" max="4355" width="14.42578125" style="401" customWidth="1"/>
    <col min="4356" max="4356" width="5.42578125" style="401" customWidth="1"/>
    <col min="4357" max="4357" width="14.140625" style="401" customWidth="1"/>
    <col min="4358" max="4371" width="6" style="401" customWidth="1"/>
    <col min="4372" max="4609" width="9.140625" style="401"/>
    <col min="4610" max="4610" width="3.7109375" style="401" customWidth="1"/>
    <col min="4611" max="4611" width="14.42578125" style="401" customWidth="1"/>
    <col min="4612" max="4612" width="5.42578125" style="401" customWidth="1"/>
    <col min="4613" max="4613" width="14.140625" style="401" customWidth="1"/>
    <col min="4614" max="4627" width="6" style="401" customWidth="1"/>
    <col min="4628" max="4865" width="9.140625" style="401"/>
    <col min="4866" max="4866" width="3.7109375" style="401" customWidth="1"/>
    <col min="4867" max="4867" width="14.42578125" style="401" customWidth="1"/>
    <col min="4868" max="4868" width="5.42578125" style="401" customWidth="1"/>
    <col min="4869" max="4869" width="14.140625" style="401" customWidth="1"/>
    <col min="4870" max="4883" width="6" style="401" customWidth="1"/>
    <col min="4884" max="5121" width="9.140625" style="401"/>
    <col min="5122" max="5122" width="3.7109375" style="401" customWidth="1"/>
    <col min="5123" max="5123" width="14.42578125" style="401" customWidth="1"/>
    <col min="5124" max="5124" width="5.42578125" style="401" customWidth="1"/>
    <col min="5125" max="5125" width="14.140625" style="401" customWidth="1"/>
    <col min="5126" max="5139" width="6" style="401" customWidth="1"/>
    <col min="5140" max="5377" width="9.140625" style="401"/>
    <col min="5378" max="5378" width="3.7109375" style="401" customWidth="1"/>
    <col min="5379" max="5379" width="14.42578125" style="401" customWidth="1"/>
    <col min="5380" max="5380" width="5.42578125" style="401" customWidth="1"/>
    <col min="5381" max="5381" width="14.140625" style="401" customWidth="1"/>
    <col min="5382" max="5395" width="6" style="401" customWidth="1"/>
    <col min="5396" max="5633" width="9.140625" style="401"/>
    <col min="5634" max="5634" width="3.7109375" style="401" customWidth="1"/>
    <col min="5635" max="5635" width="14.42578125" style="401" customWidth="1"/>
    <col min="5636" max="5636" width="5.42578125" style="401" customWidth="1"/>
    <col min="5637" max="5637" width="14.140625" style="401" customWidth="1"/>
    <col min="5638" max="5651" width="6" style="401" customWidth="1"/>
    <col min="5652" max="5889" width="9.140625" style="401"/>
    <col min="5890" max="5890" width="3.7109375" style="401" customWidth="1"/>
    <col min="5891" max="5891" width="14.42578125" style="401" customWidth="1"/>
    <col min="5892" max="5892" width="5.42578125" style="401" customWidth="1"/>
    <col min="5893" max="5893" width="14.140625" style="401" customWidth="1"/>
    <col min="5894" max="5907" width="6" style="401" customWidth="1"/>
    <col min="5908" max="6145" width="9.140625" style="401"/>
    <col min="6146" max="6146" width="3.7109375" style="401" customWidth="1"/>
    <col min="6147" max="6147" width="14.42578125" style="401" customWidth="1"/>
    <col min="6148" max="6148" width="5.42578125" style="401" customWidth="1"/>
    <col min="6149" max="6149" width="14.140625" style="401" customWidth="1"/>
    <col min="6150" max="6163" width="6" style="401" customWidth="1"/>
    <col min="6164" max="6401" width="9.140625" style="401"/>
    <col min="6402" max="6402" width="3.7109375" style="401" customWidth="1"/>
    <col min="6403" max="6403" width="14.42578125" style="401" customWidth="1"/>
    <col min="6404" max="6404" width="5.42578125" style="401" customWidth="1"/>
    <col min="6405" max="6405" width="14.140625" style="401" customWidth="1"/>
    <col min="6406" max="6419" width="6" style="401" customWidth="1"/>
    <col min="6420" max="6657" width="9.140625" style="401"/>
    <col min="6658" max="6658" width="3.7109375" style="401" customWidth="1"/>
    <col min="6659" max="6659" width="14.42578125" style="401" customWidth="1"/>
    <col min="6660" max="6660" width="5.42578125" style="401" customWidth="1"/>
    <col min="6661" max="6661" width="14.140625" style="401" customWidth="1"/>
    <col min="6662" max="6675" width="6" style="401" customWidth="1"/>
    <col min="6676" max="6913" width="9.140625" style="401"/>
    <col min="6914" max="6914" width="3.7109375" style="401" customWidth="1"/>
    <col min="6915" max="6915" width="14.42578125" style="401" customWidth="1"/>
    <col min="6916" max="6916" width="5.42578125" style="401" customWidth="1"/>
    <col min="6917" max="6917" width="14.140625" style="401" customWidth="1"/>
    <col min="6918" max="6931" width="6" style="401" customWidth="1"/>
    <col min="6932" max="7169" width="9.140625" style="401"/>
    <col min="7170" max="7170" width="3.7109375" style="401" customWidth="1"/>
    <col min="7171" max="7171" width="14.42578125" style="401" customWidth="1"/>
    <col min="7172" max="7172" width="5.42578125" style="401" customWidth="1"/>
    <col min="7173" max="7173" width="14.140625" style="401" customWidth="1"/>
    <col min="7174" max="7187" width="6" style="401" customWidth="1"/>
    <col min="7188" max="7425" width="9.140625" style="401"/>
    <col min="7426" max="7426" width="3.7109375" style="401" customWidth="1"/>
    <col min="7427" max="7427" width="14.42578125" style="401" customWidth="1"/>
    <col min="7428" max="7428" width="5.42578125" style="401" customWidth="1"/>
    <col min="7429" max="7429" width="14.140625" style="401" customWidth="1"/>
    <col min="7430" max="7443" width="6" style="401" customWidth="1"/>
    <col min="7444" max="7681" width="9.140625" style="401"/>
    <col min="7682" max="7682" width="3.7109375" style="401" customWidth="1"/>
    <col min="7683" max="7683" width="14.42578125" style="401" customWidth="1"/>
    <col min="7684" max="7684" width="5.42578125" style="401" customWidth="1"/>
    <col min="7685" max="7685" width="14.140625" style="401" customWidth="1"/>
    <col min="7686" max="7699" width="6" style="401" customWidth="1"/>
    <col min="7700" max="7937" width="9.140625" style="401"/>
    <col min="7938" max="7938" width="3.7109375" style="401" customWidth="1"/>
    <col min="7939" max="7939" width="14.42578125" style="401" customWidth="1"/>
    <col min="7940" max="7940" width="5.42578125" style="401" customWidth="1"/>
    <col min="7941" max="7941" width="14.140625" style="401" customWidth="1"/>
    <col min="7942" max="7955" width="6" style="401" customWidth="1"/>
    <col min="7956" max="8193" width="9.140625" style="401"/>
    <col min="8194" max="8194" width="3.7109375" style="401" customWidth="1"/>
    <col min="8195" max="8195" width="14.42578125" style="401" customWidth="1"/>
    <col min="8196" max="8196" width="5.42578125" style="401" customWidth="1"/>
    <col min="8197" max="8197" width="14.140625" style="401" customWidth="1"/>
    <col min="8198" max="8211" width="6" style="401" customWidth="1"/>
    <col min="8212" max="8449" width="9.140625" style="401"/>
    <col min="8450" max="8450" width="3.7109375" style="401" customWidth="1"/>
    <col min="8451" max="8451" width="14.42578125" style="401" customWidth="1"/>
    <col min="8452" max="8452" width="5.42578125" style="401" customWidth="1"/>
    <col min="8453" max="8453" width="14.140625" style="401" customWidth="1"/>
    <col min="8454" max="8467" width="6" style="401" customWidth="1"/>
    <col min="8468" max="8705" width="9.140625" style="401"/>
    <col min="8706" max="8706" width="3.7109375" style="401" customWidth="1"/>
    <col min="8707" max="8707" width="14.42578125" style="401" customWidth="1"/>
    <col min="8708" max="8708" width="5.42578125" style="401" customWidth="1"/>
    <col min="8709" max="8709" width="14.140625" style="401" customWidth="1"/>
    <col min="8710" max="8723" width="6" style="401" customWidth="1"/>
    <col min="8724" max="8961" width="9.140625" style="401"/>
    <col min="8962" max="8962" width="3.7109375" style="401" customWidth="1"/>
    <col min="8963" max="8963" width="14.42578125" style="401" customWidth="1"/>
    <col min="8964" max="8964" width="5.42578125" style="401" customWidth="1"/>
    <col min="8965" max="8965" width="14.140625" style="401" customWidth="1"/>
    <col min="8966" max="8979" width="6" style="401" customWidth="1"/>
    <col min="8980" max="9217" width="9.140625" style="401"/>
    <col min="9218" max="9218" width="3.7109375" style="401" customWidth="1"/>
    <col min="9219" max="9219" width="14.42578125" style="401" customWidth="1"/>
    <col min="9220" max="9220" width="5.42578125" style="401" customWidth="1"/>
    <col min="9221" max="9221" width="14.140625" style="401" customWidth="1"/>
    <col min="9222" max="9235" width="6" style="401" customWidth="1"/>
    <col min="9236" max="9473" width="9.140625" style="401"/>
    <col min="9474" max="9474" width="3.7109375" style="401" customWidth="1"/>
    <col min="9475" max="9475" width="14.42578125" style="401" customWidth="1"/>
    <col min="9476" max="9476" width="5.42578125" style="401" customWidth="1"/>
    <col min="9477" max="9477" width="14.140625" style="401" customWidth="1"/>
    <col min="9478" max="9491" width="6" style="401" customWidth="1"/>
    <col min="9492" max="9729" width="9.140625" style="401"/>
    <col min="9730" max="9730" width="3.7109375" style="401" customWidth="1"/>
    <col min="9731" max="9731" width="14.42578125" style="401" customWidth="1"/>
    <col min="9732" max="9732" width="5.42578125" style="401" customWidth="1"/>
    <col min="9733" max="9733" width="14.140625" style="401" customWidth="1"/>
    <col min="9734" max="9747" width="6" style="401" customWidth="1"/>
    <col min="9748" max="9985" width="9.140625" style="401"/>
    <col min="9986" max="9986" width="3.7109375" style="401" customWidth="1"/>
    <col min="9987" max="9987" width="14.42578125" style="401" customWidth="1"/>
    <col min="9988" max="9988" width="5.42578125" style="401" customWidth="1"/>
    <col min="9989" max="9989" width="14.140625" style="401" customWidth="1"/>
    <col min="9990" max="10003" width="6" style="401" customWidth="1"/>
    <col min="10004" max="10241" width="9.140625" style="401"/>
    <col min="10242" max="10242" width="3.7109375" style="401" customWidth="1"/>
    <col min="10243" max="10243" width="14.42578125" style="401" customWidth="1"/>
    <col min="10244" max="10244" width="5.42578125" style="401" customWidth="1"/>
    <col min="10245" max="10245" width="14.140625" style="401" customWidth="1"/>
    <col min="10246" max="10259" width="6" style="401" customWidth="1"/>
    <col min="10260" max="10497" width="9.140625" style="401"/>
    <col min="10498" max="10498" width="3.7109375" style="401" customWidth="1"/>
    <col min="10499" max="10499" width="14.42578125" style="401" customWidth="1"/>
    <col min="10500" max="10500" width="5.42578125" style="401" customWidth="1"/>
    <col min="10501" max="10501" width="14.140625" style="401" customWidth="1"/>
    <col min="10502" max="10515" width="6" style="401" customWidth="1"/>
    <col min="10516" max="10753" width="9.140625" style="401"/>
    <col min="10754" max="10754" width="3.7109375" style="401" customWidth="1"/>
    <col min="10755" max="10755" width="14.42578125" style="401" customWidth="1"/>
    <col min="10756" max="10756" width="5.42578125" style="401" customWidth="1"/>
    <col min="10757" max="10757" width="14.140625" style="401" customWidth="1"/>
    <col min="10758" max="10771" width="6" style="401" customWidth="1"/>
    <col min="10772" max="11009" width="9.140625" style="401"/>
    <col min="11010" max="11010" width="3.7109375" style="401" customWidth="1"/>
    <col min="11011" max="11011" width="14.42578125" style="401" customWidth="1"/>
    <col min="11012" max="11012" width="5.42578125" style="401" customWidth="1"/>
    <col min="11013" max="11013" width="14.140625" style="401" customWidth="1"/>
    <col min="11014" max="11027" width="6" style="401" customWidth="1"/>
    <col min="11028" max="11265" width="9.140625" style="401"/>
    <col min="11266" max="11266" width="3.7109375" style="401" customWidth="1"/>
    <col min="11267" max="11267" width="14.42578125" style="401" customWidth="1"/>
    <col min="11268" max="11268" width="5.42578125" style="401" customWidth="1"/>
    <col min="11269" max="11269" width="14.140625" style="401" customWidth="1"/>
    <col min="11270" max="11283" width="6" style="401" customWidth="1"/>
    <col min="11284" max="11521" width="9.140625" style="401"/>
    <col min="11522" max="11522" width="3.7109375" style="401" customWidth="1"/>
    <col min="11523" max="11523" width="14.42578125" style="401" customWidth="1"/>
    <col min="11524" max="11524" width="5.42578125" style="401" customWidth="1"/>
    <col min="11525" max="11525" width="14.140625" style="401" customWidth="1"/>
    <col min="11526" max="11539" width="6" style="401" customWidth="1"/>
    <col min="11540" max="11777" width="9.140625" style="401"/>
    <col min="11778" max="11778" width="3.7109375" style="401" customWidth="1"/>
    <col min="11779" max="11779" width="14.42578125" style="401" customWidth="1"/>
    <col min="11780" max="11780" width="5.42578125" style="401" customWidth="1"/>
    <col min="11781" max="11781" width="14.140625" style="401" customWidth="1"/>
    <col min="11782" max="11795" width="6" style="401" customWidth="1"/>
    <col min="11796" max="12033" width="9.140625" style="401"/>
    <col min="12034" max="12034" width="3.7109375" style="401" customWidth="1"/>
    <col min="12035" max="12035" width="14.42578125" style="401" customWidth="1"/>
    <col min="12036" max="12036" width="5.42578125" style="401" customWidth="1"/>
    <col min="12037" max="12037" width="14.140625" style="401" customWidth="1"/>
    <col min="12038" max="12051" width="6" style="401" customWidth="1"/>
    <col min="12052" max="12289" width="9.140625" style="401"/>
    <col min="12290" max="12290" width="3.7109375" style="401" customWidth="1"/>
    <col min="12291" max="12291" width="14.42578125" style="401" customWidth="1"/>
    <col min="12292" max="12292" width="5.42578125" style="401" customWidth="1"/>
    <col min="12293" max="12293" width="14.140625" style="401" customWidth="1"/>
    <col min="12294" max="12307" width="6" style="401" customWidth="1"/>
    <col min="12308" max="12545" width="9.140625" style="401"/>
    <col min="12546" max="12546" width="3.7109375" style="401" customWidth="1"/>
    <col min="12547" max="12547" width="14.42578125" style="401" customWidth="1"/>
    <col min="12548" max="12548" width="5.42578125" style="401" customWidth="1"/>
    <col min="12549" max="12549" width="14.140625" style="401" customWidth="1"/>
    <col min="12550" max="12563" width="6" style="401" customWidth="1"/>
    <col min="12564" max="12801" width="9.140625" style="401"/>
    <col min="12802" max="12802" width="3.7109375" style="401" customWidth="1"/>
    <col min="12803" max="12803" width="14.42578125" style="401" customWidth="1"/>
    <col min="12804" max="12804" width="5.42578125" style="401" customWidth="1"/>
    <col min="12805" max="12805" width="14.140625" style="401" customWidth="1"/>
    <col min="12806" max="12819" width="6" style="401" customWidth="1"/>
    <col min="12820" max="13057" width="9.140625" style="401"/>
    <col min="13058" max="13058" width="3.7109375" style="401" customWidth="1"/>
    <col min="13059" max="13059" width="14.42578125" style="401" customWidth="1"/>
    <col min="13060" max="13060" width="5.42578125" style="401" customWidth="1"/>
    <col min="13061" max="13061" width="14.140625" style="401" customWidth="1"/>
    <col min="13062" max="13075" width="6" style="401" customWidth="1"/>
    <col min="13076" max="13313" width="9.140625" style="401"/>
    <col min="13314" max="13314" width="3.7109375" style="401" customWidth="1"/>
    <col min="13315" max="13315" width="14.42578125" style="401" customWidth="1"/>
    <col min="13316" max="13316" width="5.42578125" style="401" customWidth="1"/>
    <col min="13317" max="13317" width="14.140625" style="401" customWidth="1"/>
    <col min="13318" max="13331" width="6" style="401" customWidth="1"/>
    <col min="13332" max="13569" width="9.140625" style="401"/>
    <col min="13570" max="13570" width="3.7109375" style="401" customWidth="1"/>
    <col min="13571" max="13571" width="14.42578125" style="401" customWidth="1"/>
    <col min="13572" max="13572" width="5.42578125" style="401" customWidth="1"/>
    <col min="13573" max="13573" width="14.140625" style="401" customWidth="1"/>
    <col min="13574" max="13587" width="6" style="401" customWidth="1"/>
    <col min="13588" max="13825" width="9.140625" style="401"/>
    <col min="13826" max="13826" width="3.7109375" style="401" customWidth="1"/>
    <col min="13827" max="13827" width="14.42578125" style="401" customWidth="1"/>
    <col min="13828" max="13828" width="5.42578125" style="401" customWidth="1"/>
    <col min="13829" max="13829" width="14.140625" style="401" customWidth="1"/>
    <col min="13830" max="13843" width="6" style="401" customWidth="1"/>
    <col min="13844" max="14081" width="9.140625" style="401"/>
    <col min="14082" max="14082" width="3.7109375" style="401" customWidth="1"/>
    <col min="14083" max="14083" width="14.42578125" style="401" customWidth="1"/>
    <col min="14084" max="14084" width="5.42578125" style="401" customWidth="1"/>
    <col min="14085" max="14085" width="14.140625" style="401" customWidth="1"/>
    <col min="14086" max="14099" width="6" style="401" customWidth="1"/>
    <col min="14100" max="14337" width="9.140625" style="401"/>
    <col min="14338" max="14338" width="3.7109375" style="401" customWidth="1"/>
    <col min="14339" max="14339" width="14.42578125" style="401" customWidth="1"/>
    <col min="14340" max="14340" width="5.42578125" style="401" customWidth="1"/>
    <col min="14341" max="14341" width="14.140625" style="401" customWidth="1"/>
    <col min="14342" max="14355" width="6" style="401" customWidth="1"/>
    <col min="14356" max="14593" width="9.140625" style="401"/>
    <col min="14594" max="14594" width="3.7109375" style="401" customWidth="1"/>
    <col min="14595" max="14595" width="14.42578125" style="401" customWidth="1"/>
    <col min="14596" max="14596" width="5.42578125" style="401" customWidth="1"/>
    <col min="14597" max="14597" width="14.140625" style="401" customWidth="1"/>
    <col min="14598" max="14611" width="6" style="401" customWidth="1"/>
    <col min="14612" max="14849" width="9.140625" style="401"/>
    <col min="14850" max="14850" width="3.7109375" style="401" customWidth="1"/>
    <col min="14851" max="14851" width="14.42578125" style="401" customWidth="1"/>
    <col min="14852" max="14852" width="5.42578125" style="401" customWidth="1"/>
    <col min="14853" max="14853" width="14.140625" style="401" customWidth="1"/>
    <col min="14854" max="14867" width="6" style="401" customWidth="1"/>
    <col min="14868" max="15105" width="9.140625" style="401"/>
    <col min="15106" max="15106" width="3.7109375" style="401" customWidth="1"/>
    <col min="15107" max="15107" width="14.42578125" style="401" customWidth="1"/>
    <col min="15108" max="15108" width="5.42578125" style="401" customWidth="1"/>
    <col min="15109" max="15109" width="14.140625" style="401" customWidth="1"/>
    <col min="15110" max="15123" width="6" style="401" customWidth="1"/>
    <col min="15124" max="15361" width="9.140625" style="401"/>
    <col min="15362" max="15362" width="3.7109375" style="401" customWidth="1"/>
    <col min="15363" max="15363" width="14.42578125" style="401" customWidth="1"/>
    <col min="15364" max="15364" width="5.42578125" style="401" customWidth="1"/>
    <col min="15365" max="15365" width="14.140625" style="401" customWidth="1"/>
    <col min="15366" max="15379" width="6" style="401" customWidth="1"/>
    <col min="15380" max="15617" width="9.140625" style="401"/>
    <col min="15618" max="15618" width="3.7109375" style="401" customWidth="1"/>
    <col min="15619" max="15619" width="14.42578125" style="401" customWidth="1"/>
    <col min="15620" max="15620" width="5.42578125" style="401" customWidth="1"/>
    <col min="15621" max="15621" width="14.140625" style="401" customWidth="1"/>
    <col min="15622" max="15635" width="6" style="401" customWidth="1"/>
    <col min="15636" max="15873" width="9.140625" style="401"/>
    <col min="15874" max="15874" width="3.7109375" style="401" customWidth="1"/>
    <col min="15875" max="15875" width="14.42578125" style="401" customWidth="1"/>
    <col min="15876" max="15876" width="5.42578125" style="401" customWidth="1"/>
    <col min="15877" max="15877" width="14.140625" style="401" customWidth="1"/>
    <col min="15878" max="15891" width="6" style="401" customWidth="1"/>
    <col min="15892" max="16129" width="9.140625" style="401"/>
    <col min="16130" max="16130" width="3.7109375" style="401" customWidth="1"/>
    <col min="16131" max="16131" width="14.42578125" style="401" customWidth="1"/>
    <col min="16132" max="16132" width="5.42578125" style="401" customWidth="1"/>
    <col min="16133" max="16133" width="14.140625" style="401" customWidth="1"/>
    <col min="16134" max="16147" width="6" style="401" customWidth="1"/>
    <col min="16148" max="16384" width="9.140625" style="401"/>
  </cols>
  <sheetData>
    <row r="1" spans="1:22" ht="12.75" customHeight="1" x14ac:dyDescent="0.2">
      <c r="A1" s="835"/>
      <c r="B1" s="1791"/>
      <c r="C1" s="1791"/>
      <c r="D1" s="628"/>
      <c r="E1" s="628"/>
      <c r="F1" s="628"/>
      <c r="G1" s="628"/>
      <c r="H1" s="628"/>
      <c r="I1" s="628"/>
      <c r="J1" s="628"/>
      <c r="K1" s="628"/>
      <c r="L1" s="628"/>
      <c r="M1" s="628"/>
      <c r="N1" s="628"/>
      <c r="O1" s="628"/>
      <c r="P1" s="628"/>
      <c r="Q1" s="628"/>
      <c r="R1" s="628"/>
      <c r="S1" s="628"/>
      <c r="T1" s="628"/>
    </row>
    <row r="2" spans="1:22" ht="12.75" customHeight="1" x14ac:dyDescent="0.2">
      <c r="A2" s="835">
        <v>1</v>
      </c>
      <c r="B2" s="835" t="s">
        <v>89</v>
      </c>
      <c r="C2" s="835">
        <v>75</v>
      </c>
      <c r="D2" s="3615" t="s">
        <v>1779</v>
      </c>
      <c r="E2" s="3616"/>
      <c r="F2" s="3616"/>
      <c r="G2" s="3616"/>
      <c r="H2" s="3616"/>
      <c r="I2" s="3616"/>
      <c r="J2" s="3616"/>
      <c r="K2" s="3616"/>
      <c r="L2" s="3616"/>
      <c r="M2" s="3616"/>
      <c r="N2" s="3616"/>
      <c r="O2" s="3616"/>
      <c r="P2" s="3616"/>
      <c r="Q2" s="3616"/>
      <c r="R2" s="3616"/>
      <c r="S2" s="3616"/>
      <c r="T2" s="3616"/>
      <c r="U2" s="3617"/>
      <c r="V2" s="406"/>
    </row>
    <row r="3" spans="1:22" ht="12.75" customHeight="1" x14ac:dyDescent="0.2">
      <c r="A3" s="835">
        <v>2</v>
      </c>
      <c r="B3" s="835" t="s">
        <v>91</v>
      </c>
      <c r="C3" s="835"/>
      <c r="D3" s="3615" t="s">
        <v>1780</v>
      </c>
      <c r="E3" s="3616"/>
      <c r="F3" s="3616"/>
      <c r="G3" s="3616"/>
      <c r="H3" s="3616"/>
      <c r="I3" s="3616"/>
      <c r="J3" s="3616"/>
      <c r="K3" s="3616"/>
      <c r="L3" s="3616"/>
      <c r="M3" s="3616"/>
      <c r="N3" s="3616"/>
      <c r="O3" s="3616"/>
      <c r="P3" s="3616"/>
      <c r="Q3" s="3616"/>
      <c r="R3" s="3616"/>
      <c r="S3" s="3616"/>
      <c r="T3" s="3616"/>
      <c r="U3" s="3617"/>
    </row>
    <row r="4" spans="1:22" ht="12.75" customHeight="1" x14ac:dyDescent="0.2">
      <c r="A4" s="835">
        <v>3</v>
      </c>
      <c r="B4" s="835" t="s">
        <v>28</v>
      </c>
      <c r="C4" s="835"/>
      <c r="D4" s="3615" t="s">
        <v>1781</v>
      </c>
      <c r="E4" s="3616"/>
      <c r="F4" s="3616"/>
      <c r="G4" s="3616"/>
      <c r="H4" s="3616"/>
      <c r="I4" s="3616"/>
      <c r="J4" s="3616"/>
      <c r="K4" s="3616"/>
      <c r="L4" s="3616"/>
      <c r="M4" s="3616"/>
      <c r="N4" s="3616"/>
      <c r="O4" s="3616"/>
      <c r="P4" s="3616"/>
      <c r="Q4" s="3616"/>
      <c r="R4" s="3616"/>
      <c r="S4" s="3616"/>
      <c r="T4" s="3616"/>
      <c r="U4" s="3617"/>
    </row>
    <row r="5" spans="1:22" ht="46.9" customHeight="1" x14ac:dyDescent="0.2">
      <c r="A5" s="835">
        <v>4</v>
      </c>
      <c r="B5" s="835" t="s">
        <v>30</v>
      </c>
      <c r="C5" s="835"/>
      <c r="D5" s="3784"/>
      <c r="E5" s="3784"/>
      <c r="F5" s="3784"/>
      <c r="G5" s="3784"/>
      <c r="H5" s="3784"/>
      <c r="I5" s="3784"/>
      <c r="J5" s="3784"/>
      <c r="K5" s="3784"/>
      <c r="L5" s="3784"/>
      <c r="M5" s="3784"/>
      <c r="N5" s="3784"/>
      <c r="O5" s="3784"/>
      <c r="P5" s="3784"/>
      <c r="Q5" s="3784"/>
      <c r="R5" s="3784"/>
      <c r="S5" s="3784"/>
      <c r="T5" s="628"/>
    </row>
    <row r="6" spans="1:22" ht="12.75" customHeight="1" x14ac:dyDescent="0.2">
      <c r="C6" s="418"/>
      <c r="D6" s="628"/>
      <c r="E6" s="628"/>
      <c r="F6" s="628"/>
      <c r="G6" s="628"/>
      <c r="H6" s="628"/>
      <c r="I6" s="628"/>
      <c r="J6" s="628"/>
      <c r="K6" s="628"/>
      <c r="L6" s="628"/>
      <c r="M6" s="628"/>
      <c r="N6" s="628"/>
      <c r="O6" s="628"/>
      <c r="P6" s="628"/>
      <c r="Q6" s="628"/>
      <c r="R6" s="628"/>
      <c r="S6" s="628"/>
      <c r="T6" s="628"/>
    </row>
    <row r="7" spans="1:22" ht="12.75" customHeight="1" x14ac:dyDescent="0.2">
      <c r="A7" s="1792"/>
      <c r="B7" s="418"/>
      <c r="C7" s="418"/>
      <c r="D7" s="628"/>
      <c r="E7" s="628"/>
      <c r="F7" s="628"/>
      <c r="G7" s="628"/>
      <c r="H7" s="628"/>
      <c r="I7" s="628"/>
      <c r="J7" s="628"/>
      <c r="K7" s="628"/>
      <c r="L7" s="628"/>
      <c r="M7" s="628"/>
      <c r="N7" s="628"/>
      <c r="O7" s="628"/>
      <c r="P7" s="628"/>
      <c r="Q7" s="628"/>
      <c r="R7" s="628"/>
      <c r="S7" s="628"/>
      <c r="T7" s="628"/>
    </row>
    <row r="8" spans="1:22" ht="12.75" customHeight="1" x14ac:dyDescent="0.2">
      <c r="A8" s="835">
        <v>5</v>
      </c>
      <c r="B8" s="418" t="s">
        <v>1</v>
      </c>
      <c r="D8" s="1098" t="s">
        <v>103</v>
      </c>
      <c r="E8" s="1098" t="s">
        <v>1782</v>
      </c>
      <c r="F8" s="1098"/>
      <c r="G8" s="1098"/>
      <c r="H8" s="1098"/>
      <c r="I8" s="1098"/>
      <c r="J8" s="1098"/>
      <c r="K8" s="1098"/>
      <c r="L8" s="436"/>
      <c r="M8" s="432"/>
      <c r="N8" s="432"/>
      <c r="O8" s="432"/>
      <c r="P8" s="432"/>
      <c r="Q8" s="432"/>
      <c r="R8" s="628"/>
    </row>
    <row r="9" spans="1:22" ht="11.25" customHeight="1" x14ac:dyDescent="0.2">
      <c r="D9" s="2995"/>
      <c r="E9" s="1815" t="s">
        <v>133</v>
      </c>
      <c r="F9" s="1816" t="s">
        <v>134</v>
      </c>
      <c r="G9" s="1816" t="s">
        <v>135</v>
      </c>
      <c r="H9" s="1816" t="s">
        <v>136</v>
      </c>
      <c r="I9" s="1816" t="s">
        <v>137</v>
      </c>
      <c r="J9" s="1816" t="s">
        <v>138</v>
      </c>
      <c r="K9" s="1816" t="s">
        <v>139</v>
      </c>
      <c r="L9" s="1815" t="s">
        <v>140</v>
      </c>
      <c r="M9" s="909" t="s">
        <v>141</v>
      </c>
      <c r="N9" s="909" t="s">
        <v>142</v>
      </c>
      <c r="O9" s="909" t="s">
        <v>143</v>
      </c>
      <c r="P9" s="909" t="s">
        <v>144</v>
      </c>
      <c r="Q9" s="3077" t="s">
        <v>145</v>
      </c>
      <c r="R9" s="628"/>
      <c r="S9" s="1793"/>
    </row>
    <row r="10" spans="1:22" ht="13.15" customHeight="1" x14ac:dyDescent="0.2">
      <c r="D10" s="3076" t="s">
        <v>1783</v>
      </c>
      <c r="E10" s="905">
        <v>4</v>
      </c>
      <c r="F10" s="905">
        <v>6</v>
      </c>
      <c r="G10" s="905">
        <v>6</v>
      </c>
      <c r="H10" s="905">
        <v>4</v>
      </c>
      <c r="I10" s="905">
        <v>10</v>
      </c>
      <c r="J10" s="905">
        <v>12</v>
      </c>
      <c r="K10" s="905">
        <v>9</v>
      </c>
      <c r="L10" s="905">
        <v>4</v>
      </c>
      <c r="M10" s="905">
        <v>1</v>
      </c>
      <c r="N10" s="905">
        <v>7</v>
      </c>
      <c r="O10" s="905">
        <v>15</v>
      </c>
      <c r="P10" s="905">
        <v>3</v>
      </c>
      <c r="Q10" s="3078">
        <v>7</v>
      </c>
      <c r="R10" s="628"/>
      <c r="S10" s="905"/>
      <c r="T10" s="1817"/>
    </row>
    <row r="11" spans="1:22" ht="13.15" customHeight="1" x14ac:dyDescent="0.2">
      <c r="D11" s="2944" t="s">
        <v>1784</v>
      </c>
      <c r="E11" s="1523">
        <f>30+25+1+1</f>
        <v>57</v>
      </c>
      <c r="F11" s="1523">
        <f>30+18+0.08+2+7+5</f>
        <v>62.08</v>
      </c>
      <c r="G11" s="1523">
        <f>7.1+3.5+3.5+5</f>
        <v>19.100000000000001</v>
      </c>
      <c r="H11" s="1523">
        <f>10+25+25.8+10+22.4+1.7</f>
        <v>94.899999999999991</v>
      </c>
      <c r="I11" s="1523">
        <f>278+10+10+10+7.5+27+5+7.1+26.3+6.5</f>
        <v>387.40000000000003</v>
      </c>
      <c r="J11" s="1523">
        <f>13+22+31.67+10+81.256+2.1+172.327+11.756+10+1+14+805</f>
        <v>1174.1089999999999</v>
      </c>
      <c r="K11" s="1523">
        <f>40+60+20+14+10+20+300+8+305</f>
        <v>777</v>
      </c>
      <c r="L11" s="1523">
        <f>4+24+3+300</f>
        <v>331</v>
      </c>
      <c r="M11" s="1523" t="s">
        <v>1785</v>
      </c>
      <c r="N11" s="1523">
        <f>1.2+15+13.6+100+5+10.636+125.2</f>
        <v>270.63600000000002</v>
      </c>
      <c r="O11" s="1523">
        <f>10+0.646+21.2+3.9+10.7+120+96+250+22+13+5+17.9+180+12+4.02+12</f>
        <v>778.36599999999999</v>
      </c>
      <c r="P11" s="1523">
        <f>16.585+17+8.4+9.02</f>
        <v>51.004999999999995</v>
      </c>
      <c r="Q11" s="3079">
        <v>189</v>
      </c>
      <c r="R11" s="628"/>
      <c r="S11" s="905"/>
    </row>
    <row r="12" spans="1:22" ht="11.25" customHeight="1" x14ac:dyDescent="0.2">
      <c r="A12" s="1222"/>
      <c r="D12" s="1109"/>
      <c r="E12" s="784"/>
      <c r="F12" s="1501"/>
      <c r="G12" s="1501"/>
      <c r="H12" s="1501"/>
      <c r="I12" s="1501"/>
      <c r="J12" s="1501"/>
      <c r="K12" s="1501"/>
      <c r="L12" s="1501"/>
      <c r="M12" s="1501"/>
      <c r="N12" s="1501"/>
      <c r="O12" s="906"/>
      <c r="P12" s="906"/>
      <c r="Q12" s="906"/>
      <c r="R12" s="628"/>
    </row>
    <row r="13" spans="1:22" ht="12.75" x14ac:dyDescent="0.2">
      <c r="A13" s="835">
        <v>6</v>
      </c>
      <c r="B13" s="835" t="s">
        <v>77</v>
      </c>
      <c r="J13" s="432"/>
      <c r="K13" s="432"/>
      <c r="L13" s="432"/>
      <c r="M13" s="432"/>
      <c r="N13" s="432"/>
      <c r="O13" s="432"/>
      <c r="P13" s="432"/>
      <c r="Q13" s="432"/>
      <c r="R13" s="432"/>
    </row>
    <row r="14" spans="1:22" ht="12.75" x14ac:dyDescent="0.2">
      <c r="A14" s="1222"/>
      <c r="C14" s="835"/>
    </row>
    <row r="17" spans="13:14" s="401" customFormat="1" x14ac:dyDescent="0.2">
      <c r="M17" s="1502"/>
      <c r="N17" s="1502"/>
    </row>
    <row r="18" spans="13:14" s="401" customFormat="1" x14ac:dyDescent="0.2">
      <c r="M18" s="1502"/>
      <c r="N18" s="1502"/>
    </row>
    <row r="19" spans="13:14" s="401" customFormat="1" x14ac:dyDescent="0.2">
      <c r="M19" s="1502"/>
      <c r="N19" s="1502"/>
    </row>
    <row r="20" spans="13:14" s="401" customFormat="1" x14ac:dyDescent="0.2">
      <c r="M20" s="1502"/>
      <c r="N20" s="1502"/>
    </row>
    <row r="21" spans="13:14" s="401" customFormat="1" x14ac:dyDescent="0.2">
      <c r="M21" s="1502"/>
      <c r="N21" s="1502"/>
    </row>
    <row r="22" spans="13:14" s="401" customFormat="1" x14ac:dyDescent="0.2">
      <c r="M22" s="1502"/>
      <c r="N22" s="1502"/>
    </row>
    <row r="23" spans="13:14" s="401" customFormat="1" x14ac:dyDescent="0.2">
      <c r="M23" s="1502"/>
      <c r="N23" s="1502"/>
    </row>
    <row r="24" spans="13:14" s="401" customFormat="1" x14ac:dyDescent="0.2">
      <c r="M24" s="1502"/>
      <c r="N24" s="1502"/>
    </row>
    <row r="25" spans="13:14" s="401" customFormat="1" x14ac:dyDescent="0.2"/>
    <row r="26" spans="13:14" s="401" customFormat="1" x14ac:dyDescent="0.2"/>
    <row r="27" spans="13:14" s="401" customFormat="1" x14ac:dyDescent="0.2"/>
    <row r="28" spans="13:14" s="401" customFormat="1" x14ac:dyDescent="0.2"/>
    <row r="29" spans="13:14" s="401" customFormat="1" x14ac:dyDescent="0.2"/>
    <row r="30" spans="13:14" s="401" customFormat="1" x14ac:dyDescent="0.2"/>
    <row r="31" spans="13:14" s="401" customFormat="1" x14ac:dyDescent="0.2"/>
    <row r="32" spans="13:14" s="401" customFormat="1" x14ac:dyDescent="0.2"/>
    <row r="34" spans="1:21" s="628" customFormat="1" ht="13.15" customHeight="1" x14ac:dyDescent="0.2">
      <c r="A34" s="835">
        <v>7</v>
      </c>
      <c r="B34" s="835" t="s">
        <v>78</v>
      </c>
      <c r="C34" s="835"/>
      <c r="D34" s="3615" t="s">
        <v>1786</v>
      </c>
      <c r="E34" s="3616"/>
      <c r="F34" s="3616"/>
      <c r="G34" s="3616"/>
      <c r="H34" s="3616"/>
      <c r="I34" s="3616"/>
      <c r="J34" s="3616"/>
      <c r="K34" s="3616"/>
      <c r="L34" s="3616"/>
      <c r="M34" s="3616"/>
      <c r="N34" s="3616"/>
      <c r="O34" s="3616"/>
      <c r="P34" s="3616"/>
      <c r="Q34" s="3616"/>
      <c r="R34" s="3616"/>
      <c r="S34" s="3616"/>
      <c r="T34" s="3616"/>
      <c r="U34" s="3617"/>
    </row>
    <row r="35" spans="1:21" s="628" customFormat="1" ht="16.899999999999999" customHeight="1" x14ac:dyDescent="0.2">
      <c r="A35" s="963">
        <v>8</v>
      </c>
      <c r="B35" s="963" t="s">
        <v>80</v>
      </c>
      <c r="C35" s="963"/>
      <c r="D35" s="3944" t="s">
        <v>1787</v>
      </c>
      <c r="E35" s="3945"/>
      <c r="F35" s="3945"/>
      <c r="G35" s="3945"/>
      <c r="H35" s="3945"/>
      <c r="I35" s="3945"/>
      <c r="J35" s="3945"/>
      <c r="K35" s="3945"/>
      <c r="L35" s="3945"/>
      <c r="M35" s="3945"/>
      <c r="N35" s="3945"/>
      <c r="O35" s="3945"/>
      <c r="P35" s="3945"/>
      <c r="Q35" s="3945"/>
      <c r="R35" s="3945"/>
      <c r="S35" s="3945"/>
      <c r="T35" s="3945"/>
      <c r="U35" s="3946"/>
    </row>
    <row r="36" spans="1:21" s="628" customFormat="1" ht="13.15" customHeight="1" x14ac:dyDescent="0.2">
      <c r="A36" s="835">
        <v>9</v>
      </c>
      <c r="B36" s="835" t="s">
        <v>20</v>
      </c>
      <c r="C36" s="835"/>
      <c r="D36" s="3793" t="s">
        <v>1788</v>
      </c>
      <c r="E36" s="3794"/>
      <c r="F36" s="3794"/>
      <c r="G36" s="3794"/>
      <c r="H36" s="3794"/>
      <c r="I36" s="3794"/>
      <c r="J36" s="3794"/>
      <c r="K36" s="3794"/>
      <c r="L36" s="3794"/>
      <c r="M36" s="3794"/>
      <c r="N36" s="3794"/>
      <c r="O36" s="3794"/>
      <c r="P36" s="3794"/>
      <c r="Q36" s="3794"/>
      <c r="R36" s="3794"/>
      <c r="S36" s="3794"/>
      <c r="T36" s="3794"/>
      <c r="U36" s="3795"/>
    </row>
    <row r="37" spans="1:21" s="628" customFormat="1" ht="39.6" customHeight="1" x14ac:dyDescent="0.2">
      <c r="A37" s="835">
        <v>10</v>
      </c>
      <c r="B37" s="835" t="s">
        <v>22</v>
      </c>
      <c r="C37" s="835"/>
      <c r="D37" s="3793" t="s">
        <v>1789</v>
      </c>
      <c r="E37" s="3794"/>
      <c r="F37" s="3794"/>
      <c r="G37" s="3794"/>
      <c r="H37" s="3794"/>
      <c r="I37" s="3794"/>
      <c r="J37" s="3794"/>
      <c r="K37" s="3794"/>
      <c r="L37" s="3794"/>
      <c r="M37" s="3794"/>
      <c r="N37" s="3794"/>
      <c r="O37" s="3794"/>
      <c r="P37" s="3794"/>
      <c r="Q37" s="3794"/>
      <c r="R37" s="3794"/>
      <c r="S37" s="3794"/>
      <c r="T37" s="3794"/>
      <c r="U37" s="3795"/>
    </row>
  </sheetData>
  <mergeCells count="8">
    <mergeCell ref="D36:U36"/>
    <mergeCell ref="D37:U37"/>
    <mergeCell ref="D5:S5"/>
    <mergeCell ref="D2:U2"/>
    <mergeCell ref="D3:U3"/>
    <mergeCell ref="D4:U4"/>
    <mergeCell ref="D34:U34"/>
    <mergeCell ref="D35:U35"/>
  </mergeCells>
  <pageMargins left="0.74803149606299213" right="0.74803149606299213" top="0.98425196850393704" bottom="0.98425196850393704" header="0.51181102362204722" footer="0.51181102362204722"/>
  <pageSetup paperSize="9" scale="7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2"/>
  <sheetViews>
    <sheetView showGridLines="0" view="pageBreakPreview" topLeftCell="C1" zoomScaleNormal="100" zoomScaleSheetLayoutView="100" workbookViewId="0">
      <selection activeCell="D21" sqref="D21"/>
    </sheetView>
  </sheetViews>
  <sheetFormatPr defaultColWidth="9.140625" defaultRowHeight="11.25" x14ac:dyDescent="0.2"/>
  <cols>
    <col min="1" max="1" width="3.7109375" style="1224" customWidth="1"/>
    <col min="2" max="2" width="14.42578125" style="1222" customWidth="1"/>
    <col min="3" max="3" width="3.7109375" style="1222" customWidth="1"/>
    <col min="4" max="4" width="33.7109375" style="401" customWidth="1"/>
    <col min="5" max="5" width="4.140625" style="401" customWidth="1"/>
    <col min="6" max="11" width="8.7109375" style="633" customWidth="1"/>
    <col min="12" max="12" width="8.7109375" style="401" customWidth="1"/>
    <col min="13" max="13" width="8.7109375" style="401" bestFit="1" customWidth="1"/>
    <col min="14" max="17" width="9.5703125" style="401" customWidth="1"/>
    <col min="18" max="19" width="8.7109375" style="401" bestFit="1" customWidth="1"/>
    <col min="20" max="22" width="7.85546875" style="401" bestFit="1" customWidth="1"/>
    <col min="23" max="23" width="1.85546875" style="401" bestFit="1" customWidth="1"/>
    <col min="24" max="259" width="9.140625" style="401"/>
    <col min="260" max="260" width="3.7109375" style="401" customWidth="1"/>
    <col min="261" max="261" width="14.42578125" style="401" customWidth="1"/>
    <col min="262" max="262" width="3.7109375" style="401" customWidth="1"/>
    <col min="263" max="263" width="33.7109375" style="401" customWidth="1"/>
    <col min="264" max="264" width="4.140625" style="401" customWidth="1"/>
    <col min="265" max="271" width="8.7109375" style="401" customWidth="1"/>
    <col min="272" max="272" width="8.7109375" style="401" bestFit="1" customWidth="1"/>
    <col min="273" max="273" width="9.5703125" style="401" customWidth="1"/>
    <col min="274" max="278" width="7.85546875" style="401" bestFit="1" customWidth="1"/>
    <col min="279" max="279" width="1.85546875" style="401" bestFit="1" customWidth="1"/>
    <col min="280" max="515" width="9.140625" style="401"/>
    <col min="516" max="516" width="3.7109375" style="401" customWidth="1"/>
    <col min="517" max="517" width="14.42578125" style="401" customWidth="1"/>
    <col min="518" max="518" width="3.7109375" style="401" customWidth="1"/>
    <col min="519" max="519" width="33.7109375" style="401" customWidth="1"/>
    <col min="520" max="520" width="4.140625" style="401" customWidth="1"/>
    <col min="521" max="527" width="8.7109375" style="401" customWidth="1"/>
    <col min="528" max="528" width="8.7109375" style="401" bestFit="1" customWidth="1"/>
    <col min="529" max="529" width="9.5703125" style="401" customWidth="1"/>
    <col min="530" max="534" width="7.85546875" style="401" bestFit="1" customWidth="1"/>
    <col min="535" max="535" width="1.85546875" style="401" bestFit="1" customWidth="1"/>
    <col min="536" max="771" width="9.140625" style="401"/>
    <col min="772" max="772" width="3.7109375" style="401" customWidth="1"/>
    <col min="773" max="773" width="14.42578125" style="401" customWidth="1"/>
    <col min="774" max="774" width="3.7109375" style="401" customWidth="1"/>
    <col min="775" max="775" width="33.7109375" style="401" customWidth="1"/>
    <col min="776" max="776" width="4.140625" style="401" customWidth="1"/>
    <col min="777" max="783" width="8.7109375" style="401" customWidth="1"/>
    <col min="784" max="784" width="8.7109375" style="401" bestFit="1" customWidth="1"/>
    <col min="785" max="785" width="9.5703125" style="401" customWidth="1"/>
    <col min="786" max="790" width="7.85546875" style="401" bestFit="1" customWidth="1"/>
    <col min="791" max="791" width="1.85546875" style="401" bestFit="1" customWidth="1"/>
    <col min="792" max="1027" width="9.140625" style="401"/>
    <col min="1028" max="1028" width="3.7109375" style="401" customWidth="1"/>
    <col min="1029" max="1029" width="14.42578125" style="401" customWidth="1"/>
    <col min="1030" max="1030" width="3.7109375" style="401" customWidth="1"/>
    <col min="1031" max="1031" width="33.7109375" style="401" customWidth="1"/>
    <col min="1032" max="1032" width="4.140625" style="401" customWidth="1"/>
    <col min="1033" max="1039" width="8.7109375" style="401" customWidth="1"/>
    <col min="1040" max="1040" width="8.7109375" style="401" bestFit="1" customWidth="1"/>
    <col min="1041" max="1041" width="9.5703125" style="401" customWidth="1"/>
    <col min="1042" max="1046" width="7.85546875" style="401" bestFit="1" customWidth="1"/>
    <col min="1047" max="1047" width="1.85546875" style="401" bestFit="1" customWidth="1"/>
    <col min="1048" max="1283" width="9.140625" style="401"/>
    <col min="1284" max="1284" width="3.7109375" style="401" customWidth="1"/>
    <col min="1285" max="1285" width="14.42578125" style="401" customWidth="1"/>
    <col min="1286" max="1286" width="3.7109375" style="401" customWidth="1"/>
    <col min="1287" max="1287" width="33.7109375" style="401" customWidth="1"/>
    <col min="1288" max="1288" width="4.140625" style="401" customWidth="1"/>
    <col min="1289" max="1295" width="8.7109375" style="401" customWidth="1"/>
    <col min="1296" max="1296" width="8.7109375" style="401" bestFit="1" customWidth="1"/>
    <col min="1297" max="1297" width="9.5703125" style="401" customWidth="1"/>
    <col min="1298" max="1302" width="7.85546875" style="401" bestFit="1" customWidth="1"/>
    <col min="1303" max="1303" width="1.85546875" style="401" bestFit="1" customWidth="1"/>
    <col min="1304" max="1539" width="9.140625" style="401"/>
    <col min="1540" max="1540" width="3.7109375" style="401" customWidth="1"/>
    <col min="1541" max="1541" width="14.42578125" style="401" customWidth="1"/>
    <col min="1542" max="1542" width="3.7109375" style="401" customWidth="1"/>
    <col min="1543" max="1543" width="33.7109375" style="401" customWidth="1"/>
    <col min="1544" max="1544" width="4.140625" style="401" customWidth="1"/>
    <col min="1545" max="1551" width="8.7109375" style="401" customWidth="1"/>
    <col min="1552" max="1552" width="8.7109375" style="401" bestFit="1" customWidth="1"/>
    <col min="1553" max="1553" width="9.5703125" style="401" customWidth="1"/>
    <col min="1554" max="1558" width="7.85546875" style="401" bestFit="1" customWidth="1"/>
    <col min="1559" max="1559" width="1.85546875" style="401" bestFit="1" customWidth="1"/>
    <col min="1560" max="1795" width="9.140625" style="401"/>
    <col min="1796" max="1796" width="3.7109375" style="401" customWidth="1"/>
    <col min="1797" max="1797" width="14.42578125" style="401" customWidth="1"/>
    <col min="1798" max="1798" width="3.7109375" style="401" customWidth="1"/>
    <col min="1799" max="1799" width="33.7109375" style="401" customWidth="1"/>
    <col min="1800" max="1800" width="4.140625" style="401" customWidth="1"/>
    <col min="1801" max="1807" width="8.7109375" style="401" customWidth="1"/>
    <col min="1808" max="1808" width="8.7109375" style="401" bestFit="1" customWidth="1"/>
    <col min="1809" max="1809" width="9.5703125" style="401" customWidth="1"/>
    <col min="1810" max="1814" width="7.85546875" style="401" bestFit="1" customWidth="1"/>
    <col min="1815" max="1815" width="1.85546875" style="401" bestFit="1" customWidth="1"/>
    <col min="1816" max="2051" width="9.140625" style="401"/>
    <col min="2052" max="2052" width="3.7109375" style="401" customWidth="1"/>
    <col min="2053" max="2053" width="14.42578125" style="401" customWidth="1"/>
    <col min="2054" max="2054" width="3.7109375" style="401" customWidth="1"/>
    <col min="2055" max="2055" width="33.7109375" style="401" customWidth="1"/>
    <col min="2056" max="2056" width="4.140625" style="401" customWidth="1"/>
    <col min="2057" max="2063" width="8.7109375" style="401" customWidth="1"/>
    <col min="2064" max="2064" width="8.7109375" style="401" bestFit="1" customWidth="1"/>
    <col min="2065" max="2065" width="9.5703125" style="401" customWidth="1"/>
    <col min="2066" max="2070" width="7.85546875" style="401" bestFit="1" customWidth="1"/>
    <col min="2071" max="2071" width="1.85546875" style="401" bestFit="1" customWidth="1"/>
    <col min="2072" max="2307" width="9.140625" style="401"/>
    <col min="2308" max="2308" width="3.7109375" style="401" customWidth="1"/>
    <col min="2309" max="2309" width="14.42578125" style="401" customWidth="1"/>
    <col min="2310" max="2310" width="3.7109375" style="401" customWidth="1"/>
    <col min="2311" max="2311" width="33.7109375" style="401" customWidth="1"/>
    <col min="2312" max="2312" width="4.140625" style="401" customWidth="1"/>
    <col min="2313" max="2319" width="8.7109375" style="401" customWidth="1"/>
    <col min="2320" max="2320" width="8.7109375" style="401" bestFit="1" customWidth="1"/>
    <col min="2321" max="2321" width="9.5703125" style="401" customWidth="1"/>
    <col min="2322" max="2326" width="7.85546875" style="401" bestFit="1" customWidth="1"/>
    <col min="2327" max="2327" width="1.85546875" style="401" bestFit="1" customWidth="1"/>
    <col min="2328" max="2563" width="9.140625" style="401"/>
    <col min="2564" max="2564" width="3.7109375" style="401" customWidth="1"/>
    <col min="2565" max="2565" width="14.42578125" style="401" customWidth="1"/>
    <col min="2566" max="2566" width="3.7109375" style="401" customWidth="1"/>
    <col min="2567" max="2567" width="33.7109375" style="401" customWidth="1"/>
    <col min="2568" max="2568" width="4.140625" style="401" customWidth="1"/>
    <col min="2569" max="2575" width="8.7109375" style="401" customWidth="1"/>
    <col min="2576" max="2576" width="8.7109375" style="401" bestFit="1" customWidth="1"/>
    <col min="2577" max="2577" width="9.5703125" style="401" customWidth="1"/>
    <col min="2578" max="2582" width="7.85546875" style="401" bestFit="1" customWidth="1"/>
    <col min="2583" max="2583" width="1.85546875" style="401" bestFit="1" customWidth="1"/>
    <col min="2584" max="2819" width="9.140625" style="401"/>
    <col min="2820" max="2820" width="3.7109375" style="401" customWidth="1"/>
    <col min="2821" max="2821" width="14.42578125" style="401" customWidth="1"/>
    <col min="2822" max="2822" width="3.7109375" style="401" customWidth="1"/>
    <col min="2823" max="2823" width="33.7109375" style="401" customWidth="1"/>
    <col min="2824" max="2824" width="4.140625" style="401" customWidth="1"/>
    <col min="2825" max="2831" width="8.7109375" style="401" customWidth="1"/>
    <col min="2832" max="2832" width="8.7109375" style="401" bestFit="1" customWidth="1"/>
    <col min="2833" max="2833" width="9.5703125" style="401" customWidth="1"/>
    <col min="2834" max="2838" width="7.85546875" style="401" bestFit="1" customWidth="1"/>
    <col min="2839" max="2839" width="1.85546875" style="401" bestFit="1" customWidth="1"/>
    <col min="2840" max="3075" width="9.140625" style="401"/>
    <col min="3076" max="3076" width="3.7109375" style="401" customWidth="1"/>
    <col min="3077" max="3077" width="14.42578125" style="401" customWidth="1"/>
    <col min="3078" max="3078" width="3.7109375" style="401" customWidth="1"/>
    <col min="3079" max="3079" width="33.7109375" style="401" customWidth="1"/>
    <col min="3080" max="3080" width="4.140625" style="401" customWidth="1"/>
    <col min="3081" max="3087" width="8.7109375" style="401" customWidth="1"/>
    <col min="3088" max="3088" width="8.7109375" style="401" bestFit="1" customWidth="1"/>
    <col min="3089" max="3089" width="9.5703125" style="401" customWidth="1"/>
    <col min="3090" max="3094" width="7.85546875" style="401" bestFit="1" customWidth="1"/>
    <col min="3095" max="3095" width="1.85546875" style="401" bestFit="1" customWidth="1"/>
    <col min="3096" max="3331" width="9.140625" style="401"/>
    <col min="3332" max="3332" width="3.7109375" style="401" customWidth="1"/>
    <col min="3333" max="3333" width="14.42578125" style="401" customWidth="1"/>
    <col min="3334" max="3334" width="3.7109375" style="401" customWidth="1"/>
    <col min="3335" max="3335" width="33.7109375" style="401" customWidth="1"/>
    <col min="3336" max="3336" width="4.140625" style="401" customWidth="1"/>
    <col min="3337" max="3343" width="8.7109375" style="401" customWidth="1"/>
    <col min="3344" max="3344" width="8.7109375" style="401" bestFit="1" customWidth="1"/>
    <col min="3345" max="3345" width="9.5703125" style="401" customWidth="1"/>
    <col min="3346" max="3350" width="7.85546875" style="401" bestFit="1" customWidth="1"/>
    <col min="3351" max="3351" width="1.85546875" style="401" bestFit="1" customWidth="1"/>
    <col min="3352" max="3587" width="9.140625" style="401"/>
    <col min="3588" max="3588" width="3.7109375" style="401" customWidth="1"/>
    <col min="3589" max="3589" width="14.42578125" style="401" customWidth="1"/>
    <col min="3590" max="3590" width="3.7109375" style="401" customWidth="1"/>
    <col min="3591" max="3591" width="33.7109375" style="401" customWidth="1"/>
    <col min="3592" max="3592" width="4.140625" style="401" customWidth="1"/>
    <col min="3593" max="3599" width="8.7109375" style="401" customWidth="1"/>
    <col min="3600" max="3600" width="8.7109375" style="401" bestFit="1" customWidth="1"/>
    <col min="3601" max="3601" width="9.5703125" style="401" customWidth="1"/>
    <col min="3602" max="3606" width="7.85546875" style="401" bestFit="1" customWidth="1"/>
    <col min="3607" max="3607" width="1.85546875" style="401" bestFit="1" customWidth="1"/>
    <col min="3608" max="3843" width="9.140625" style="401"/>
    <col min="3844" max="3844" width="3.7109375" style="401" customWidth="1"/>
    <col min="3845" max="3845" width="14.42578125" style="401" customWidth="1"/>
    <col min="3846" max="3846" width="3.7109375" style="401" customWidth="1"/>
    <col min="3847" max="3847" width="33.7109375" style="401" customWidth="1"/>
    <col min="3848" max="3848" width="4.140625" style="401" customWidth="1"/>
    <col min="3849" max="3855" width="8.7109375" style="401" customWidth="1"/>
    <col min="3856" max="3856" width="8.7109375" style="401" bestFit="1" customWidth="1"/>
    <col min="3857" max="3857" width="9.5703125" style="401" customWidth="1"/>
    <col min="3858" max="3862" width="7.85546875" style="401" bestFit="1" customWidth="1"/>
    <col min="3863" max="3863" width="1.85546875" style="401" bestFit="1" customWidth="1"/>
    <col min="3864" max="4099" width="9.140625" style="401"/>
    <col min="4100" max="4100" width="3.7109375" style="401" customWidth="1"/>
    <col min="4101" max="4101" width="14.42578125" style="401" customWidth="1"/>
    <col min="4102" max="4102" width="3.7109375" style="401" customWidth="1"/>
    <col min="4103" max="4103" width="33.7109375" style="401" customWidth="1"/>
    <col min="4104" max="4104" width="4.140625" style="401" customWidth="1"/>
    <col min="4105" max="4111" width="8.7109375" style="401" customWidth="1"/>
    <col min="4112" max="4112" width="8.7109375" style="401" bestFit="1" customWidth="1"/>
    <col min="4113" max="4113" width="9.5703125" style="401" customWidth="1"/>
    <col min="4114" max="4118" width="7.85546875" style="401" bestFit="1" customWidth="1"/>
    <col min="4119" max="4119" width="1.85546875" style="401" bestFit="1" customWidth="1"/>
    <col min="4120" max="4355" width="9.140625" style="401"/>
    <col min="4356" max="4356" width="3.7109375" style="401" customWidth="1"/>
    <col min="4357" max="4357" width="14.42578125" style="401" customWidth="1"/>
    <col min="4358" max="4358" width="3.7109375" style="401" customWidth="1"/>
    <col min="4359" max="4359" width="33.7109375" style="401" customWidth="1"/>
    <col min="4360" max="4360" width="4.140625" style="401" customWidth="1"/>
    <col min="4361" max="4367" width="8.7109375" style="401" customWidth="1"/>
    <col min="4368" max="4368" width="8.7109375" style="401" bestFit="1" customWidth="1"/>
    <col min="4369" max="4369" width="9.5703125" style="401" customWidth="1"/>
    <col min="4370" max="4374" width="7.85546875" style="401" bestFit="1" customWidth="1"/>
    <col min="4375" max="4375" width="1.85546875" style="401" bestFit="1" customWidth="1"/>
    <col min="4376" max="4611" width="9.140625" style="401"/>
    <col min="4612" max="4612" width="3.7109375" style="401" customWidth="1"/>
    <col min="4613" max="4613" width="14.42578125" style="401" customWidth="1"/>
    <col min="4614" max="4614" width="3.7109375" style="401" customWidth="1"/>
    <col min="4615" max="4615" width="33.7109375" style="401" customWidth="1"/>
    <col min="4616" max="4616" width="4.140625" style="401" customWidth="1"/>
    <col min="4617" max="4623" width="8.7109375" style="401" customWidth="1"/>
    <col min="4624" max="4624" width="8.7109375" style="401" bestFit="1" customWidth="1"/>
    <col min="4625" max="4625" width="9.5703125" style="401" customWidth="1"/>
    <col min="4626" max="4630" width="7.85546875" style="401" bestFit="1" customWidth="1"/>
    <col min="4631" max="4631" width="1.85546875" style="401" bestFit="1" customWidth="1"/>
    <col min="4632" max="4867" width="9.140625" style="401"/>
    <col min="4868" max="4868" width="3.7109375" style="401" customWidth="1"/>
    <col min="4869" max="4869" width="14.42578125" style="401" customWidth="1"/>
    <col min="4870" max="4870" width="3.7109375" style="401" customWidth="1"/>
    <col min="4871" max="4871" width="33.7109375" style="401" customWidth="1"/>
    <col min="4872" max="4872" width="4.140625" style="401" customWidth="1"/>
    <col min="4873" max="4879" width="8.7109375" style="401" customWidth="1"/>
    <col min="4880" max="4880" width="8.7109375" style="401" bestFit="1" customWidth="1"/>
    <col min="4881" max="4881" width="9.5703125" style="401" customWidth="1"/>
    <col min="4882" max="4886" width="7.85546875" style="401" bestFit="1" customWidth="1"/>
    <col min="4887" max="4887" width="1.85546875" style="401" bestFit="1" customWidth="1"/>
    <col min="4888" max="5123" width="9.140625" style="401"/>
    <col min="5124" max="5124" width="3.7109375" style="401" customWidth="1"/>
    <col min="5125" max="5125" width="14.42578125" style="401" customWidth="1"/>
    <col min="5126" max="5126" width="3.7109375" style="401" customWidth="1"/>
    <col min="5127" max="5127" width="33.7109375" style="401" customWidth="1"/>
    <col min="5128" max="5128" width="4.140625" style="401" customWidth="1"/>
    <col min="5129" max="5135" width="8.7109375" style="401" customWidth="1"/>
    <col min="5136" max="5136" width="8.7109375" style="401" bestFit="1" customWidth="1"/>
    <col min="5137" max="5137" width="9.5703125" style="401" customWidth="1"/>
    <col min="5138" max="5142" width="7.85546875" style="401" bestFit="1" customWidth="1"/>
    <col min="5143" max="5143" width="1.85546875" style="401" bestFit="1" customWidth="1"/>
    <col min="5144" max="5379" width="9.140625" style="401"/>
    <col min="5380" max="5380" width="3.7109375" style="401" customWidth="1"/>
    <col min="5381" max="5381" width="14.42578125" style="401" customWidth="1"/>
    <col min="5382" max="5382" width="3.7109375" style="401" customWidth="1"/>
    <col min="5383" max="5383" width="33.7109375" style="401" customWidth="1"/>
    <col min="5384" max="5384" width="4.140625" style="401" customWidth="1"/>
    <col min="5385" max="5391" width="8.7109375" style="401" customWidth="1"/>
    <col min="5392" max="5392" width="8.7109375" style="401" bestFit="1" customWidth="1"/>
    <col min="5393" max="5393" width="9.5703125" style="401" customWidth="1"/>
    <col min="5394" max="5398" width="7.85546875" style="401" bestFit="1" customWidth="1"/>
    <col min="5399" max="5399" width="1.85546875" style="401" bestFit="1" customWidth="1"/>
    <col min="5400" max="5635" width="9.140625" style="401"/>
    <col min="5636" max="5636" width="3.7109375" style="401" customWidth="1"/>
    <col min="5637" max="5637" width="14.42578125" style="401" customWidth="1"/>
    <col min="5638" max="5638" width="3.7109375" style="401" customWidth="1"/>
    <col min="5639" max="5639" width="33.7109375" style="401" customWidth="1"/>
    <col min="5640" max="5640" width="4.140625" style="401" customWidth="1"/>
    <col min="5641" max="5647" width="8.7109375" style="401" customWidth="1"/>
    <col min="5648" max="5648" width="8.7109375" style="401" bestFit="1" customWidth="1"/>
    <col min="5649" max="5649" width="9.5703125" style="401" customWidth="1"/>
    <col min="5650" max="5654" width="7.85546875" style="401" bestFit="1" customWidth="1"/>
    <col min="5655" max="5655" width="1.85546875" style="401" bestFit="1" customWidth="1"/>
    <col min="5656" max="5891" width="9.140625" style="401"/>
    <col min="5892" max="5892" width="3.7109375" style="401" customWidth="1"/>
    <col min="5893" max="5893" width="14.42578125" style="401" customWidth="1"/>
    <col min="5894" max="5894" width="3.7109375" style="401" customWidth="1"/>
    <col min="5895" max="5895" width="33.7109375" style="401" customWidth="1"/>
    <col min="5896" max="5896" width="4.140625" style="401" customWidth="1"/>
    <col min="5897" max="5903" width="8.7109375" style="401" customWidth="1"/>
    <col min="5904" max="5904" width="8.7109375" style="401" bestFit="1" customWidth="1"/>
    <col min="5905" max="5905" width="9.5703125" style="401" customWidth="1"/>
    <col min="5906" max="5910" width="7.85546875" style="401" bestFit="1" customWidth="1"/>
    <col min="5911" max="5911" width="1.85546875" style="401" bestFit="1" customWidth="1"/>
    <col min="5912" max="6147" width="9.140625" style="401"/>
    <col min="6148" max="6148" width="3.7109375" style="401" customWidth="1"/>
    <col min="6149" max="6149" width="14.42578125" style="401" customWidth="1"/>
    <col min="6150" max="6150" width="3.7109375" style="401" customWidth="1"/>
    <col min="6151" max="6151" width="33.7109375" style="401" customWidth="1"/>
    <col min="6152" max="6152" width="4.140625" style="401" customWidth="1"/>
    <col min="6153" max="6159" width="8.7109375" style="401" customWidth="1"/>
    <col min="6160" max="6160" width="8.7109375" style="401" bestFit="1" customWidth="1"/>
    <col min="6161" max="6161" width="9.5703125" style="401" customWidth="1"/>
    <col min="6162" max="6166" width="7.85546875" style="401" bestFit="1" customWidth="1"/>
    <col min="6167" max="6167" width="1.85546875" style="401" bestFit="1" customWidth="1"/>
    <col min="6168" max="6403" width="9.140625" style="401"/>
    <col min="6404" max="6404" width="3.7109375" style="401" customWidth="1"/>
    <col min="6405" max="6405" width="14.42578125" style="401" customWidth="1"/>
    <col min="6406" max="6406" width="3.7109375" style="401" customWidth="1"/>
    <col min="6407" max="6407" width="33.7109375" style="401" customWidth="1"/>
    <col min="6408" max="6408" width="4.140625" style="401" customWidth="1"/>
    <col min="6409" max="6415" width="8.7109375" style="401" customWidth="1"/>
    <col min="6416" max="6416" width="8.7109375" style="401" bestFit="1" customWidth="1"/>
    <col min="6417" max="6417" width="9.5703125" style="401" customWidth="1"/>
    <col min="6418" max="6422" width="7.85546875" style="401" bestFit="1" customWidth="1"/>
    <col min="6423" max="6423" width="1.85546875" style="401" bestFit="1" customWidth="1"/>
    <col min="6424" max="6659" width="9.140625" style="401"/>
    <col min="6660" max="6660" width="3.7109375" style="401" customWidth="1"/>
    <col min="6661" max="6661" width="14.42578125" style="401" customWidth="1"/>
    <col min="6662" max="6662" width="3.7109375" style="401" customWidth="1"/>
    <col min="6663" max="6663" width="33.7109375" style="401" customWidth="1"/>
    <col min="6664" max="6664" width="4.140625" style="401" customWidth="1"/>
    <col min="6665" max="6671" width="8.7109375" style="401" customWidth="1"/>
    <col min="6672" max="6672" width="8.7109375" style="401" bestFit="1" customWidth="1"/>
    <col min="6673" max="6673" width="9.5703125" style="401" customWidth="1"/>
    <col min="6674" max="6678" width="7.85546875" style="401" bestFit="1" customWidth="1"/>
    <col min="6679" max="6679" width="1.85546875" style="401" bestFit="1" customWidth="1"/>
    <col min="6680" max="6915" width="9.140625" style="401"/>
    <col min="6916" max="6916" width="3.7109375" style="401" customWidth="1"/>
    <col min="6917" max="6917" width="14.42578125" style="401" customWidth="1"/>
    <col min="6918" max="6918" width="3.7109375" style="401" customWidth="1"/>
    <col min="6919" max="6919" width="33.7109375" style="401" customWidth="1"/>
    <col min="6920" max="6920" width="4.140625" style="401" customWidth="1"/>
    <col min="6921" max="6927" width="8.7109375" style="401" customWidth="1"/>
    <col min="6928" max="6928" width="8.7109375" style="401" bestFit="1" customWidth="1"/>
    <col min="6929" max="6929" width="9.5703125" style="401" customWidth="1"/>
    <col min="6930" max="6934" width="7.85546875" style="401" bestFit="1" customWidth="1"/>
    <col min="6935" max="6935" width="1.85546875" style="401" bestFit="1" customWidth="1"/>
    <col min="6936" max="7171" width="9.140625" style="401"/>
    <col min="7172" max="7172" width="3.7109375" style="401" customWidth="1"/>
    <col min="7173" max="7173" width="14.42578125" style="401" customWidth="1"/>
    <col min="7174" max="7174" width="3.7109375" style="401" customWidth="1"/>
    <col min="7175" max="7175" width="33.7109375" style="401" customWidth="1"/>
    <col min="7176" max="7176" width="4.140625" style="401" customWidth="1"/>
    <col min="7177" max="7183" width="8.7109375" style="401" customWidth="1"/>
    <col min="7184" max="7184" width="8.7109375" style="401" bestFit="1" customWidth="1"/>
    <col min="7185" max="7185" width="9.5703125" style="401" customWidth="1"/>
    <col min="7186" max="7190" width="7.85546875" style="401" bestFit="1" customWidth="1"/>
    <col min="7191" max="7191" width="1.85546875" style="401" bestFit="1" customWidth="1"/>
    <col min="7192" max="7427" width="9.140625" style="401"/>
    <col min="7428" max="7428" width="3.7109375" style="401" customWidth="1"/>
    <col min="7429" max="7429" width="14.42578125" style="401" customWidth="1"/>
    <col min="7430" max="7430" width="3.7109375" style="401" customWidth="1"/>
    <col min="7431" max="7431" width="33.7109375" style="401" customWidth="1"/>
    <col min="7432" max="7432" width="4.140625" style="401" customWidth="1"/>
    <col min="7433" max="7439" width="8.7109375" style="401" customWidth="1"/>
    <col min="7440" max="7440" width="8.7109375" style="401" bestFit="1" customWidth="1"/>
    <col min="7441" max="7441" width="9.5703125" style="401" customWidth="1"/>
    <col min="7442" max="7446" width="7.85546875" style="401" bestFit="1" customWidth="1"/>
    <col min="7447" max="7447" width="1.85546875" style="401" bestFit="1" customWidth="1"/>
    <col min="7448" max="7683" width="9.140625" style="401"/>
    <col min="7684" max="7684" width="3.7109375" style="401" customWidth="1"/>
    <col min="7685" max="7685" width="14.42578125" style="401" customWidth="1"/>
    <col min="7686" max="7686" width="3.7109375" style="401" customWidth="1"/>
    <col min="7687" max="7687" width="33.7109375" style="401" customWidth="1"/>
    <col min="7688" max="7688" width="4.140625" style="401" customWidth="1"/>
    <col min="7689" max="7695" width="8.7109375" style="401" customWidth="1"/>
    <col min="7696" max="7696" width="8.7109375" style="401" bestFit="1" customWidth="1"/>
    <col min="7697" max="7697" width="9.5703125" style="401" customWidth="1"/>
    <col min="7698" max="7702" width="7.85546875" style="401" bestFit="1" customWidth="1"/>
    <col min="7703" max="7703" width="1.85546875" style="401" bestFit="1" customWidth="1"/>
    <col min="7704" max="7939" width="9.140625" style="401"/>
    <col min="7940" max="7940" width="3.7109375" style="401" customWidth="1"/>
    <col min="7941" max="7941" width="14.42578125" style="401" customWidth="1"/>
    <col min="7942" max="7942" width="3.7109375" style="401" customWidth="1"/>
    <col min="7943" max="7943" width="33.7109375" style="401" customWidth="1"/>
    <col min="7944" max="7944" width="4.140625" style="401" customWidth="1"/>
    <col min="7945" max="7951" width="8.7109375" style="401" customWidth="1"/>
    <col min="7952" max="7952" width="8.7109375" style="401" bestFit="1" customWidth="1"/>
    <col min="7953" max="7953" width="9.5703125" style="401" customWidth="1"/>
    <col min="7954" max="7958" width="7.85546875" style="401" bestFit="1" customWidth="1"/>
    <col min="7959" max="7959" width="1.85546875" style="401" bestFit="1" customWidth="1"/>
    <col min="7960" max="8195" width="9.140625" style="401"/>
    <col min="8196" max="8196" width="3.7109375" style="401" customWidth="1"/>
    <col min="8197" max="8197" width="14.42578125" style="401" customWidth="1"/>
    <col min="8198" max="8198" width="3.7109375" style="401" customWidth="1"/>
    <col min="8199" max="8199" width="33.7109375" style="401" customWidth="1"/>
    <col min="8200" max="8200" width="4.140625" style="401" customWidth="1"/>
    <col min="8201" max="8207" width="8.7109375" style="401" customWidth="1"/>
    <col min="8208" max="8208" width="8.7109375" style="401" bestFit="1" customWidth="1"/>
    <col min="8209" max="8209" width="9.5703125" style="401" customWidth="1"/>
    <col min="8210" max="8214" width="7.85546875" style="401" bestFit="1" customWidth="1"/>
    <col min="8215" max="8215" width="1.85546875" style="401" bestFit="1" customWidth="1"/>
    <col min="8216" max="8451" width="9.140625" style="401"/>
    <col min="8452" max="8452" width="3.7109375" style="401" customWidth="1"/>
    <col min="8453" max="8453" width="14.42578125" style="401" customWidth="1"/>
    <col min="8454" max="8454" width="3.7109375" style="401" customWidth="1"/>
    <col min="8455" max="8455" width="33.7109375" style="401" customWidth="1"/>
    <col min="8456" max="8456" width="4.140625" style="401" customWidth="1"/>
    <col min="8457" max="8463" width="8.7109375" style="401" customWidth="1"/>
    <col min="8464" max="8464" width="8.7109375" style="401" bestFit="1" customWidth="1"/>
    <col min="8465" max="8465" width="9.5703125" style="401" customWidth="1"/>
    <col min="8466" max="8470" width="7.85546875" style="401" bestFit="1" customWidth="1"/>
    <col min="8471" max="8471" width="1.85546875" style="401" bestFit="1" customWidth="1"/>
    <col min="8472" max="8707" width="9.140625" style="401"/>
    <col min="8708" max="8708" width="3.7109375" style="401" customWidth="1"/>
    <col min="8709" max="8709" width="14.42578125" style="401" customWidth="1"/>
    <col min="8710" max="8710" width="3.7109375" style="401" customWidth="1"/>
    <col min="8711" max="8711" width="33.7109375" style="401" customWidth="1"/>
    <col min="8712" max="8712" width="4.140625" style="401" customWidth="1"/>
    <col min="8713" max="8719" width="8.7109375" style="401" customWidth="1"/>
    <col min="8720" max="8720" width="8.7109375" style="401" bestFit="1" customWidth="1"/>
    <col min="8721" max="8721" width="9.5703125" style="401" customWidth="1"/>
    <col min="8722" max="8726" width="7.85546875" style="401" bestFit="1" customWidth="1"/>
    <col min="8727" max="8727" width="1.85546875" style="401" bestFit="1" customWidth="1"/>
    <col min="8728" max="8963" width="9.140625" style="401"/>
    <col min="8964" max="8964" width="3.7109375" style="401" customWidth="1"/>
    <col min="8965" max="8965" width="14.42578125" style="401" customWidth="1"/>
    <col min="8966" max="8966" width="3.7109375" style="401" customWidth="1"/>
    <col min="8967" max="8967" width="33.7109375" style="401" customWidth="1"/>
    <col min="8968" max="8968" width="4.140625" style="401" customWidth="1"/>
    <col min="8969" max="8975" width="8.7109375" style="401" customWidth="1"/>
    <col min="8976" max="8976" width="8.7109375" style="401" bestFit="1" customWidth="1"/>
    <col min="8977" max="8977" width="9.5703125" style="401" customWidth="1"/>
    <col min="8978" max="8982" width="7.85546875" style="401" bestFit="1" customWidth="1"/>
    <col min="8983" max="8983" width="1.85546875" style="401" bestFit="1" customWidth="1"/>
    <col min="8984" max="9219" width="9.140625" style="401"/>
    <col min="9220" max="9220" width="3.7109375" style="401" customWidth="1"/>
    <col min="9221" max="9221" width="14.42578125" style="401" customWidth="1"/>
    <col min="9222" max="9222" width="3.7109375" style="401" customWidth="1"/>
    <col min="9223" max="9223" width="33.7109375" style="401" customWidth="1"/>
    <col min="9224" max="9224" width="4.140625" style="401" customWidth="1"/>
    <col min="9225" max="9231" width="8.7109375" style="401" customWidth="1"/>
    <col min="9232" max="9232" width="8.7109375" style="401" bestFit="1" customWidth="1"/>
    <col min="9233" max="9233" width="9.5703125" style="401" customWidth="1"/>
    <col min="9234" max="9238" width="7.85546875" style="401" bestFit="1" customWidth="1"/>
    <col min="9239" max="9239" width="1.85546875" style="401" bestFit="1" customWidth="1"/>
    <col min="9240" max="9475" width="9.140625" style="401"/>
    <col min="9476" max="9476" width="3.7109375" style="401" customWidth="1"/>
    <col min="9477" max="9477" width="14.42578125" style="401" customWidth="1"/>
    <col min="9478" max="9478" width="3.7109375" style="401" customWidth="1"/>
    <col min="9479" max="9479" width="33.7109375" style="401" customWidth="1"/>
    <col min="9480" max="9480" width="4.140625" style="401" customWidth="1"/>
    <col min="9481" max="9487" width="8.7109375" style="401" customWidth="1"/>
    <col min="9488" max="9488" width="8.7109375" style="401" bestFit="1" customWidth="1"/>
    <col min="9489" max="9489" width="9.5703125" style="401" customWidth="1"/>
    <col min="9490" max="9494" width="7.85546875" style="401" bestFit="1" customWidth="1"/>
    <col min="9495" max="9495" width="1.85546875" style="401" bestFit="1" customWidth="1"/>
    <col min="9496" max="9731" width="9.140625" style="401"/>
    <col min="9732" max="9732" width="3.7109375" style="401" customWidth="1"/>
    <col min="9733" max="9733" width="14.42578125" style="401" customWidth="1"/>
    <col min="9734" max="9734" width="3.7109375" style="401" customWidth="1"/>
    <col min="9735" max="9735" width="33.7109375" style="401" customWidth="1"/>
    <col min="9736" max="9736" width="4.140625" style="401" customWidth="1"/>
    <col min="9737" max="9743" width="8.7109375" style="401" customWidth="1"/>
    <col min="9744" max="9744" width="8.7109375" style="401" bestFit="1" customWidth="1"/>
    <col min="9745" max="9745" width="9.5703125" style="401" customWidth="1"/>
    <col min="9746" max="9750" width="7.85546875" style="401" bestFit="1" customWidth="1"/>
    <col min="9751" max="9751" width="1.85546875" style="401" bestFit="1" customWidth="1"/>
    <col min="9752" max="9987" width="9.140625" style="401"/>
    <col min="9988" max="9988" width="3.7109375" style="401" customWidth="1"/>
    <col min="9989" max="9989" width="14.42578125" style="401" customWidth="1"/>
    <col min="9990" max="9990" width="3.7109375" style="401" customWidth="1"/>
    <col min="9991" max="9991" width="33.7109375" style="401" customWidth="1"/>
    <col min="9992" max="9992" width="4.140625" style="401" customWidth="1"/>
    <col min="9993" max="9999" width="8.7109375" style="401" customWidth="1"/>
    <col min="10000" max="10000" width="8.7109375" style="401" bestFit="1" customWidth="1"/>
    <col min="10001" max="10001" width="9.5703125" style="401" customWidth="1"/>
    <col min="10002" max="10006" width="7.85546875" style="401" bestFit="1" customWidth="1"/>
    <col min="10007" max="10007" width="1.85546875" style="401" bestFit="1" customWidth="1"/>
    <col min="10008" max="10243" width="9.140625" style="401"/>
    <col min="10244" max="10244" width="3.7109375" style="401" customWidth="1"/>
    <col min="10245" max="10245" width="14.42578125" style="401" customWidth="1"/>
    <col min="10246" max="10246" width="3.7109375" style="401" customWidth="1"/>
    <col min="10247" max="10247" width="33.7109375" style="401" customWidth="1"/>
    <col min="10248" max="10248" width="4.140625" style="401" customWidth="1"/>
    <col min="10249" max="10255" width="8.7109375" style="401" customWidth="1"/>
    <col min="10256" max="10256" width="8.7109375" style="401" bestFit="1" customWidth="1"/>
    <col min="10257" max="10257" width="9.5703125" style="401" customWidth="1"/>
    <col min="10258" max="10262" width="7.85546875" style="401" bestFit="1" customWidth="1"/>
    <col min="10263" max="10263" width="1.85546875" style="401" bestFit="1" customWidth="1"/>
    <col min="10264" max="10499" width="9.140625" style="401"/>
    <col min="10500" max="10500" width="3.7109375" style="401" customWidth="1"/>
    <col min="10501" max="10501" width="14.42578125" style="401" customWidth="1"/>
    <col min="10502" max="10502" width="3.7109375" style="401" customWidth="1"/>
    <col min="10503" max="10503" width="33.7109375" style="401" customWidth="1"/>
    <col min="10504" max="10504" width="4.140625" style="401" customWidth="1"/>
    <col min="10505" max="10511" width="8.7109375" style="401" customWidth="1"/>
    <col min="10512" max="10512" width="8.7109375" style="401" bestFit="1" customWidth="1"/>
    <col min="10513" max="10513" width="9.5703125" style="401" customWidth="1"/>
    <col min="10514" max="10518" width="7.85546875" style="401" bestFit="1" customWidth="1"/>
    <col min="10519" max="10519" width="1.85546875" style="401" bestFit="1" customWidth="1"/>
    <col min="10520" max="10755" width="9.140625" style="401"/>
    <col min="10756" max="10756" width="3.7109375" style="401" customWidth="1"/>
    <col min="10757" max="10757" width="14.42578125" style="401" customWidth="1"/>
    <col min="10758" max="10758" width="3.7109375" style="401" customWidth="1"/>
    <col min="10759" max="10759" width="33.7109375" style="401" customWidth="1"/>
    <col min="10760" max="10760" width="4.140625" style="401" customWidth="1"/>
    <col min="10761" max="10767" width="8.7109375" style="401" customWidth="1"/>
    <col min="10768" max="10768" width="8.7109375" style="401" bestFit="1" customWidth="1"/>
    <col min="10769" max="10769" width="9.5703125" style="401" customWidth="1"/>
    <col min="10770" max="10774" width="7.85546875" style="401" bestFit="1" customWidth="1"/>
    <col min="10775" max="10775" width="1.85546875" style="401" bestFit="1" customWidth="1"/>
    <col min="10776" max="11011" width="9.140625" style="401"/>
    <col min="11012" max="11012" width="3.7109375" style="401" customWidth="1"/>
    <col min="11013" max="11013" width="14.42578125" style="401" customWidth="1"/>
    <col min="11014" max="11014" width="3.7109375" style="401" customWidth="1"/>
    <col min="11015" max="11015" width="33.7109375" style="401" customWidth="1"/>
    <col min="11016" max="11016" width="4.140625" style="401" customWidth="1"/>
    <col min="11017" max="11023" width="8.7109375" style="401" customWidth="1"/>
    <col min="11024" max="11024" width="8.7109375" style="401" bestFit="1" customWidth="1"/>
    <col min="11025" max="11025" width="9.5703125" style="401" customWidth="1"/>
    <col min="11026" max="11030" width="7.85546875" style="401" bestFit="1" customWidth="1"/>
    <col min="11031" max="11031" width="1.85546875" style="401" bestFit="1" customWidth="1"/>
    <col min="11032" max="11267" width="9.140625" style="401"/>
    <col min="11268" max="11268" width="3.7109375" style="401" customWidth="1"/>
    <col min="11269" max="11269" width="14.42578125" style="401" customWidth="1"/>
    <col min="11270" max="11270" width="3.7109375" style="401" customWidth="1"/>
    <col min="11271" max="11271" width="33.7109375" style="401" customWidth="1"/>
    <col min="11272" max="11272" width="4.140625" style="401" customWidth="1"/>
    <col min="11273" max="11279" width="8.7109375" style="401" customWidth="1"/>
    <col min="11280" max="11280" width="8.7109375" style="401" bestFit="1" customWidth="1"/>
    <col min="11281" max="11281" width="9.5703125" style="401" customWidth="1"/>
    <col min="11282" max="11286" width="7.85546875" style="401" bestFit="1" customWidth="1"/>
    <col min="11287" max="11287" width="1.85546875" style="401" bestFit="1" customWidth="1"/>
    <col min="11288" max="11523" width="9.140625" style="401"/>
    <col min="11524" max="11524" width="3.7109375" style="401" customWidth="1"/>
    <col min="11525" max="11525" width="14.42578125" style="401" customWidth="1"/>
    <col min="11526" max="11526" width="3.7109375" style="401" customWidth="1"/>
    <col min="11527" max="11527" width="33.7109375" style="401" customWidth="1"/>
    <col min="11528" max="11528" width="4.140625" style="401" customWidth="1"/>
    <col min="11529" max="11535" width="8.7109375" style="401" customWidth="1"/>
    <col min="11536" max="11536" width="8.7109375" style="401" bestFit="1" customWidth="1"/>
    <col min="11537" max="11537" width="9.5703125" style="401" customWidth="1"/>
    <col min="11538" max="11542" width="7.85546875" style="401" bestFit="1" customWidth="1"/>
    <col min="11543" max="11543" width="1.85546875" style="401" bestFit="1" customWidth="1"/>
    <col min="11544" max="11779" width="9.140625" style="401"/>
    <col min="11780" max="11780" width="3.7109375" style="401" customWidth="1"/>
    <col min="11781" max="11781" width="14.42578125" style="401" customWidth="1"/>
    <col min="11782" max="11782" width="3.7109375" style="401" customWidth="1"/>
    <col min="11783" max="11783" width="33.7109375" style="401" customWidth="1"/>
    <col min="11784" max="11784" width="4.140625" style="401" customWidth="1"/>
    <col min="11785" max="11791" width="8.7109375" style="401" customWidth="1"/>
    <col min="11792" max="11792" width="8.7109375" style="401" bestFit="1" customWidth="1"/>
    <col min="11793" max="11793" width="9.5703125" style="401" customWidth="1"/>
    <col min="11794" max="11798" width="7.85546875" style="401" bestFit="1" customWidth="1"/>
    <col min="11799" max="11799" width="1.85546875" style="401" bestFit="1" customWidth="1"/>
    <col min="11800" max="12035" width="9.140625" style="401"/>
    <col min="12036" max="12036" width="3.7109375" style="401" customWidth="1"/>
    <col min="12037" max="12037" width="14.42578125" style="401" customWidth="1"/>
    <col min="12038" max="12038" width="3.7109375" style="401" customWidth="1"/>
    <col min="12039" max="12039" width="33.7109375" style="401" customWidth="1"/>
    <col min="12040" max="12040" width="4.140625" style="401" customWidth="1"/>
    <col min="12041" max="12047" width="8.7109375" style="401" customWidth="1"/>
    <col min="12048" max="12048" width="8.7109375" style="401" bestFit="1" customWidth="1"/>
    <col min="12049" max="12049" width="9.5703125" style="401" customWidth="1"/>
    <col min="12050" max="12054" width="7.85546875" style="401" bestFit="1" customWidth="1"/>
    <col min="12055" max="12055" width="1.85546875" style="401" bestFit="1" customWidth="1"/>
    <col min="12056" max="12291" width="9.140625" style="401"/>
    <col min="12292" max="12292" width="3.7109375" style="401" customWidth="1"/>
    <col min="12293" max="12293" width="14.42578125" style="401" customWidth="1"/>
    <col min="12294" max="12294" width="3.7109375" style="401" customWidth="1"/>
    <col min="12295" max="12295" width="33.7109375" style="401" customWidth="1"/>
    <col min="12296" max="12296" width="4.140625" style="401" customWidth="1"/>
    <col min="12297" max="12303" width="8.7109375" style="401" customWidth="1"/>
    <col min="12304" max="12304" width="8.7109375" style="401" bestFit="1" customWidth="1"/>
    <col min="12305" max="12305" width="9.5703125" style="401" customWidth="1"/>
    <col min="12306" max="12310" width="7.85546875" style="401" bestFit="1" customWidth="1"/>
    <col min="12311" max="12311" width="1.85546875" style="401" bestFit="1" customWidth="1"/>
    <col min="12312" max="12547" width="9.140625" style="401"/>
    <col min="12548" max="12548" width="3.7109375" style="401" customWidth="1"/>
    <col min="12549" max="12549" width="14.42578125" style="401" customWidth="1"/>
    <col min="12550" max="12550" width="3.7109375" style="401" customWidth="1"/>
    <col min="12551" max="12551" width="33.7109375" style="401" customWidth="1"/>
    <col min="12552" max="12552" width="4.140625" style="401" customWidth="1"/>
    <col min="12553" max="12559" width="8.7109375" style="401" customWidth="1"/>
    <col min="12560" max="12560" width="8.7109375" style="401" bestFit="1" customWidth="1"/>
    <col min="12561" max="12561" width="9.5703125" style="401" customWidth="1"/>
    <col min="12562" max="12566" width="7.85546875" style="401" bestFit="1" customWidth="1"/>
    <col min="12567" max="12567" width="1.85546875" style="401" bestFit="1" customWidth="1"/>
    <col min="12568" max="12803" width="9.140625" style="401"/>
    <col min="12804" max="12804" width="3.7109375" style="401" customWidth="1"/>
    <col min="12805" max="12805" width="14.42578125" style="401" customWidth="1"/>
    <col min="12806" max="12806" width="3.7109375" style="401" customWidth="1"/>
    <col min="12807" max="12807" width="33.7109375" style="401" customWidth="1"/>
    <col min="12808" max="12808" width="4.140625" style="401" customWidth="1"/>
    <col min="12809" max="12815" width="8.7109375" style="401" customWidth="1"/>
    <col min="12816" max="12816" width="8.7109375" style="401" bestFit="1" customWidth="1"/>
    <col min="12817" max="12817" width="9.5703125" style="401" customWidth="1"/>
    <col min="12818" max="12822" width="7.85546875" style="401" bestFit="1" customWidth="1"/>
    <col min="12823" max="12823" width="1.85546875" style="401" bestFit="1" customWidth="1"/>
    <col min="12824" max="13059" width="9.140625" style="401"/>
    <col min="13060" max="13060" width="3.7109375" style="401" customWidth="1"/>
    <col min="13061" max="13061" width="14.42578125" style="401" customWidth="1"/>
    <col min="13062" max="13062" width="3.7109375" style="401" customWidth="1"/>
    <col min="13063" max="13063" width="33.7109375" style="401" customWidth="1"/>
    <col min="13064" max="13064" width="4.140625" style="401" customWidth="1"/>
    <col min="13065" max="13071" width="8.7109375" style="401" customWidth="1"/>
    <col min="13072" max="13072" width="8.7109375" style="401" bestFit="1" customWidth="1"/>
    <col min="13073" max="13073" width="9.5703125" style="401" customWidth="1"/>
    <col min="13074" max="13078" width="7.85546875" style="401" bestFit="1" customWidth="1"/>
    <col min="13079" max="13079" width="1.85546875" style="401" bestFit="1" customWidth="1"/>
    <col min="13080" max="13315" width="9.140625" style="401"/>
    <col min="13316" max="13316" width="3.7109375" style="401" customWidth="1"/>
    <col min="13317" max="13317" width="14.42578125" style="401" customWidth="1"/>
    <col min="13318" max="13318" width="3.7109375" style="401" customWidth="1"/>
    <col min="13319" max="13319" width="33.7109375" style="401" customWidth="1"/>
    <col min="13320" max="13320" width="4.140625" style="401" customWidth="1"/>
    <col min="13321" max="13327" width="8.7109375" style="401" customWidth="1"/>
    <col min="13328" max="13328" width="8.7109375" style="401" bestFit="1" customWidth="1"/>
    <col min="13329" max="13329" width="9.5703125" style="401" customWidth="1"/>
    <col min="13330" max="13334" width="7.85546875" style="401" bestFit="1" customWidth="1"/>
    <col min="13335" max="13335" width="1.85546875" style="401" bestFit="1" customWidth="1"/>
    <col min="13336" max="13571" width="9.140625" style="401"/>
    <col min="13572" max="13572" width="3.7109375" style="401" customWidth="1"/>
    <col min="13573" max="13573" width="14.42578125" style="401" customWidth="1"/>
    <col min="13574" max="13574" width="3.7109375" style="401" customWidth="1"/>
    <col min="13575" max="13575" width="33.7109375" style="401" customWidth="1"/>
    <col min="13576" max="13576" width="4.140625" style="401" customWidth="1"/>
    <col min="13577" max="13583" width="8.7109375" style="401" customWidth="1"/>
    <col min="13584" max="13584" width="8.7109375" style="401" bestFit="1" customWidth="1"/>
    <col min="13585" max="13585" width="9.5703125" style="401" customWidth="1"/>
    <col min="13586" max="13590" width="7.85546875" style="401" bestFit="1" customWidth="1"/>
    <col min="13591" max="13591" width="1.85546875" style="401" bestFit="1" customWidth="1"/>
    <col min="13592" max="13827" width="9.140625" style="401"/>
    <col min="13828" max="13828" width="3.7109375" style="401" customWidth="1"/>
    <col min="13829" max="13829" width="14.42578125" style="401" customWidth="1"/>
    <col min="13830" max="13830" width="3.7109375" style="401" customWidth="1"/>
    <col min="13831" max="13831" width="33.7109375" style="401" customWidth="1"/>
    <col min="13832" max="13832" width="4.140625" style="401" customWidth="1"/>
    <col min="13833" max="13839" width="8.7109375" style="401" customWidth="1"/>
    <col min="13840" max="13840" width="8.7109375" style="401" bestFit="1" customWidth="1"/>
    <col min="13841" max="13841" width="9.5703125" style="401" customWidth="1"/>
    <col min="13842" max="13846" width="7.85546875" style="401" bestFit="1" customWidth="1"/>
    <col min="13847" max="13847" width="1.85546875" style="401" bestFit="1" customWidth="1"/>
    <col min="13848" max="14083" width="9.140625" style="401"/>
    <col min="14084" max="14084" width="3.7109375" style="401" customWidth="1"/>
    <col min="14085" max="14085" width="14.42578125" style="401" customWidth="1"/>
    <col min="14086" max="14086" width="3.7109375" style="401" customWidth="1"/>
    <col min="14087" max="14087" width="33.7109375" style="401" customWidth="1"/>
    <col min="14088" max="14088" width="4.140625" style="401" customWidth="1"/>
    <col min="14089" max="14095" width="8.7109375" style="401" customWidth="1"/>
    <col min="14096" max="14096" width="8.7109375" style="401" bestFit="1" customWidth="1"/>
    <col min="14097" max="14097" width="9.5703125" style="401" customWidth="1"/>
    <col min="14098" max="14102" width="7.85546875" style="401" bestFit="1" customWidth="1"/>
    <col min="14103" max="14103" width="1.85546875" style="401" bestFit="1" customWidth="1"/>
    <col min="14104" max="14339" width="9.140625" style="401"/>
    <col min="14340" max="14340" width="3.7109375" style="401" customWidth="1"/>
    <col min="14341" max="14341" width="14.42578125" style="401" customWidth="1"/>
    <col min="14342" max="14342" width="3.7109375" style="401" customWidth="1"/>
    <col min="14343" max="14343" width="33.7109375" style="401" customWidth="1"/>
    <col min="14344" max="14344" width="4.140625" style="401" customWidth="1"/>
    <col min="14345" max="14351" width="8.7109375" style="401" customWidth="1"/>
    <col min="14352" max="14352" width="8.7109375" style="401" bestFit="1" customWidth="1"/>
    <col min="14353" max="14353" width="9.5703125" style="401" customWidth="1"/>
    <col min="14354" max="14358" width="7.85546875" style="401" bestFit="1" customWidth="1"/>
    <col min="14359" max="14359" width="1.85546875" style="401" bestFit="1" customWidth="1"/>
    <col min="14360" max="14595" width="9.140625" style="401"/>
    <col min="14596" max="14596" width="3.7109375" style="401" customWidth="1"/>
    <col min="14597" max="14597" width="14.42578125" style="401" customWidth="1"/>
    <col min="14598" max="14598" width="3.7109375" style="401" customWidth="1"/>
    <col min="14599" max="14599" width="33.7109375" style="401" customWidth="1"/>
    <col min="14600" max="14600" width="4.140625" style="401" customWidth="1"/>
    <col min="14601" max="14607" width="8.7109375" style="401" customWidth="1"/>
    <col min="14608" max="14608" width="8.7109375" style="401" bestFit="1" customWidth="1"/>
    <col min="14609" max="14609" width="9.5703125" style="401" customWidth="1"/>
    <col min="14610" max="14614" width="7.85546875" style="401" bestFit="1" customWidth="1"/>
    <col min="14615" max="14615" width="1.85546875" style="401" bestFit="1" customWidth="1"/>
    <col min="14616" max="14851" width="9.140625" style="401"/>
    <col min="14852" max="14852" width="3.7109375" style="401" customWidth="1"/>
    <col min="14853" max="14853" width="14.42578125" style="401" customWidth="1"/>
    <col min="14854" max="14854" width="3.7109375" style="401" customWidth="1"/>
    <col min="14855" max="14855" width="33.7109375" style="401" customWidth="1"/>
    <col min="14856" max="14856" width="4.140625" style="401" customWidth="1"/>
    <col min="14857" max="14863" width="8.7109375" style="401" customWidth="1"/>
    <col min="14864" max="14864" width="8.7109375" style="401" bestFit="1" customWidth="1"/>
    <col min="14865" max="14865" width="9.5703125" style="401" customWidth="1"/>
    <col min="14866" max="14870" width="7.85546875" style="401" bestFit="1" customWidth="1"/>
    <col min="14871" max="14871" width="1.85546875" style="401" bestFit="1" customWidth="1"/>
    <col min="14872" max="15107" width="9.140625" style="401"/>
    <col min="15108" max="15108" width="3.7109375" style="401" customWidth="1"/>
    <col min="15109" max="15109" width="14.42578125" style="401" customWidth="1"/>
    <col min="15110" max="15110" width="3.7109375" style="401" customWidth="1"/>
    <col min="15111" max="15111" width="33.7109375" style="401" customWidth="1"/>
    <col min="15112" max="15112" width="4.140625" style="401" customWidth="1"/>
    <col min="15113" max="15119" width="8.7109375" style="401" customWidth="1"/>
    <col min="15120" max="15120" width="8.7109375" style="401" bestFit="1" customWidth="1"/>
    <col min="15121" max="15121" width="9.5703125" style="401" customWidth="1"/>
    <col min="15122" max="15126" width="7.85546875" style="401" bestFit="1" customWidth="1"/>
    <col min="15127" max="15127" width="1.85546875" style="401" bestFit="1" customWidth="1"/>
    <col min="15128" max="15363" width="9.140625" style="401"/>
    <col min="15364" max="15364" width="3.7109375" style="401" customWidth="1"/>
    <col min="15365" max="15365" width="14.42578125" style="401" customWidth="1"/>
    <col min="15366" max="15366" width="3.7109375" style="401" customWidth="1"/>
    <col min="15367" max="15367" width="33.7109375" style="401" customWidth="1"/>
    <col min="15368" max="15368" width="4.140625" style="401" customWidth="1"/>
    <col min="15369" max="15375" width="8.7109375" style="401" customWidth="1"/>
    <col min="15376" max="15376" width="8.7109375" style="401" bestFit="1" customWidth="1"/>
    <col min="15377" max="15377" width="9.5703125" style="401" customWidth="1"/>
    <col min="15378" max="15382" width="7.85546875" style="401" bestFit="1" customWidth="1"/>
    <col min="15383" max="15383" width="1.85546875" style="401" bestFit="1" customWidth="1"/>
    <col min="15384" max="15619" width="9.140625" style="401"/>
    <col min="15620" max="15620" width="3.7109375" style="401" customWidth="1"/>
    <col min="15621" max="15621" width="14.42578125" style="401" customWidth="1"/>
    <col min="15622" max="15622" width="3.7109375" style="401" customWidth="1"/>
    <col min="15623" max="15623" width="33.7109375" style="401" customWidth="1"/>
    <col min="15624" max="15624" width="4.140625" style="401" customWidth="1"/>
    <col min="15625" max="15631" width="8.7109375" style="401" customWidth="1"/>
    <col min="15632" max="15632" width="8.7109375" style="401" bestFit="1" customWidth="1"/>
    <col min="15633" max="15633" width="9.5703125" style="401" customWidth="1"/>
    <col min="15634" max="15638" width="7.85546875" style="401" bestFit="1" customWidth="1"/>
    <col min="15639" max="15639" width="1.85546875" style="401" bestFit="1" customWidth="1"/>
    <col min="15640" max="15875" width="9.140625" style="401"/>
    <col min="15876" max="15876" width="3.7109375" style="401" customWidth="1"/>
    <col min="15877" max="15877" width="14.42578125" style="401" customWidth="1"/>
    <col min="15878" max="15878" width="3.7109375" style="401" customWidth="1"/>
    <col min="15879" max="15879" width="33.7109375" style="401" customWidth="1"/>
    <col min="15880" max="15880" width="4.140625" style="401" customWidth="1"/>
    <col min="15881" max="15887" width="8.7109375" style="401" customWidth="1"/>
    <col min="15888" max="15888" width="8.7109375" style="401" bestFit="1" customWidth="1"/>
    <col min="15889" max="15889" width="9.5703125" style="401" customWidth="1"/>
    <col min="15890" max="15894" width="7.85546875" style="401" bestFit="1" customWidth="1"/>
    <col min="15895" max="15895" width="1.85546875" style="401" bestFit="1" customWidth="1"/>
    <col min="15896" max="16131" width="9.140625" style="401"/>
    <col min="16132" max="16132" width="3.7109375" style="401" customWidth="1"/>
    <col min="16133" max="16133" width="14.42578125" style="401" customWidth="1"/>
    <col min="16134" max="16134" width="3.7109375" style="401" customWidth="1"/>
    <col min="16135" max="16135" width="33.7109375" style="401" customWidth="1"/>
    <col min="16136" max="16136" width="4.140625" style="401" customWidth="1"/>
    <col min="16137" max="16143" width="8.7109375" style="401" customWidth="1"/>
    <col min="16144" max="16144" width="8.7109375" style="401" bestFit="1" customWidth="1"/>
    <col min="16145" max="16145" width="9.5703125" style="401" customWidth="1"/>
    <col min="16146" max="16150" width="7.85546875" style="401" bestFit="1" customWidth="1"/>
    <col min="16151" max="16151" width="1.85546875" style="401" bestFit="1" customWidth="1"/>
    <col min="16152" max="16384" width="9.140625" style="401"/>
  </cols>
  <sheetData>
    <row r="1" spans="1:24" s="628" customFormat="1" ht="12.75" customHeight="1" x14ac:dyDescent="0.2">
      <c r="A1" s="835"/>
      <c r="B1" s="1791"/>
      <c r="C1" s="1791"/>
      <c r="F1" s="1769"/>
      <c r="G1" s="1769"/>
      <c r="H1" s="1769"/>
      <c r="I1" s="1769"/>
      <c r="J1" s="1769"/>
      <c r="K1" s="1769"/>
    </row>
    <row r="2" spans="1:24" s="628" customFormat="1" ht="12.75" customHeight="1" x14ac:dyDescent="0.2">
      <c r="A2" s="835">
        <v>1</v>
      </c>
      <c r="B2" s="835" t="s">
        <v>24</v>
      </c>
      <c r="C2" s="835">
        <f>1+'Development cooperation'!C2</f>
        <v>76</v>
      </c>
      <c r="D2" s="1461" t="s">
        <v>1790</v>
      </c>
      <c r="E2" s="1462"/>
      <c r="F2" s="1462"/>
      <c r="G2" s="1462"/>
      <c r="H2" s="1462"/>
      <c r="I2" s="1462"/>
      <c r="J2" s="1462"/>
      <c r="K2" s="1462"/>
      <c r="L2" s="1462"/>
      <c r="M2" s="1462"/>
      <c r="N2" s="1462"/>
      <c r="O2" s="1462"/>
      <c r="P2" s="1462"/>
      <c r="Q2" s="1462"/>
      <c r="R2" s="1462"/>
      <c r="S2" s="1462"/>
      <c r="T2" s="1462"/>
      <c r="U2" s="1463"/>
      <c r="V2" s="416"/>
      <c r="W2" s="1471"/>
    </row>
    <row r="3" spans="1:24" s="628" customFormat="1" ht="12.75" customHeight="1" x14ac:dyDescent="0.2">
      <c r="A3" s="835">
        <v>2</v>
      </c>
      <c r="B3" s="835" t="s">
        <v>26</v>
      </c>
      <c r="C3" s="835"/>
      <c r="D3" s="3615" t="s">
        <v>1791</v>
      </c>
      <c r="E3" s="3616"/>
      <c r="F3" s="3616"/>
      <c r="G3" s="3616"/>
      <c r="H3" s="3616"/>
      <c r="I3" s="3616"/>
      <c r="J3" s="3616"/>
      <c r="K3" s="3616"/>
      <c r="L3" s="3616"/>
      <c r="M3" s="3616"/>
      <c r="N3" s="3616"/>
      <c r="O3" s="3616"/>
      <c r="P3" s="3616"/>
      <c r="Q3" s="3616"/>
      <c r="R3" s="3616"/>
      <c r="S3" s="3616"/>
      <c r="T3" s="3616"/>
      <c r="U3" s="3617"/>
      <c r="V3" s="1471"/>
      <c r="W3" s="1471"/>
    </row>
    <row r="4" spans="1:24" s="628" customFormat="1" ht="12.75" customHeight="1" x14ac:dyDescent="0.2">
      <c r="A4" s="835">
        <v>3</v>
      </c>
      <c r="B4" s="835" t="s">
        <v>28</v>
      </c>
      <c r="C4" s="835"/>
      <c r="D4" s="3615" t="s">
        <v>1792</v>
      </c>
      <c r="E4" s="3616"/>
      <c r="F4" s="3616"/>
      <c r="G4" s="3616"/>
      <c r="H4" s="3616"/>
      <c r="I4" s="3616"/>
      <c r="J4" s="3616"/>
      <c r="K4" s="3616"/>
      <c r="L4" s="3616"/>
      <c r="M4" s="3616"/>
      <c r="N4" s="3616"/>
      <c r="O4" s="3616"/>
      <c r="P4" s="3616"/>
      <c r="Q4" s="3616"/>
      <c r="R4" s="3616"/>
      <c r="S4" s="3616"/>
      <c r="T4" s="3616"/>
      <c r="U4" s="3617"/>
      <c r="V4" s="1471"/>
      <c r="W4" s="1471"/>
    </row>
    <row r="5" spans="1:24" s="628" customFormat="1" ht="13.5" customHeight="1" x14ac:dyDescent="0.2">
      <c r="A5" s="835"/>
      <c r="B5" s="835"/>
      <c r="C5" s="835"/>
      <c r="D5" s="1471"/>
      <c r="E5" s="1471"/>
      <c r="F5" s="1503"/>
      <c r="G5" s="1503"/>
      <c r="H5" s="1503"/>
      <c r="I5" s="1503"/>
      <c r="J5" s="1503"/>
      <c r="K5" s="1503"/>
      <c r="L5" s="416"/>
      <c r="M5" s="416"/>
      <c r="N5" s="416"/>
      <c r="O5" s="416"/>
      <c r="P5" s="416"/>
      <c r="Q5" s="416"/>
      <c r="R5" s="416"/>
      <c r="S5" s="416"/>
      <c r="T5" s="416"/>
      <c r="U5" s="416"/>
      <c r="V5" s="417"/>
      <c r="W5" s="1800"/>
      <c r="X5" s="1800"/>
    </row>
    <row r="6" spans="1:24" s="628" customFormat="1" ht="13.5" customHeight="1" x14ac:dyDescent="0.2">
      <c r="C6" s="418"/>
      <c r="F6" s="1769"/>
      <c r="G6" s="1769"/>
      <c r="H6" s="1769"/>
      <c r="I6" s="1769"/>
      <c r="J6" s="1769"/>
      <c r="K6" s="1769"/>
    </row>
    <row r="7" spans="1:24" s="628" customFormat="1" ht="13.5" customHeight="1" x14ac:dyDescent="0.2">
      <c r="A7" s="835">
        <v>4</v>
      </c>
      <c r="B7" s="418" t="s">
        <v>1</v>
      </c>
      <c r="C7" s="418"/>
      <c r="D7" s="438" t="s">
        <v>93</v>
      </c>
      <c r="E7" s="438"/>
      <c r="F7" s="655" t="s">
        <v>1793</v>
      </c>
      <c r="G7" s="1801"/>
      <c r="H7" s="1801"/>
      <c r="I7" s="1802"/>
      <c r="J7" s="1802"/>
      <c r="K7" s="1802"/>
      <c r="L7" s="1514"/>
      <c r="M7" s="1514"/>
      <c r="N7" s="1514"/>
      <c r="O7" s="1514"/>
      <c r="P7" s="1514"/>
      <c r="Q7" s="1514"/>
    </row>
    <row r="8" spans="1:24" ht="12" customHeight="1" x14ac:dyDescent="0.2">
      <c r="D8" s="635"/>
      <c r="E8" s="1504"/>
      <c r="F8" s="800">
        <v>2002</v>
      </c>
      <c r="G8" s="800">
        <v>2003</v>
      </c>
      <c r="H8" s="800">
        <v>2004</v>
      </c>
      <c r="I8" s="800">
        <v>2005</v>
      </c>
      <c r="J8" s="800">
        <v>2006</v>
      </c>
      <c r="K8" s="800">
        <v>2007</v>
      </c>
      <c r="L8" s="800">
        <v>2008</v>
      </c>
      <c r="M8" s="862">
        <v>2009</v>
      </c>
      <c r="N8" s="862">
        <v>2010</v>
      </c>
      <c r="O8" s="862">
        <v>2011</v>
      </c>
      <c r="P8" s="862">
        <v>2012</v>
      </c>
      <c r="Q8" s="862">
        <v>2013</v>
      </c>
      <c r="R8" s="862">
        <v>2014</v>
      </c>
      <c r="S8" s="2912">
        <v>2015</v>
      </c>
      <c r="T8" s="1505"/>
    </row>
    <row r="9" spans="1:24" ht="16.899999999999999" customHeight="1" x14ac:dyDescent="0.2">
      <c r="D9" s="438" t="s">
        <v>1794</v>
      </c>
      <c r="E9" s="420"/>
      <c r="F9" s="770"/>
      <c r="G9" s="770"/>
      <c r="H9" s="770"/>
      <c r="I9" s="770"/>
      <c r="J9" s="770"/>
      <c r="K9" s="770"/>
      <c r="L9" s="770"/>
      <c r="M9" s="1505"/>
      <c r="N9" s="1505"/>
      <c r="O9" s="1505"/>
      <c r="P9" s="1505"/>
      <c r="Q9" s="1505"/>
      <c r="R9" s="1505"/>
      <c r="S9" s="3080"/>
      <c r="T9" s="432"/>
    </row>
    <row r="10" spans="1:24" s="1502" customFormat="1" ht="16.899999999999999" customHeight="1" thickBot="1" x14ac:dyDescent="0.25">
      <c r="A10" s="1803"/>
      <c r="B10" s="1804"/>
      <c r="C10" s="1805">
        <v>1</v>
      </c>
      <c r="D10" s="1806" t="s">
        <v>1795</v>
      </c>
      <c r="E10" s="1109"/>
      <c r="F10" s="797">
        <v>6549916</v>
      </c>
      <c r="G10" s="797">
        <v>6640095</v>
      </c>
      <c r="H10" s="797">
        <v>6815196</v>
      </c>
      <c r="I10" s="797">
        <v>7518317</v>
      </c>
      <c r="J10" s="797">
        <v>8508805</v>
      </c>
      <c r="K10" s="797">
        <v>9207697</v>
      </c>
      <c r="L10" s="797">
        <v>9728860</v>
      </c>
      <c r="M10" s="859">
        <v>10098306</v>
      </c>
      <c r="N10" s="859">
        <v>11574540</v>
      </c>
      <c r="O10" s="859">
        <v>12495743</v>
      </c>
      <c r="P10" s="859">
        <v>13795530</v>
      </c>
      <c r="Q10" s="859">
        <v>15154991</v>
      </c>
      <c r="R10" s="859">
        <v>15092016</v>
      </c>
      <c r="S10" s="3081">
        <v>15051826</v>
      </c>
      <c r="T10" s="859"/>
    </row>
    <row r="11" spans="1:24" x14ac:dyDescent="0.2">
      <c r="A11" s="1292"/>
      <c r="C11" s="1805">
        <v>2</v>
      </c>
      <c r="D11" s="1506" t="s">
        <v>1796</v>
      </c>
      <c r="E11" s="1507"/>
      <c r="F11" s="1220"/>
      <c r="G11" s="1220"/>
      <c r="H11" s="1220"/>
      <c r="I11" s="1220"/>
      <c r="J11" s="1220"/>
      <c r="K11" s="1220"/>
      <c r="L11" s="1220"/>
      <c r="M11" s="1220">
        <v>16334</v>
      </c>
      <c r="N11" s="1220">
        <v>18266</v>
      </c>
      <c r="O11" s="1220">
        <v>18490</v>
      </c>
      <c r="P11" s="1220">
        <v>17934</v>
      </c>
      <c r="Q11" s="1220">
        <v>20157</v>
      </c>
      <c r="R11" s="1220">
        <v>22094</v>
      </c>
      <c r="S11" s="2795">
        <v>23314</v>
      </c>
      <c r="T11" s="895"/>
      <c r="U11" s="631"/>
      <c r="V11" s="631"/>
      <c r="W11" s="631"/>
      <c r="X11" s="631"/>
    </row>
    <row r="12" spans="1:24" s="1502" customFormat="1" ht="16.899999999999999" customHeight="1" x14ac:dyDescent="0.2">
      <c r="A12" s="1807"/>
      <c r="B12" s="1804"/>
      <c r="C12" s="1805"/>
      <c r="D12" s="1808" t="s">
        <v>1797</v>
      </c>
      <c r="E12" s="1109"/>
      <c r="F12" s="797"/>
      <c r="G12" s="797"/>
      <c r="H12" s="797"/>
      <c r="I12" s="797"/>
      <c r="J12" s="797"/>
      <c r="K12" s="797"/>
      <c r="L12" s="797"/>
      <c r="M12" s="859">
        <v>1986470</v>
      </c>
      <c r="N12" s="859">
        <v>2199169</v>
      </c>
      <c r="O12" s="859">
        <v>2133074</v>
      </c>
      <c r="P12" s="859">
        <v>2202589</v>
      </c>
      <c r="Q12" s="859">
        <v>2325740</v>
      </c>
      <c r="R12" s="859">
        <v>2386211</v>
      </c>
      <c r="S12" s="3081">
        <v>2273426</v>
      </c>
      <c r="T12" s="859"/>
    </row>
    <row r="13" spans="1:24" s="1502" customFormat="1" ht="16.899999999999999" customHeight="1" x14ac:dyDescent="0.2">
      <c r="A13" s="1807"/>
      <c r="B13" s="1804"/>
      <c r="C13" s="1805"/>
      <c r="D13" s="1808" t="s">
        <v>1798</v>
      </c>
      <c r="E13" s="1109"/>
      <c r="F13" s="797"/>
      <c r="G13" s="797"/>
      <c r="H13" s="797"/>
      <c r="I13" s="797"/>
      <c r="J13" s="797"/>
      <c r="K13" s="797"/>
      <c r="L13" s="797"/>
      <c r="M13" s="859">
        <v>7000052</v>
      </c>
      <c r="N13" s="859">
        <v>7882979</v>
      </c>
      <c r="O13" s="859">
        <v>8135066</v>
      </c>
      <c r="P13" s="859">
        <v>8603190</v>
      </c>
      <c r="Q13" s="859">
        <v>8961565</v>
      </c>
      <c r="R13" s="859">
        <v>9549236</v>
      </c>
      <c r="S13" s="3081">
        <v>8903773</v>
      </c>
      <c r="T13" s="859"/>
    </row>
    <row r="14" spans="1:24" ht="16.899999999999999" customHeight="1" x14ac:dyDescent="0.2">
      <c r="A14" s="1222"/>
      <c r="C14" s="1805"/>
      <c r="D14" s="1220" t="s">
        <v>1799</v>
      </c>
      <c r="E14" s="1507"/>
      <c r="F14" s="1220"/>
      <c r="G14" s="1220"/>
      <c r="H14" s="1220"/>
      <c r="I14" s="1220"/>
      <c r="J14" s="1220"/>
      <c r="K14" s="1220"/>
      <c r="L14" s="1220"/>
      <c r="M14" s="1220">
        <v>36429</v>
      </c>
      <c r="N14" s="1220">
        <v>113050</v>
      </c>
      <c r="O14" s="1220">
        <v>24204</v>
      </c>
      <c r="P14" s="1220">
        <v>21350</v>
      </c>
      <c r="Q14" s="1220">
        <v>15997</v>
      </c>
      <c r="R14" s="1220">
        <v>14713</v>
      </c>
      <c r="S14" s="2795">
        <v>12671</v>
      </c>
      <c r="T14" s="895"/>
      <c r="U14" s="631"/>
      <c r="V14" s="631"/>
      <c r="W14" s="631"/>
      <c r="X14" s="631"/>
    </row>
    <row r="15" spans="1:24" ht="16.899999999999999" customHeight="1" x14ac:dyDescent="0.2">
      <c r="C15" s="1805"/>
      <c r="D15" s="438" t="s">
        <v>408</v>
      </c>
      <c r="E15" s="432"/>
      <c r="F15" s="420"/>
      <c r="G15" s="420"/>
      <c r="H15" s="420"/>
      <c r="I15" s="420"/>
      <c r="J15" s="420"/>
      <c r="K15" s="420"/>
      <c r="L15" s="420"/>
      <c r="M15" s="859"/>
      <c r="N15" s="859"/>
      <c r="O15" s="859"/>
      <c r="P15" s="859"/>
      <c r="Q15" s="859"/>
      <c r="R15" s="859"/>
      <c r="S15" s="432"/>
      <c r="T15" s="432"/>
    </row>
    <row r="16" spans="1:24" s="432" customFormat="1" ht="16.899999999999999" customHeight="1" x14ac:dyDescent="0.2">
      <c r="A16" s="1809"/>
      <c r="B16" s="824"/>
      <c r="C16" s="1805">
        <v>3</v>
      </c>
      <c r="D16" s="443" t="s">
        <v>1800</v>
      </c>
      <c r="E16" s="1504"/>
      <c r="F16" s="3086"/>
      <c r="G16" s="3087"/>
      <c r="H16" s="3088"/>
      <c r="I16" s="3089">
        <v>0.04</v>
      </c>
      <c r="J16" s="3089">
        <v>4.1000000000000002E-2</v>
      </c>
      <c r="K16" s="3089">
        <v>4.2000000000000003E-2</v>
      </c>
      <c r="L16" s="3090">
        <v>4.3999999999999997E-2</v>
      </c>
      <c r="M16" s="3090">
        <v>4.1000000000000002E-2</v>
      </c>
      <c r="N16" s="3090">
        <v>4.3999999999999997E-2</v>
      </c>
      <c r="O16" s="3090">
        <v>4.3999999999999997E-2</v>
      </c>
      <c r="P16" s="3090">
        <v>4.4999999999999998E-2</v>
      </c>
      <c r="Q16" s="3090">
        <v>4.3999999999999997E-2</v>
      </c>
      <c r="R16" s="3090">
        <v>4.4999999999999998E-2</v>
      </c>
      <c r="S16" s="3091"/>
    </row>
    <row r="17" spans="1:27" ht="16.899999999999999" customHeight="1" x14ac:dyDescent="0.2">
      <c r="C17" s="1805"/>
      <c r="D17" s="1109" t="s">
        <v>1801</v>
      </c>
      <c r="E17" s="1271"/>
      <c r="F17" s="1372"/>
      <c r="G17" s="446"/>
      <c r="H17" s="446"/>
      <c r="I17" s="446">
        <v>507384</v>
      </c>
      <c r="J17" s="446">
        <v>553712</v>
      </c>
      <c r="K17" s="446">
        <v>569688</v>
      </c>
      <c r="L17" s="446">
        <v>609021</v>
      </c>
      <c r="M17" s="446">
        <v>547934</v>
      </c>
      <c r="N17" s="446">
        <v>603022</v>
      </c>
      <c r="O17" s="446">
        <v>622929</v>
      </c>
      <c r="P17" s="446">
        <v>646390</v>
      </c>
      <c r="Q17" s="446">
        <v>655587</v>
      </c>
      <c r="R17" s="446">
        <v>680817</v>
      </c>
      <c r="S17" s="3082"/>
      <c r="T17" s="438"/>
      <c r="AA17" s="432"/>
    </row>
    <row r="18" spans="1:27" ht="16.899999999999999" customHeight="1" x14ac:dyDescent="0.2">
      <c r="C18" s="1805">
        <v>4</v>
      </c>
      <c r="D18" s="1702" t="s">
        <v>1802</v>
      </c>
      <c r="E18" s="1126"/>
      <c r="F18" s="1810"/>
      <c r="G18" s="1136"/>
      <c r="H18" s="1052"/>
      <c r="I18" s="1052">
        <v>1246070</v>
      </c>
      <c r="J18" s="1052">
        <v>1396200</v>
      </c>
      <c r="K18" s="1052">
        <v>1422640</v>
      </c>
      <c r="L18" s="1136">
        <v>1439980</v>
      </c>
      <c r="M18" s="1136">
        <v>1370520</v>
      </c>
      <c r="N18" s="1136">
        <v>1306870</v>
      </c>
      <c r="O18" s="1136">
        <v>1335730</v>
      </c>
      <c r="P18" s="1136">
        <v>1435840</v>
      </c>
      <c r="Q18" s="1136">
        <v>1449380</v>
      </c>
      <c r="R18" s="1136">
        <v>1508870</v>
      </c>
      <c r="S18" s="3083">
        <v>1554200</v>
      </c>
      <c r="T18" s="432"/>
      <c r="U18" s="432"/>
      <c r="V18" s="432"/>
    </row>
    <row r="19" spans="1:27" ht="16.899999999999999" customHeight="1" x14ac:dyDescent="0.2">
      <c r="C19" s="1811"/>
      <c r="D19" s="426" t="s">
        <v>1803</v>
      </c>
      <c r="E19" s="420"/>
      <c r="F19" s="1372"/>
      <c r="G19" s="446"/>
      <c r="H19" s="1061"/>
      <c r="I19" s="1812">
        <v>9.4E-2</v>
      </c>
      <c r="J19" s="1812">
        <v>0.10100000000000001</v>
      </c>
      <c r="K19" s="1812">
        <v>0.10199999999999999</v>
      </c>
      <c r="L19" s="1508">
        <v>9.9000000000000005E-2</v>
      </c>
      <c r="M19" s="1508">
        <v>9.7000000000000003E-2</v>
      </c>
      <c r="N19" s="1508">
        <v>9.5000000000000001E-2</v>
      </c>
      <c r="O19" s="1508">
        <v>9.5000000000000001E-2</v>
      </c>
      <c r="P19" s="1508">
        <v>0.1</v>
      </c>
      <c r="Q19" s="1508">
        <v>9.7000000000000003E-2</v>
      </c>
      <c r="R19" s="1508">
        <v>0.1</v>
      </c>
      <c r="S19" s="3084">
        <v>9.9000000000000005E-2</v>
      </c>
      <c r="T19" s="435"/>
      <c r="U19" s="432"/>
      <c r="V19" s="432"/>
    </row>
    <row r="20" spans="1:27" ht="18" customHeight="1" x14ac:dyDescent="0.2">
      <c r="C20" s="1805">
        <v>5</v>
      </c>
      <c r="D20" s="655" t="s">
        <v>1804</v>
      </c>
      <c r="E20" s="420"/>
      <c r="F20" s="1372"/>
      <c r="G20" s="1372"/>
      <c r="H20" s="797"/>
      <c r="I20" s="1057"/>
      <c r="J20" s="1057"/>
      <c r="K20" s="1057"/>
      <c r="L20" s="1509"/>
      <c r="M20" s="1509"/>
      <c r="N20" s="1509"/>
      <c r="O20" s="1509"/>
      <c r="P20" s="1813"/>
      <c r="Q20" s="1509"/>
      <c r="R20" s="1509"/>
      <c r="S20" s="3085"/>
      <c r="T20" s="432"/>
    </row>
    <row r="21" spans="1:27" ht="16.899999999999999" customHeight="1" x14ac:dyDescent="0.2">
      <c r="D21" s="1271" t="s">
        <v>1805</v>
      </c>
      <c r="E21" s="1271" t="s">
        <v>104</v>
      </c>
      <c r="F21" s="1057"/>
      <c r="G21" s="1057"/>
      <c r="H21" s="1057"/>
      <c r="I21" s="1510">
        <v>44.9</v>
      </c>
      <c r="J21" s="1510">
        <v>54.4</v>
      </c>
      <c r="K21" s="1510">
        <v>59.8</v>
      </c>
      <c r="L21" s="1510">
        <v>67.2</v>
      </c>
      <c r="M21" s="1510">
        <v>68.8</v>
      </c>
      <c r="N21" s="1510">
        <v>88.4</v>
      </c>
      <c r="O21" s="1510">
        <v>84</v>
      </c>
      <c r="P21" s="1510">
        <v>93.8</v>
      </c>
      <c r="Q21" s="1211">
        <v>101.7</v>
      </c>
      <c r="R21" s="1211">
        <v>111.6</v>
      </c>
      <c r="S21" s="2787"/>
    </row>
    <row r="22" spans="1:27" ht="27" customHeight="1" x14ac:dyDescent="0.2">
      <c r="A22" s="1222"/>
      <c r="B22" s="1814"/>
      <c r="D22" s="1273" t="s">
        <v>1806</v>
      </c>
      <c r="E22" s="1273"/>
      <c r="F22" s="422"/>
      <c r="G22" s="1511"/>
      <c r="H22" s="1511"/>
      <c r="I22" s="1113">
        <v>2.9000000000000001E-2</v>
      </c>
      <c r="J22" s="1113">
        <v>0.03</v>
      </c>
      <c r="K22" s="1113">
        <v>0.03</v>
      </c>
      <c r="L22" s="1113">
        <v>0.03</v>
      </c>
      <c r="M22" s="1113">
        <v>2.9000000000000001E-2</v>
      </c>
      <c r="N22" s="1113">
        <v>0.03</v>
      </c>
      <c r="O22" s="1512">
        <v>2.8000000000000001E-2</v>
      </c>
      <c r="P22" s="1512">
        <v>2.9000000000000001E-2</v>
      </c>
      <c r="Q22" s="1512">
        <v>0.03</v>
      </c>
      <c r="R22" s="1512">
        <v>0.03</v>
      </c>
      <c r="S22" s="2281"/>
    </row>
    <row r="23" spans="1:27" ht="16.899999999999999" customHeight="1" x14ac:dyDescent="0.2">
      <c r="A23" s="1222"/>
      <c r="C23" s="1805">
        <v>6</v>
      </c>
      <c r="D23" s="784" t="s">
        <v>1807</v>
      </c>
      <c r="E23" s="1271"/>
      <c r="F23" s="420"/>
      <c r="G23" s="1057"/>
      <c r="H23" s="1057"/>
      <c r="I23" s="1513">
        <f>'[44]Total contribution to GDP'!L3</f>
        <v>147.042</v>
      </c>
      <c r="J23" s="1513">
        <f>'[44]Total contribution to GDP'!M3</f>
        <v>177.94800000000001</v>
      </c>
      <c r="K23" s="1513">
        <f>'[44]Total contribution to GDP'!N3</f>
        <v>204.46799999999999</v>
      </c>
      <c r="L23" s="1513">
        <f>'[44]Total contribution to GDP'!O3</f>
        <v>219.995</v>
      </c>
      <c r="M23" s="1513">
        <f>'[44]Total contribution to GDP'!P3</f>
        <v>232.16800000000001</v>
      </c>
      <c r="N23" s="1513">
        <f>'[44]Total contribution to GDP'!Q3</f>
        <v>243.84899999999999</v>
      </c>
      <c r="O23" s="1057">
        <f>'[44]Total contribution to GDP'!R3</f>
        <v>260.34899999999999</v>
      </c>
      <c r="P23" s="1057">
        <f>'[44]Total contribution to GDP'!S3</f>
        <v>297.31400000000002</v>
      </c>
      <c r="Q23" s="1057">
        <f>'[44]Total contribution to GDP'!T3</f>
        <v>328.44099999999997</v>
      </c>
      <c r="R23" s="1057">
        <f>'[44]Total contribution to GDP'!U3</f>
        <v>358.78300000000002</v>
      </c>
      <c r="S23" s="3085">
        <f>'[44]Total contribution to GDP'!V3</f>
        <v>375.50200000000001</v>
      </c>
    </row>
    <row r="24" spans="1:27" ht="28.5" customHeight="1" x14ac:dyDescent="0.2">
      <c r="A24" s="1222"/>
      <c r="B24" s="1814"/>
      <c r="C24" s="1814"/>
      <c r="D24" s="798" t="s">
        <v>1808</v>
      </c>
      <c r="E24" s="1271"/>
      <c r="F24" s="420"/>
      <c r="G24" s="1057"/>
      <c r="H24" s="1057"/>
      <c r="I24" s="1095">
        <v>0.09</v>
      </c>
      <c r="J24" s="1095">
        <v>9.7000000000000003E-2</v>
      </c>
      <c r="K24" s="1095">
        <v>9.7000000000000003E-2</v>
      </c>
      <c r="L24" s="1095">
        <v>9.2999999999999999E-2</v>
      </c>
      <c r="M24" s="1095">
        <v>9.2999999999999999E-2</v>
      </c>
      <c r="N24" s="1095">
        <v>8.8999999999999996E-2</v>
      </c>
      <c r="O24" s="1238">
        <v>8.5999999999999993E-2</v>
      </c>
      <c r="P24" s="1238">
        <v>9.0999999999999998E-2</v>
      </c>
      <c r="Q24" s="1238">
        <v>9.2999999999999999E-2</v>
      </c>
      <c r="R24" s="1238">
        <v>9.5000000000000001E-2</v>
      </c>
      <c r="S24" s="3084">
        <v>9.4E-2</v>
      </c>
    </row>
    <row r="25" spans="1:27" x14ac:dyDescent="0.2">
      <c r="A25" s="1222"/>
      <c r="D25" s="432"/>
      <c r="E25" s="432"/>
      <c r="F25" s="420"/>
      <c r="G25" s="420"/>
      <c r="H25" s="420"/>
      <c r="I25" s="1057"/>
      <c r="J25" s="1057"/>
      <c r="K25" s="1057"/>
      <c r="L25" s="432"/>
      <c r="M25" s="432"/>
      <c r="N25" s="432"/>
      <c r="O25" s="432"/>
      <c r="P25" s="432"/>
      <c r="Q25" s="432"/>
      <c r="R25" s="432"/>
    </row>
    <row r="26" spans="1:27" ht="12.75" x14ac:dyDescent="0.2">
      <c r="A26" s="835">
        <v>5</v>
      </c>
      <c r="B26" s="835" t="s">
        <v>77</v>
      </c>
      <c r="C26" s="835"/>
    </row>
    <row r="27" spans="1:27" x14ac:dyDescent="0.2">
      <c r="R27" s="1502"/>
    </row>
    <row r="28" spans="1:27" x14ac:dyDescent="0.2">
      <c r="R28" s="1502"/>
    </row>
    <row r="29" spans="1:27" x14ac:dyDescent="0.2">
      <c r="R29" s="1502"/>
    </row>
    <row r="30" spans="1:27" x14ac:dyDescent="0.2">
      <c r="R30" s="1502"/>
    </row>
    <row r="31" spans="1:27" x14ac:dyDescent="0.2">
      <c r="R31" s="1502"/>
    </row>
    <row r="32" spans="1:27" x14ac:dyDescent="0.2">
      <c r="R32" s="1502"/>
    </row>
    <row r="33" spans="1:23" x14ac:dyDescent="0.2">
      <c r="R33" s="1502"/>
    </row>
    <row r="34" spans="1:23" x14ac:dyDescent="0.2">
      <c r="R34" s="1502"/>
    </row>
    <row r="35" spans="1:23" x14ac:dyDescent="0.2">
      <c r="R35" s="1502"/>
    </row>
    <row r="36" spans="1:23" x14ac:dyDescent="0.2">
      <c r="R36" s="1502"/>
    </row>
    <row r="37" spans="1:23" x14ac:dyDescent="0.2">
      <c r="R37" s="1502"/>
    </row>
    <row r="38" spans="1:23" x14ac:dyDescent="0.2">
      <c r="R38" s="1502"/>
    </row>
    <row r="39" spans="1:23" x14ac:dyDescent="0.2">
      <c r="R39" s="1502"/>
    </row>
    <row r="48" spans="1:23" s="628" customFormat="1" ht="12.75" customHeight="1" x14ac:dyDescent="0.2">
      <c r="A48" s="1224"/>
      <c r="B48" s="1222"/>
      <c r="C48" s="1222"/>
      <c r="D48" s="401"/>
      <c r="E48" s="401"/>
      <c r="F48" s="633"/>
      <c r="G48" s="633"/>
      <c r="H48" s="633"/>
      <c r="I48" s="633"/>
      <c r="J48" s="633"/>
      <c r="K48" s="633"/>
      <c r="L48" s="1479"/>
      <c r="M48" s="1479"/>
      <c r="N48" s="1479"/>
      <c r="O48" s="1479"/>
      <c r="P48" s="1479"/>
      <c r="Q48" s="1479"/>
      <c r="R48" s="1479"/>
      <c r="S48" s="1479"/>
      <c r="T48" s="1479"/>
      <c r="U48" s="1479"/>
      <c r="V48" s="1471"/>
      <c r="W48" s="1471"/>
    </row>
    <row r="49" spans="1:23" s="628" customFormat="1" ht="12.75" x14ac:dyDescent="0.2">
      <c r="A49" s="835">
        <v>6</v>
      </c>
      <c r="B49" s="835" t="s">
        <v>78</v>
      </c>
      <c r="C49" s="835"/>
      <c r="D49" s="3615" t="s">
        <v>1809</v>
      </c>
      <c r="E49" s="3616"/>
      <c r="F49" s="3616"/>
      <c r="G49" s="3616"/>
      <c r="H49" s="3616"/>
      <c r="I49" s="3616"/>
      <c r="J49" s="3616"/>
      <c r="K49" s="3616"/>
      <c r="L49" s="3616"/>
      <c r="M49" s="3616"/>
      <c r="N49" s="3616"/>
      <c r="O49" s="3616"/>
      <c r="P49" s="3616"/>
      <c r="Q49" s="3616"/>
      <c r="R49" s="3616"/>
      <c r="S49" s="3616"/>
      <c r="T49" s="3616"/>
      <c r="U49" s="3617"/>
      <c r="V49" s="1471"/>
      <c r="W49" s="1471"/>
    </row>
    <row r="50" spans="1:23" s="628" customFormat="1" ht="57.75" customHeight="1" x14ac:dyDescent="0.2">
      <c r="A50" s="835">
        <v>7</v>
      </c>
      <c r="B50" s="835" t="s">
        <v>20</v>
      </c>
      <c r="C50" s="835"/>
      <c r="D50" s="3615" t="s">
        <v>1810</v>
      </c>
      <c r="E50" s="3616"/>
      <c r="F50" s="3616"/>
      <c r="G50" s="3616"/>
      <c r="H50" s="3616"/>
      <c r="I50" s="3616"/>
      <c r="J50" s="3616"/>
      <c r="K50" s="3616"/>
      <c r="L50" s="3616"/>
      <c r="M50" s="3616"/>
      <c r="N50" s="3616"/>
      <c r="O50" s="3616"/>
      <c r="P50" s="3616"/>
      <c r="Q50" s="3616"/>
      <c r="R50" s="3616"/>
      <c r="S50" s="3616"/>
      <c r="T50" s="3616"/>
      <c r="U50" s="3617"/>
      <c r="V50" s="1471"/>
      <c r="W50" s="1471"/>
    </row>
    <row r="51" spans="1:23" ht="12.75" x14ac:dyDescent="0.2">
      <c r="A51" s="835">
        <v>8</v>
      </c>
      <c r="B51" s="963" t="s">
        <v>22</v>
      </c>
      <c r="C51" s="963"/>
      <c r="D51" s="3615" t="s">
        <v>1811</v>
      </c>
      <c r="E51" s="3616"/>
      <c r="F51" s="3616"/>
      <c r="G51" s="3616"/>
      <c r="H51" s="3616"/>
      <c r="I51" s="3616"/>
      <c r="J51" s="3616"/>
      <c r="K51" s="3616"/>
      <c r="L51" s="3616"/>
      <c r="M51" s="3616"/>
      <c r="N51" s="3616"/>
      <c r="O51" s="3616"/>
      <c r="P51" s="3616"/>
      <c r="Q51" s="3616"/>
      <c r="R51" s="3616"/>
      <c r="S51" s="3616"/>
      <c r="T51" s="3616"/>
      <c r="U51" s="3617"/>
    </row>
    <row r="52" spans="1:23" s="628" customFormat="1" ht="66" customHeight="1" x14ac:dyDescent="0.2">
      <c r="A52" s="835">
        <v>9</v>
      </c>
      <c r="B52" s="835" t="s">
        <v>80</v>
      </c>
      <c r="C52" s="835"/>
      <c r="D52" s="3615" t="s">
        <v>1812</v>
      </c>
      <c r="E52" s="3616"/>
      <c r="F52" s="3616"/>
      <c r="G52" s="3616"/>
      <c r="H52" s="3616"/>
      <c r="I52" s="3616"/>
      <c r="J52" s="3616"/>
      <c r="K52" s="3616"/>
      <c r="L52" s="3616"/>
      <c r="M52" s="3616"/>
      <c r="N52" s="3616"/>
      <c r="O52" s="3616"/>
      <c r="P52" s="3616"/>
      <c r="Q52" s="3616"/>
      <c r="R52" s="3616"/>
      <c r="S52" s="3616"/>
      <c r="T52" s="3616"/>
      <c r="U52" s="3617"/>
      <c r="V52" s="1471"/>
      <c r="W52" s="1471"/>
    </row>
  </sheetData>
  <mergeCells count="6">
    <mergeCell ref="D52:U52"/>
    <mergeCell ref="D3:U3"/>
    <mergeCell ref="D4:U4"/>
    <mergeCell ref="D49:U49"/>
    <mergeCell ref="D50:U50"/>
    <mergeCell ref="D51:U51"/>
  </mergeCells>
  <pageMargins left="0.74803149606299213" right="0.74803149606299213" top="0.98425196850393704" bottom="0.98425196850393704" header="0.51181102362204722" footer="0.51181102362204722"/>
  <pageSetup paperSize="9" scale="5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72"/>
  <sheetViews>
    <sheetView showGridLines="0" view="pageBreakPreview" topLeftCell="D1" zoomScaleNormal="100" zoomScaleSheetLayoutView="100" workbookViewId="0">
      <selection activeCell="R30" sqref="R30"/>
    </sheetView>
  </sheetViews>
  <sheetFormatPr defaultColWidth="9.140625" defaultRowHeight="11.25" x14ac:dyDescent="0.2"/>
  <cols>
    <col min="1" max="1" width="3.7109375" style="1224" customWidth="1"/>
    <col min="2" max="2" width="14.42578125" style="1222" customWidth="1"/>
    <col min="3" max="3" width="3.7109375" style="1222" customWidth="1"/>
    <col min="4" max="4" width="22.5703125" style="401" customWidth="1"/>
    <col min="5" max="15" width="8.7109375" style="401" customWidth="1"/>
    <col min="16" max="257" width="9.140625" style="401"/>
    <col min="258" max="258" width="3.7109375" style="401" customWidth="1"/>
    <col min="259" max="259" width="14.42578125" style="401" customWidth="1"/>
    <col min="260" max="260" width="3.7109375" style="401" customWidth="1"/>
    <col min="261" max="261" width="22.5703125" style="401" customWidth="1"/>
    <col min="262" max="271" width="8.7109375" style="401" customWidth="1"/>
    <col min="272" max="513" width="9.140625" style="401"/>
    <col min="514" max="514" width="3.7109375" style="401" customWidth="1"/>
    <col min="515" max="515" width="14.42578125" style="401" customWidth="1"/>
    <col min="516" max="516" width="3.7109375" style="401" customWidth="1"/>
    <col min="517" max="517" width="22.5703125" style="401" customWidth="1"/>
    <col min="518" max="527" width="8.7109375" style="401" customWidth="1"/>
    <col min="528" max="769" width="9.140625" style="401"/>
    <col min="770" max="770" width="3.7109375" style="401" customWidth="1"/>
    <col min="771" max="771" width="14.42578125" style="401" customWidth="1"/>
    <col min="772" max="772" width="3.7109375" style="401" customWidth="1"/>
    <col min="773" max="773" width="22.5703125" style="401" customWidth="1"/>
    <col min="774" max="783" width="8.7109375" style="401" customWidth="1"/>
    <col min="784" max="1025" width="9.140625" style="401"/>
    <col min="1026" max="1026" width="3.7109375" style="401" customWidth="1"/>
    <col min="1027" max="1027" width="14.42578125" style="401" customWidth="1"/>
    <col min="1028" max="1028" width="3.7109375" style="401" customWidth="1"/>
    <col min="1029" max="1029" width="22.5703125" style="401" customWidth="1"/>
    <col min="1030" max="1039" width="8.7109375" style="401" customWidth="1"/>
    <col min="1040" max="1281" width="9.140625" style="401"/>
    <col min="1282" max="1282" width="3.7109375" style="401" customWidth="1"/>
    <col min="1283" max="1283" width="14.42578125" style="401" customWidth="1"/>
    <col min="1284" max="1284" width="3.7109375" style="401" customWidth="1"/>
    <col min="1285" max="1285" width="22.5703125" style="401" customWidth="1"/>
    <col min="1286" max="1295" width="8.7109375" style="401" customWidth="1"/>
    <col min="1296" max="1537" width="9.140625" style="401"/>
    <col min="1538" max="1538" width="3.7109375" style="401" customWidth="1"/>
    <col min="1539" max="1539" width="14.42578125" style="401" customWidth="1"/>
    <col min="1540" max="1540" width="3.7109375" style="401" customWidth="1"/>
    <col min="1541" max="1541" width="22.5703125" style="401" customWidth="1"/>
    <col min="1542" max="1551" width="8.7109375" style="401" customWidth="1"/>
    <col min="1552" max="1793" width="9.140625" style="401"/>
    <col min="1794" max="1794" width="3.7109375" style="401" customWidth="1"/>
    <col min="1795" max="1795" width="14.42578125" style="401" customWidth="1"/>
    <col min="1796" max="1796" width="3.7109375" style="401" customWidth="1"/>
    <col min="1797" max="1797" width="22.5703125" style="401" customWidth="1"/>
    <col min="1798" max="1807" width="8.7109375" style="401" customWidth="1"/>
    <col min="1808" max="2049" width="9.140625" style="401"/>
    <col min="2050" max="2050" width="3.7109375" style="401" customWidth="1"/>
    <col min="2051" max="2051" width="14.42578125" style="401" customWidth="1"/>
    <col min="2052" max="2052" width="3.7109375" style="401" customWidth="1"/>
    <col min="2053" max="2053" width="22.5703125" style="401" customWidth="1"/>
    <col min="2054" max="2063" width="8.7109375" style="401" customWidth="1"/>
    <col min="2064" max="2305" width="9.140625" style="401"/>
    <col min="2306" max="2306" width="3.7109375" style="401" customWidth="1"/>
    <col min="2307" max="2307" width="14.42578125" style="401" customWidth="1"/>
    <col min="2308" max="2308" width="3.7109375" style="401" customWidth="1"/>
    <col min="2309" max="2309" width="22.5703125" style="401" customWidth="1"/>
    <col min="2310" max="2319" width="8.7109375" style="401" customWidth="1"/>
    <col min="2320" max="2561" width="9.140625" style="401"/>
    <col min="2562" max="2562" width="3.7109375" style="401" customWidth="1"/>
    <col min="2563" max="2563" width="14.42578125" style="401" customWidth="1"/>
    <col min="2564" max="2564" width="3.7109375" style="401" customWidth="1"/>
    <col min="2565" max="2565" width="22.5703125" style="401" customWidth="1"/>
    <col min="2566" max="2575" width="8.7109375" style="401" customWidth="1"/>
    <col min="2576" max="2817" width="9.140625" style="401"/>
    <col min="2818" max="2818" width="3.7109375" style="401" customWidth="1"/>
    <col min="2819" max="2819" width="14.42578125" style="401" customWidth="1"/>
    <col min="2820" max="2820" width="3.7109375" style="401" customWidth="1"/>
    <col min="2821" max="2821" width="22.5703125" style="401" customWidth="1"/>
    <col min="2822" max="2831" width="8.7109375" style="401" customWidth="1"/>
    <col min="2832" max="3073" width="9.140625" style="401"/>
    <col min="3074" max="3074" width="3.7109375" style="401" customWidth="1"/>
    <col min="3075" max="3075" width="14.42578125" style="401" customWidth="1"/>
    <col min="3076" max="3076" width="3.7109375" style="401" customWidth="1"/>
    <col min="3077" max="3077" width="22.5703125" style="401" customWidth="1"/>
    <col min="3078" max="3087" width="8.7109375" style="401" customWidth="1"/>
    <col min="3088" max="3329" width="9.140625" style="401"/>
    <col min="3330" max="3330" width="3.7109375" style="401" customWidth="1"/>
    <col min="3331" max="3331" width="14.42578125" style="401" customWidth="1"/>
    <col min="3332" max="3332" width="3.7109375" style="401" customWidth="1"/>
    <col min="3333" max="3333" width="22.5703125" style="401" customWidth="1"/>
    <col min="3334" max="3343" width="8.7109375" style="401" customWidth="1"/>
    <col min="3344" max="3585" width="9.140625" style="401"/>
    <col min="3586" max="3586" width="3.7109375" style="401" customWidth="1"/>
    <col min="3587" max="3587" width="14.42578125" style="401" customWidth="1"/>
    <col min="3588" max="3588" width="3.7109375" style="401" customWidth="1"/>
    <col min="3589" max="3589" width="22.5703125" style="401" customWidth="1"/>
    <col min="3590" max="3599" width="8.7109375" style="401" customWidth="1"/>
    <col min="3600" max="3841" width="9.140625" style="401"/>
    <col min="3842" max="3842" width="3.7109375" style="401" customWidth="1"/>
    <col min="3843" max="3843" width="14.42578125" style="401" customWidth="1"/>
    <col min="3844" max="3844" width="3.7109375" style="401" customWidth="1"/>
    <col min="3845" max="3845" width="22.5703125" style="401" customWidth="1"/>
    <col min="3846" max="3855" width="8.7109375" style="401" customWidth="1"/>
    <col min="3856" max="4097" width="9.140625" style="401"/>
    <col min="4098" max="4098" width="3.7109375" style="401" customWidth="1"/>
    <col min="4099" max="4099" width="14.42578125" style="401" customWidth="1"/>
    <col min="4100" max="4100" width="3.7109375" style="401" customWidth="1"/>
    <col min="4101" max="4101" width="22.5703125" style="401" customWidth="1"/>
    <col min="4102" max="4111" width="8.7109375" style="401" customWidth="1"/>
    <col min="4112" max="4353" width="9.140625" style="401"/>
    <col min="4354" max="4354" width="3.7109375" style="401" customWidth="1"/>
    <col min="4355" max="4355" width="14.42578125" style="401" customWidth="1"/>
    <col min="4356" max="4356" width="3.7109375" style="401" customWidth="1"/>
    <col min="4357" max="4357" width="22.5703125" style="401" customWidth="1"/>
    <col min="4358" max="4367" width="8.7109375" style="401" customWidth="1"/>
    <col min="4368" max="4609" width="9.140625" style="401"/>
    <col min="4610" max="4610" width="3.7109375" style="401" customWidth="1"/>
    <col min="4611" max="4611" width="14.42578125" style="401" customWidth="1"/>
    <col min="4612" max="4612" width="3.7109375" style="401" customWidth="1"/>
    <col min="4613" max="4613" width="22.5703125" style="401" customWidth="1"/>
    <col min="4614" max="4623" width="8.7109375" style="401" customWidth="1"/>
    <col min="4624" max="4865" width="9.140625" style="401"/>
    <col min="4866" max="4866" width="3.7109375" style="401" customWidth="1"/>
    <col min="4867" max="4867" width="14.42578125" style="401" customWidth="1"/>
    <col min="4868" max="4868" width="3.7109375" style="401" customWidth="1"/>
    <col min="4869" max="4869" width="22.5703125" style="401" customWidth="1"/>
    <col min="4870" max="4879" width="8.7109375" style="401" customWidth="1"/>
    <col min="4880" max="5121" width="9.140625" style="401"/>
    <col min="5122" max="5122" width="3.7109375" style="401" customWidth="1"/>
    <col min="5123" max="5123" width="14.42578125" style="401" customWidth="1"/>
    <col min="5124" max="5124" width="3.7109375" style="401" customWidth="1"/>
    <col min="5125" max="5125" width="22.5703125" style="401" customWidth="1"/>
    <col min="5126" max="5135" width="8.7109375" style="401" customWidth="1"/>
    <col min="5136" max="5377" width="9.140625" style="401"/>
    <col min="5378" max="5378" width="3.7109375" style="401" customWidth="1"/>
    <col min="5379" max="5379" width="14.42578125" style="401" customWidth="1"/>
    <col min="5380" max="5380" width="3.7109375" style="401" customWidth="1"/>
    <col min="5381" max="5381" width="22.5703125" style="401" customWidth="1"/>
    <col min="5382" max="5391" width="8.7109375" style="401" customWidth="1"/>
    <col min="5392" max="5633" width="9.140625" style="401"/>
    <col min="5634" max="5634" width="3.7109375" style="401" customWidth="1"/>
    <col min="5635" max="5635" width="14.42578125" style="401" customWidth="1"/>
    <col min="5636" max="5636" width="3.7109375" style="401" customWidth="1"/>
    <col min="5637" max="5637" width="22.5703125" style="401" customWidth="1"/>
    <col min="5638" max="5647" width="8.7109375" style="401" customWidth="1"/>
    <col min="5648" max="5889" width="9.140625" style="401"/>
    <col min="5890" max="5890" width="3.7109375" style="401" customWidth="1"/>
    <col min="5891" max="5891" width="14.42578125" style="401" customWidth="1"/>
    <col min="5892" max="5892" width="3.7109375" style="401" customWidth="1"/>
    <col min="5893" max="5893" width="22.5703125" style="401" customWidth="1"/>
    <col min="5894" max="5903" width="8.7109375" style="401" customWidth="1"/>
    <col min="5904" max="6145" width="9.140625" style="401"/>
    <col min="6146" max="6146" width="3.7109375" style="401" customWidth="1"/>
    <col min="6147" max="6147" width="14.42578125" style="401" customWidth="1"/>
    <col min="6148" max="6148" width="3.7109375" style="401" customWidth="1"/>
    <col min="6149" max="6149" width="22.5703125" style="401" customWidth="1"/>
    <col min="6150" max="6159" width="8.7109375" style="401" customWidth="1"/>
    <col min="6160" max="6401" width="9.140625" style="401"/>
    <col min="6402" max="6402" width="3.7109375" style="401" customWidth="1"/>
    <col min="6403" max="6403" width="14.42578125" style="401" customWidth="1"/>
    <col min="6404" max="6404" width="3.7109375" style="401" customWidth="1"/>
    <col min="6405" max="6405" width="22.5703125" style="401" customWidth="1"/>
    <col min="6406" max="6415" width="8.7109375" style="401" customWidth="1"/>
    <col min="6416" max="6657" width="9.140625" style="401"/>
    <col min="6658" max="6658" width="3.7109375" style="401" customWidth="1"/>
    <col min="6659" max="6659" width="14.42578125" style="401" customWidth="1"/>
    <col min="6660" max="6660" width="3.7109375" style="401" customWidth="1"/>
    <col min="6661" max="6661" width="22.5703125" style="401" customWidth="1"/>
    <col min="6662" max="6671" width="8.7109375" style="401" customWidth="1"/>
    <col min="6672" max="6913" width="9.140625" style="401"/>
    <col min="6914" max="6914" width="3.7109375" style="401" customWidth="1"/>
    <col min="6915" max="6915" width="14.42578125" style="401" customWidth="1"/>
    <col min="6916" max="6916" width="3.7109375" style="401" customWidth="1"/>
    <col min="6917" max="6917" width="22.5703125" style="401" customWidth="1"/>
    <col min="6918" max="6927" width="8.7109375" style="401" customWidth="1"/>
    <col min="6928" max="7169" width="9.140625" style="401"/>
    <col min="7170" max="7170" width="3.7109375" style="401" customWidth="1"/>
    <col min="7171" max="7171" width="14.42578125" style="401" customWidth="1"/>
    <col min="7172" max="7172" width="3.7109375" style="401" customWidth="1"/>
    <col min="7173" max="7173" width="22.5703125" style="401" customWidth="1"/>
    <col min="7174" max="7183" width="8.7109375" style="401" customWidth="1"/>
    <col min="7184" max="7425" width="9.140625" style="401"/>
    <col min="7426" max="7426" width="3.7109375" style="401" customWidth="1"/>
    <col min="7427" max="7427" width="14.42578125" style="401" customWidth="1"/>
    <col min="7428" max="7428" width="3.7109375" style="401" customWidth="1"/>
    <col min="7429" max="7429" width="22.5703125" style="401" customWidth="1"/>
    <col min="7430" max="7439" width="8.7109375" style="401" customWidth="1"/>
    <col min="7440" max="7681" width="9.140625" style="401"/>
    <col min="7682" max="7682" width="3.7109375" style="401" customWidth="1"/>
    <col min="7683" max="7683" width="14.42578125" style="401" customWidth="1"/>
    <col min="7684" max="7684" width="3.7109375" style="401" customWidth="1"/>
    <col min="7685" max="7685" width="22.5703125" style="401" customWidth="1"/>
    <col min="7686" max="7695" width="8.7109375" style="401" customWidth="1"/>
    <col min="7696" max="7937" width="9.140625" style="401"/>
    <col min="7938" max="7938" width="3.7109375" style="401" customWidth="1"/>
    <col min="7939" max="7939" width="14.42578125" style="401" customWidth="1"/>
    <col min="7940" max="7940" width="3.7109375" style="401" customWidth="1"/>
    <col min="7941" max="7941" width="22.5703125" style="401" customWidth="1"/>
    <col min="7942" max="7951" width="8.7109375" style="401" customWidth="1"/>
    <col min="7952" max="8193" width="9.140625" style="401"/>
    <col min="8194" max="8194" width="3.7109375" style="401" customWidth="1"/>
    <col min="8195" max="8195" width="14.42578125" style="401" customWidth="1"/>
    <col min="8196" max="8196" width="3.7109375" style="401" customWidth="1"/>
    <col min="8197" max="8197" width="22.5703125" style="401" customWidth="1"/>
    <col min="8198" max="8207" width="8.7109375" style="401" customWidth="1"/>
    <col min="8208" max="8449" width="9.140625" style="401"/>
    <col min="8450" max="8450" width="3.7109375" style="401" customWidth="1"/>
    <col min="8451" max="8451" width="14.42578125" style="401" customWidth="1"/>
    <col min="8452" max="8452" width="3.7109375" style="401" customWidth="1"/>
    <col min="8453" max="8453" width="22.5703125" style="401" customWidth="1"/>
    <col min="8454" max="8463" width="8.7109375" style="401" customWidth="1"/>
    <col min="8464" max="8705" width="9.140625" style="401"/>
    <col min="8706" max="8706" width="3.7109375" style="401" customWidth="1"/>
    <col min="8707" max="8707" width="14.42578125" style="401" customWidth="1"/>
    <col min="8708" max="8708" width="3.7109375" style="401" customWidth="1"/>
    <col min="8709" max="8709" width="22.5703125" style="401" customWidth="1"/>
    <col min="8710" max="8719" width="8.7109375" style="401" customWidth="1"/>
    <col min="8720" max="8961" width="9.140625" style="401"/>
    <col min="8962" max="8962" width="3.7109375" style="401" customWidth="1"/>
    <col min="8963" max="8963" width="14.42578125" style="401" customWidth="1"/>
    <col min="8964" max="8964" width="3.7109375" style="401" customWidth="1"/>
    <col min="8965" max="8965" width="22.5703125" style="401" customWidth="1"/>
    <col min="8966" max="8975" width="8.7109375" style="401" customWidth="1"/>
    <col min="8976" max="9217" width="9.140625" style="401"/>
    <col min="9218" max="9218" width="3.7109375" style="401" customWidth="1"/>
    <col min="9219" max="9219" width="14.42578125" style="401" customWidth="1"/>
    <col min="9220" max="9220" width="3.7109375" style="401" customWidth="1"/>
    <col min="9221" max="9221" width="22.5703125" style="401" customWidth="1"/>
    <col min="9222" max="9231" width="8.7109375" style="401" customWidth="1"/>
    <col min="9232" max="9473" width="9.140625" style="401"/>
    <col min="9474" max="9474" width="3.7109375" style="401" customWidth="1"/>
    <col min="9475" max="9475" width="14.42578125" style="401" customWidth="1"/>
    <col min="9476" max="9476" width="3.7109375" style="401" customWidth="1"/>
    <col min="9477" max="9477" width="22.5703125" style="401" customWidth="1"/>
    <col min="9478" max="9487" width="8.7109375" style="401" customWidth="1"/>
    <col min="9488" max="9729" width="9.140625" style="401"/>
    <col min="9730" max="9730" width="3.7109375" style="401" customWidth="1"/>
    <col min="9731" max="9731" width="14.42578125" style="401" customWidth="1"/>
    <col min="9732" max="9732" width="3.7109375" style="401" customWidth="1"/>
    <col min="9733" max="9733" width="22.5703125" style="401" customWidth="1"/>
    <col min="9734" max="9743" width="8.7109375" style="401" customWidth="1"/>
    <col min="9744" max="9985" width="9.140625" style="401"/>
    <col min="9986" max="9986" width="3.7109375" style="401" customWidth="1"/>
    <col min="9987" max="9987" width="14.42578125" style="401" customWidth="1"/>
    <col min="9988" max="9988" width="3.7109375" style="401" customWidth="1"/>
    <col min="9989" max="9989" width="22.5703125" style="401" customWidth="1"/>
    <col min="9990" max="9999" width="8.7109375" style="401" customWidth="1"/>
    <col min="10000" max="10241" width="9.140625" style="401"/>
    <col min="10242" max="10242" width="3.7109375" style="401" customWidth="1"/>
    <col min="10243" max="10243" width="14.42578125" style="401" customWidth="1"/>
    <col min="10244" max="10244" width="3.7109375" style="401" customWidth="1"/>
    <col min="10245" max="10245" width="22.5703125" style="401" customWidth="1"/>
    <col min="10246" max="10255" width="8.7109375" style="401" customWidth="1"/>
    <col min="10256" max="10497" width="9.140625" style="401"/>
    <col min="10498" max="10498" width="3.7109375" style="401" customWidth="1"/>
    <col min="10499" max="10499" width="14.42578125" style="401" customWidth="1"/>
    <col min="10500" max="10500" width="3.7109375" style="401" customWidth="1"/>
    <col min="10501" max="10501" width="22.5703125" style="401" customWidth="1"/>
    <col min="10502" max="10511" width="8.7109375" style="401" customWidth="1"/>
    <col min="10512" max="10753" width="9.140625" style="401"/>
    <col min="10754" max="10754" width="3.7109375" style="401" customWidth="1"/>
    <col min="10755" max="10755" width="14.42578125" style="401" customWidth="1"/>
    <col min="10756" max="10756" width="3.7109375" style="401" customWidth="1"/>
    <col min="10757" max="10757" width="22.5703125" style="401" customWidth="1"/>
    <col min="10758" max="10767" width="8.7109375" style="401" customWidth="1"/>
    <col min="10768" max="11009" width="9.140625" style="401"/>
    <col min="11010" max="11010" width="3.7109375" style="401" customWidth="1"/>
    <col min="11011" max="11011" width="14.42578125" style="401" customWidth="1"/>
    <col min="11012" max="11012" width="3.7109375" style="401" customWidth="1"/>
    <col min="11013" max="11013" width="22.5703125" style="401" customWidth="1"/>
    <col min="11014" max="11023" width="8.7109375" style="401" customWidth="1"/>
    <col min="11024" max="11265" width="9.140625" style="401"/>
    <col min="11266" max="11266" width="3.7109375" style="401" customWidth="1"/>
    <col min="11267" max="11267" width="14.42578125" style="401" customWidth="1"/>
    <col min="11268" max="11268" width="3.7109375" style="401" customWidth="1"/>
    <col min="11269" max="11269" width="22.5703125" style="401" customWidth="1"/>
    <col min="11270" max="11279" width="8.7109375" style="401" customWidth="1"/>
    <col min="11280" max="11521" width="9.140625" style="401"/>
    <col min="11522" max="11522" width="3.7109375" style="401" customWidth="1"/>
    <col min="11523" max="11523" width="14.42578125" style="401" customWidth="1"/>
    <col min="11524" max="11524" width="3.7109375" style="401" customWidth="1"/>
    <col min="11525" max="11525" width="22.5703125" style="401" customWidth="1"/>
    <col min="11526" max="11535" width="8.7109375" style="401" customWidth="1"/>
    <col min="11536" max="11777" width="9.140625" style="401"/>
    <col min="11778" max="11778" width="3.7109375" style="401" customWidth="1"/>
    <col min="11779" max="11779" width="14.42578125" style="401" customWidth="1"/>
    <col min="11780" max="11780" width="3.7109375" style="401" customWidth="1"/>
    <col min="11781" max="11781" width="22.5703125" style="401" customWidth="1"/>
    <col min="11782" max="11791" width="8.7109375" style="401" customWidth="1"/>
    <col min="11792" max="12033" width="9.140625" style="401"/>
    <col min="12034" max="12034" width="3.7109375" style="401" customWidth="1"/>
    <col min="12035" max="12035" width="14.42578125" style="401" customWidth="1"/>
    <col min="12036" max="12036" width="3.7109375" style="401" customWidth="1"/>
    <col min="12037" max="12037" width="22.5703125" style="401" customWidth="1"/>
    <col min="12038" max="12047" width="8.7109375" style="401" customWidth="1"/>
    <col min="12048" max="12289" width="9.140625" style="401"/>
    <col min="12290" max="12290" width="3.7109375" style="401" customWidth="1"/>
    <col min="12291" max="12291" width="14.42578125" style="401" customWidth="1"/>
    <col min="12292" max="12292" width="3.7109375" style="401" customWidth="1"/>
    <col min="12293" max="12293" width="22.5703125" style="401" customWidth="1"/>
    <col min="12294" max="12303" width="8.7109375" style="401" customWidth="1"/>
    <col min="12304" max="12545" width="9.140625" style="401"/>
    <col min="12546" max="12546" width="3.7109375" style="401" customWidth="1"/>
    <col min="12547" max="12547" width="14.42578125" style="401" customWidth="1"/>
    <col min="12548" max="12548" width="3.7109375" style="401" customWidth="1"/>
    <col min="12549" max="12549" width="22.5703125" style="401" customWidth="1"/>
    <col min="12550" max="12559" width="8.7109375" style="401" customWidth="1"/>
    <col min="12560" max="12801" width="9.140625" style="401"/>
    <col min="12802" max="12802" width="3.7109375" style="401" customWidth="1"/>
    <col min="12803" max="12803" width="14.42578125" style="401" customWidth="1"/>
    <col min="12804" max="12804" width="3.7109375" style="401" customWidth="1"/>
    <col min="12805" max="12805" width="22.5703125" style="401" customWidth="1"/>
    <col min="12806" max="12815" width="8.7109375" style="401" customWidth="1"/>
    <col min="12816" max="13057" width="9.140625" style="401"/>
    <col min="13058" max="13058" width="3.7109375" style="401" customWidth="1"/>
    <col min="13059" max="13059" width="14.42578125" style="401" customWidth="1"/>
    <col min="13060" max="13060" width="3.7109375" style="401" customWidth="1"/>
    <col min="13061" max="13061" width="22.5703125" style="401" customWidth="1"/>
    <col min="13062" max="13071" width="8.7109375" style="401" customWidth="1"/>
    <col min="13072" max="13313" width="9.140625" style="401"/>
    <col min="13314" max="13314" width="3.7109375" style="401" customWidth="1"/>
    <col min="13315" max="13315" width="14.42578125" style="401" customWidth="1"/>
    <col min="13316" max="13316" width="3.7109375" style="401" customWidth="1"/>
    <col min="13317" max="13317" width="22.5703125" style="401" customWidth="1"/>
    <col min="13318" max="13327" width="8.7109375" style="401" customWidth="1"/>
    <col min="13328" max="13569" width="9.140625" style="401"/>
    <col min="13570" max="13570" width="3.7109375" style="401" customWidth="1"/>
    <col min="13571" max="13571" width="14.42578125" style="401" customWidth="1"/>
    <col min="13572" max="13572" width="3.7109375" style="401" customWidth="1"/>
    <col min="13573" max="13573" width="22.5703125" style="401" customWidth="1"/>
    <col min="13574" max="13583" width="8.7109375" style="401" customWidth="1"/>
    <col min="13584" max="13825" width="9.140625" style="401"/>
    <col min="13826" max="13826" width="3.7109375" style="401" customWidth="1"/>
    <col min="13827" max="13827" width="14.42578125" style="401" customWidth="1"/>
    <col min="13828" max="13828" width="3.7109375" style="401" customWidth="1"/>
    <col min="13829" max="13829" width="22.5703125" style="401" customWidth="1"/>
    <col min="13830" max="13839" width="8.7109375" style="401" customWidth="1"/>
    <col min="13840" max="14081" width="9.140625" style="401"/>
    <col min="14082" max="14082" width="3.7109375" style="401" customWidth="1"/>
    <col min="14083" max="14083" width="14.42578125" style="401" customWidth="1"/>
    <col min="14084" max="14084" width="3.7109375" style="401" customWidth="1"/>
    <col min="14085" max="14085" width="22.5703125" style="401" customWidth="1"/>
    <col min="14086" max="14095" width="8.7109375" style="401" customWidth="1"/>
    <col min="14096" max="14337" width="9.140625" style="401"/>
    <col min="14338" max="14338" width="3.7109375" style="401" customWidth="1"/>
    <col min="14339" max="14339" width="14.42578125" style="401" customWidth="1"/>
    <col min="14340" max="14340" width="3.7109375" style="401" customWidth="1"/>
    <col min="14341" max="14341" width="22.5703125" style="401" customWidth="1"/>
    <col min="14342" max="14351" width="8.7109375" style="401" customWidth="1"/>
    <col min="14352" max="14593" width="9.140625" style="401"/>
    <col min="14594" max="14594" width="3.7109375" style="401" customWidth="1"/>
    <col min="14595" max="14595" width="14.42578125" style="401" customWidth="1"/>
    <col min="14596" max="14596" width="3.7109375" style="401" customWidth="1"/>
    <col min="14597" max="14597" width="22.5703125" style="401" customWidth="1"/>
    <col min="14598" max="14607" width="8.7109375" style="401" customWidth="1"/>
    <col min="14608" max="14849" width="9.140625" style="401"/>
    <col min="14850" max="14850" width="3.7109375" style="401" customWidth="1"/>
    <col min="14851" max="14851" width="14.42578125" style="401" customWidth="1"/>
    <col min="14852" max="14852" width="3.7109375" style="401" customWidth="1"/>
    <col min="14853" max="14853" width="22.5703125" style="401" customWidth="1"/>
    <col min="14854" max="14863" width="8.7109375" style="401" customWidth="1"/>
    <col min="14864" max="15105" width="9.140625" style="401"/>
    <col min="15106" max="15106" width="3.7109375" style="401" customWidth="1"/>
    <col min="15107" max="15107" width="14.42578125" style="401" customWidth="1"/>
    <col min="15108" max="15108" width="3.7109375" style="401" customWidth="1"/>
    <col min="15109" max="15109" width="22.5703125" style="401" customWidth="1"/>
    <col min="15110" max="15119" width="8.7109375" style="401" customWidth="1"/>
    <col min="15120" max="15361" width="9.140625" style="401"/>
    <col min="15362" max="15362" width="3.7109375" style="401" customWidth="1"/>
    <col min="15363" max="15363" width="14.42578125" style="401" customWidth="1"/>
    <col min="15364" max="15364" width="3.7109375" style="401" customWidth="1"/>
    <col min="15365" max="15365" width="22.5703125" style="401" customWidth="1"/>
    <col min="15366" max="15375" width="8.7109375" style="401" customWidth="1"/>
    <col min="15376" max="15617" width="9.140625" style="401"/>
    <col min="15618" max="15618" width="3.7109375" style="401" customWidth="1"/>
    <col min="15619" max="15619" width="14.42578125" style="401" customWidth="1"/>
    <col min="15620" max="15620" width="3.7109375" style="401" customWidth="1"/>
    <col min="15621" max="15621" width="22.5703125" style="401" customWidth="1"/>
    <col min="15622" max="15631" width="8.7109375" style="401" customWidth="1"/>
    <col min="15632" max="15873" width="9.140625" style="401"/>
    <col min="15874" max="15874" width="3.7109375" style="401" customWidth="1"/>
    <col min="15875" max="15875" width="14.42578125" style="401" customWidth="1"/>
    <col min="15876" max="15876" width="3.7109375" style="401" customWidth="1"/>
    <col min="15877" max="15877" width="22.5703125" style="401" customWidth="1"/>
    <col min="15878" max="15887" width="8.7109375" style="401" customWidth="1"/>
    <col min="15888" max="16129" width="9.140625" style="401"/>
    <col min="16130" max="16130" width="3.7109375" style="401" customWidth="1"/>
    <col min="16131" max="16131" width="14.42578125" style="401" customWidth="1"/>
    <col min="16132" max="16132" width="3.7109375" style="401" customWidth="1"/>
    <col min="16133" max="16133" width="22.5703125" style="401" customWidth="1"/>
    <col min="16134" max="16143" width="8.7109375" style="401" customWidth="1"/>
    <col min="16144" max="16384" width="9.140625" style="401"/>
  </cols>
  <sheetData>
    <row r="1" spans="1:22" ht="12.75" customHeight="1" x14ac:dyDescent="0.2">
      <c r="A1" s="835"/>
      <c r="B1" s="1791"/>
      <c r="C1" s="1791"/>
      <c r="D1" s="628"/>
      <c r="E1" s="628"/>
      <c r="F1" s="628"/>
      <c r="G1" s="628"/>
      <c r="H1" s="628"/>
      <c r="I1" s="628"/>
      <c r="J1" s="628"/>
      <c r="K1" s="628"/>
      <c r="L1" s="628"/>
      <c r="M1" s="628"/>
      <c r="N1" s="628"/>
      <c r="O1" s="628"/>
      <c r="P1" s="628"/>
      <c r="Q1" s="628"/>
      <c r="R1" s="628"/>
      <c r="S1" s="628"/>
      <c r="T1" s="628"/>
      <c r="U1" s="628"/>
    </row>
    <row r="2" spans="1:22" ht="12.75" customHeight="1" x14ac:dyDescent="0.2">
      <c r="A2" s="835">
        <v>1</v>
      </c>
      <c r="B2" s="835" t="s">
        <v>89</v>
      </c>
      <c r="C2" s="835">
        <f>1+Tourism!C2</f>
        <v>77</v>
      </c>
      <c r="D2" s="3615" t="s">
        <v>1813</v>
      </c>
      <c r="E2" s="3616"/>
      <c r="F2" s="3616"/>
      <c r="G2" s="3616"/>
      <c r="H2" s="3616"/>
      <c r="I2" s="3616"/>
      <c r="J2" s="3616"/>
      <c r="K2" s="3616"/>
      <c r="L2" s="3616"/>
      <c r="M2" s="3616"/>
      <c r="N2" s="3616"/>
      <c r="O2" s="3616"/>
      <c r="P2" s="3616"/>
      <c r="Q2" s="3616"/>
      <c r="R2" s="3617"/>
      <c r="S2" s="784"/>
      <c r="T2" s="784"/>
      <c r="U2" s="784"/>
      <c r="V2" s="406"/>
    </row>
    <row r="3" spans="1:22" ht="15.75" customHeight="1" x14ac:dyDescent="0.2">
      <c r="A3" s="835">
        <v>2</v>
      </c>
      <c r="B3" s="835" t="s">
        <v>91</v>
      </c>
      <c r="C3" s="835"/>
      <c r="D3" s="3615" t="s">
        <v>1791</v>
      </c>
      <c r="E3" s="3616"/>
      <c r="F3" s="3616"/>
      <c r="G3" s="3616"/>
      <c r="H3" s="3616"/>
      <c r="I3" s="3616"/>
      <c r="J3" s="3616"/>
      <c r="K3" s="3616"/>
      <c r="L3" s="3616"/>
      <c r="M3" s="3616"/>
      <c r="N3" s="3616"/>
      <c r="O3" s="3616"/>
      <c r="P3" s="3616"/>
      <c r="Q3" s="3616"/>
      <c r="R3" s="3617"/>
      <c r="S3" s="432"/>
      <c r="T3" s="432"/>
      <c r="U3" s="432"/>
    </row>
    <row r="4" spans="1:22" ht="30.75" customHeight="1" x14ac:dyDescent="0.2">
      <c r="A4" s="835">
        <v>3</v>
      </c>
      <c r="B4" s="835" t="s">
        <v>28</v>
      </c>
      <c r="C4" s="835"/>
      <c r="D4" s="3615" t="s">
        <v>1814</v>
      </c>
      <c r="E4" s="3616"/>
      <c r="F4" s="3616"/>
      <c r="G4" s="3616"/>
      <c r="H4" s="3616"/>
      <c r="I4" s="3616"/>
      <c r="J4" s="3616"/>
      <c r="K4" s="3616"/>
      <c r="L4" s="3616"/>
      <c r="M4" s="3616"/>
      <c r="N4" s="3616"/>
      <c r="O4" s="3616"/>
      <c r="P4" s="3616"/>
      <c r="Q4" s="3616"/>
      <c r="R4" s="3617"/>
      <c r="S4" s="432"/>
      <c r="T4" s="432"/>
      <c r="U4" s="432"/>
    </row>
    <row r="5" spans="1:22" ht="12.75" customHeight="1" x14ac:dyDescent="0.2">
      <c r="A5" s="1792"/>
      <c r="B5" s="418"/>
      <c r="C5" s="418"/>
      <c r="D5" s="628"/>
      <c r="E5" s="628"/>
      <c r="F5" s="628"/>
      <c r="G5" s="628"/>
      <c r="H5" s="628"/>
      <c r="I5" s="628"/>
      <c r="J5" s="628"/>
      <c r="K5" s="628"/>
      <c r="L5" s="628"/>
      <c r="M5" s="628"/>
      <c r="N5" s="628"/>
      <c r="O5" s="628"/>
      <c r="P5" s="628"/>
      <c r="Q5" s="628"/>
      <c r="R5" s="628"/>
      <c r="S5" s="628"/>
      <c r="T5" s="628"/>
      <c r="U5" s="628"/>
    </row>
    <row r="6" spans="1:22" ht="12.75" customHeight="1" x14ac:dyDescent="0.2">
      <c r="A6" s="835">
        <v>4</v>
      </c>
      <c r="B6" s="418" t="s">
        <v>1</v>
      </c>
      <c r="D6" s="655" t="s">
        <v>710</v>
      </c>
      <c r="E6" s="655" t="s">
        <v>1815</v>
      </c>
      <c r="F6" s="1514"/>
      <c r="G6" s="1514"/>
      <c r="H6" s="1514"/>
      <c r="I6" s="1514"/>
      <c r="J6" s="1514"/>
      <c r="K6" s="1514"/>
      <c r="L6" s="1514"/>
      <c r="M6" s="1427"/>
      <c r="N6" s="1427"/>
      <c r="O6" s="1427"/>
      <c r="P6" s="432"/>
      <c r="Q6" s="432"/>
      <c r="R6" s="432"/>
      <c r="S6" s="432"/>
    </row>
    <row r="7" spans="1:22" ht="19.5" customHeight="1" x14ac:dyDescent="0.2">
      <c r="D7" s="3092"/>
      <c r="E7" s="800" t="s">
        <v>132</v>
      </c>
      <c r="F7" s="800" t="s">
        <v>133</v>
      </c>
      <c r="G7" s="800" t="s">
        <v>134</v>
      </c>
      <c r="H7" s="800" t="s">
        <v>135</v>
      </c>
      <c r="I7" s="800" t="s">
        <v>136</v>
      </c>
      <c r="J7" s="800" t="s">
        <v>137</v>
      </c>
      <c r="K7" s="800" t="s">
        <v>138</v>
      </c>
      <c r="L7" s="800" t="s">
        <v>139</v>
      </c>
      <c r="M7" s="800" t="s">
        <v>140</v>
      </c>
      <c r="N7" s="1515" t="s">
        <v>141</v>
      </c>
      <c r="O7" s="799" t="s">
        <v>142</v>
      </c>
      <c r="P7" s="1515" t="s">
        <v>143</v>
      </c>
      <c r="Q7" s="1515" t="s">
        <v>144</v>
      </c>
      <c r="R7" s="3010" t="s">
        <v>145</v>
      </c>
      <c r="S7" s="438"/>
      <c r="T7" s="438"/>
    </row>
    <row r="8" spans="1:22" ht="13.5" customHeight="1" x14ac:dyDescent="0.2">
      <c r="D8" s="3033" t="s">
        <v>1524</v>
      </c>
      <c r="E8" s="432">
        <v>27</v>
      </c>
      <c r="F8" s="432">
        <v>28</v>
      </c>
      <c r="G8" s="432">
        <v>32</v>
      </c>
      <c r="H8" s="432">
        <v>37</v>
      </c>
      <c r="I8" s="432">
        <v>38</v>
      </c>
      <c r="J8" s="432">
        <v>39</v>
      </c>
      <c r="K8" s="432">
        <v>43</v>
      </c>
      <c r="L8" s="432">
        <v>46</v>
      </c>
      <c r="M8" s="432">
        <v>46</v>
      </c>
      <c r="N8" s="432">
        <v>47</v>
      </c>
      <c r="O8" s="432">
        <v>47</v>
      </c>
      <c r="P8" s="432">
        <v>47</v>
      </c>
      <c r="Q8" s="432">
        <v>47</v>
      </c>
      <c r="R8" s="2787">
        <v>47</v>
      </c>
      <c r="S8" s="432"/>
      <c r="T8" s="432"/>
    </row>
    <row r="9" spans="1:22" ht="13.5" customHeight="1" x14ac:dyDescent="0.2">
      <c r="D9" s="3033" t="s">
        <v>1816</v>
      </c>
      <c r="E9" s="432">
        <v>10</v>
      </c>
      <c r="F9" s="432">
        <v>10</v>
      </c>
      <c r="G9" s="432">
        <v>10</v>
      </c>
      <c r="H9" s="432">
        <v>10</v>
      </c>
      <c r="I9" s="432">
        <v>10</v>
      </c>
      <c r="J9" s="432">
        <v>11</v>
      </c>
      <c r="K9" s="432">
        <v>11</v>
      </c>
      <c r="L9" s="432">
        <v>11</v>
      </c>
      <c r="M9" s="432">
        <v>11</v>
      </c>
      <c r="N9" s="432">
        <v>11</v>
      </c>
      <c r="O9" s="432">
        <v>11</v>
      </c>
      <c r="P9" s="432">
        <v>11</v>
      </c>
      <c r="Q9" s="432">
        <v>11</v>
      </c>
      <c r="R9" s="2787">
        <v>11</v>
      </c>
      <c r="S9" s="432"/>
      <c r="T9" s="432"/>
    </row>
    <row r="10" spans="1:22" ht="13.5" customHeight="1" x14ac:dyDescent="0.2">
      <c r="D10" s="3033" t="s">
        <v>1817</v>
      </c>
      <c r="E10" s="432">
        <v>22</v>
      </c>
      <c r="F10" s="432">
        <v>26</v>
      </c>
      <c r="G10" s="432">
        <v>27</v>
      </c>
      <c r="H10" s="432">
        <v>27</v>
      </c>
      <c r="I10" s="432">
        <v>28</v>
      </c>
      <c r="J10" s="432">
        <v>30</v>
      </c>
      <c r="K10" s="432">
        <v>31</v>
      </c>
      <c r="L10" s="432">
        <v>32</v>
      </c>
      <c r="M10" s="432">
        <v>32</v>
      </c>
      <c r="N10" s="432">
        <v>32</v>
      </c>
      <c r="O10" s="432">
        <v>32</v>
      </c>
      <c r="P10" s="432">
        <v>32</v>
      </c>
      <c r="Q10" s="432">
        <v>32</v>
      </c>
      <c r="R10" s="2787">
        <v>32</v>
      </c>
      <c r="S10" s="432"/>
      <c r="T10" s="432"/>
    </row>
    <row r="11" spans="1:22" ht="13.5" customHeight="1" x14ac:dyDescent="0.2">
      <c r="D11" s="3033" t="s">
        <v>1818</v>
      </c>
      <c r="E11" s="432">
        <v>6</v>
      </c>
      <c r="F11" s="432">
        <v>6</v>
      </c>
      <c r="G11" s="432">
        <v>6</v>
      </c>
      <c r="H11" s="432">
        <v>7</v>
      </c>
      <c r="I11" s="432">
        <v>7</v>
      </c>
      <c r="J11" s="432">
        <v>7</v>
      </c>
      <c r="K11" s="432">
        <v>7</v>
      </c>
      <c r="L11" s="432">
        <v>7</v>
      </c>
      <c r="M11" s="432">
        <v>7</v>
      </c>
      <c r="N11" s="432">
        <v>7</v>
      </c>
      <c r="O11" s="432">
        <v>7</v>
      </c>
      <c r="P11" s="432">
        <v>7</v>
      </c>
      <c r="Q11" s="432">
        <v>7</v>
      </c>
      <c r="R11" s="2787">
        <v>7</v>
      </c>
      <c r="S11" s="432"/>
      <c r="T11" s="432"/>
    </row>
    <row r="12" spans="1:22" ht="13.5" customHeight="1" x14ac:dyDescent="0.2">
      <c r="D12" s="3033" t="s">
        <v>1819</v>
      </c>
      <c r="E12" s="432">
        <v>26</v>
      </c>
      <c r="F12" s="432">
        <v>26</v>
      </c>
      <c r="G12" s="432">
        <v>26</v>
      </c>
      <c r="H12" s="432">
        <v>26</v>
      </c>
      <c r="I12" s="432">
        <v>26</v>
      </c>
      <c r="J12" s="432">
        <v>27</v>
      </c>
      <c r="K12" s="432">
        <v>27</v>
      </c>
      <c r="L12" s="434">
        <v>28</v>
      </c>
      <c r="M12" s="434">
        <v>28</v>
      </c>
      <c r="N12" s="434">
        <v>28</v>
      </c>
      <c r="O12" s="434">
        <v>28</v>
      </c>
      <c r="P12" s="434">
        <v>28</v>
      </c>
      <c r="Q12" s="434">
        <v>28</v>
      </c>
      <c r="R12" s="3096">
        <v>28</v>
      </c>
      <c r="S12" s="432"/>
      <c r="T12" s="432"/>
    </row>
    <row r="13" spans="1:22" ht="13.5" customHeight="1" x14ac:dyDescent="0.2">
      <c r="C13" s="1327"/>
      <c r="D13" s="3093" t="s">
        <v>1820</v>
      </c>
      <c r="E13" s="1161">
        <v>91</v>
      </c>
      <c r="F13" s="1161">
        <v>96</v>
      </c>
      <c r="G13" s="1161">
        <v>101</v>
      </c>
      <c r="H13" s="1161">
        <v>107</v>
      </c>
      <c r="I13" s="1161">
        <v>109</v>
      </c>
      <c r="J13" s="1161">
        <v>114</v>
      </c>
      <c r="K13" s="1161">
        <v>119</v>
      </c>
      <c r="L13" s="983">
        <v>124</v>
      </c>
      <c r="M13" s="983">
        <v>124</v>
      </c>
      <c r="N13" s="983">
        <f>SUM(N8:N12)</f>
        <v>125</v>
      </c>
      <c r="O13" s="983">
        <f>SUM(O8:O12)</f>
        <v>125</v>
      </c>
      <c r="P13" s="983">
        <f>SUM(P8:P12)</f>
        <v>125</v>
      </c>
      <c r="Q13" s="983">
        <f>SUM(Q8:Q12)</f>
        <v>125</v>
      </c>
      <c r="R13" s="3097">
        <f>SUM(R8:R12)</f>
        <v>125</v>
      </c>
      <c r="S13" s="432"/>
      <c r="T13" s="432"/>
    </row>
    <row r="14" spans="1:22" ht="12.75" customHeight="1" x14ac:dyDescent="0.2">
      <c r="C14" s="1327"/>
      <c r="D14" s="629"/>
      <c r="E14" s="438"/>
      <c r="F14" s="438"/>
      <c r="G14" s="438"/>
      <c r="H14" s="438"/>
      <c r="I14" s="438"/>
      <c r="J14" s="438"/>
      <c r="K14" s="438"/>
      <c r="L14" s="432"/>
      <c r="M14" s="432"/>
      <c r="N14" s="432"/>
      <c r="O14" s="432"/>
      <c r="P14" s="432"/>
      <c r="Q14" s="426"/>
      <c r="R14" s="432"/>
      <c r="S14" s="432"/>
    </row>
    <row r="15" spans="1:22" ht="12.75" customHeight="1" x14ac:dyDescent="0.2">
      <c r="C15" s="1327"/>
      <c r="D15" s="424" t="s">
        <v>585</v>
      </c>
      <c r="E15" s="424" t="s">
        <v>1821</v>
      </c>
      <c r="F15" s="424"/>
      <c r="G15" s="1098"/>
      <c r="H15" s="424"/>
      <c r="I15" s="424"/>
      <c r="J15" s="424"/>
      <c r="K15" s="438"/>
      <c r="L15" s="432"/>
      <c r="M15" s="432"/>
      <c r="N15" s="432"/>
      <c r="O15" s="432"/>
      <c r="P15" s="432"/>
      <c r="Q15" s="426"/>
      <c r="R15" s="432"/>
      <c r="S15" s="432"/>
    </row>
    <row r="16" spans="1:22" ht="15" customHeight="1" x14ac:dyDescent="0.2">
      <c r="C16" s="1327"/>
      <c r="D16" s="3094"/>
      <c r="E16" s="635"/>
      <c r="F16" s="635"/>
      <c r="G16" s="432"/>
      <c r="H16" s="800">
        <v>2004</v>
      </c>
      <c r="I16" s="800">
        <v>2005</v>
      </c>
      <c r="J16" s="800">
        <v>2006</v>
      </c>
      <c r="K16" s="800">
        <v>2007</v>
      </c>
      <c r="L16" s="800">
        <v>2008</v>
      </c>
      <c r="M16" s="800">
        <v>2009</v>
      </c>
      <c r="N16" s="1515">
        <v>2010</v>
      </c>
      <c r="O16" s="1515">
        <v>2011</v>
      </c>
      <c r="P16" s="1515">
        <v>2012</v>
      </c>
      <c r="Q16" s="1515">
        <v>2013</v>
      </c>
      <c r="R16" s="1515">
        <v>2014</v>
      </c>
      <c r="S16" s="3010">
        <v>2015</v>
      </c>
      <c r="T16" s="432"/>
    </row>
    <row r="17" spans="1:20" ht="13.5" customHeight="1" x14ac:dyDescent="0.2">
      <c r="C17" s="1327"/>
      <c r="D17" s="3033" t="s">
        <v>1822</v>
      </c>
      <c r="E17" s="426"/>
      <c r="F17" s="426"/>
      <c r="G17" s="432"/>
      <c r="H17" s="420">
        <v>47</v>
      </c>
      <c r="I17" s="420">
        <v>59</v>
      </c>
      <c r="J17" s="420">
        <v>69</v>
      </c>
      <c r="K17" s="420">
        <v>93</v>
      </c>
      <c r="L17" s="432">
        <v>130</v>
      </c>
      <c r="M17" s="432">
        <v>133</v>
      </c>
      <c r="N17" s="432">
        <v>83</v>
      </c>
      <c r="O17" s="432">
        <f>17+20</f>
        <v>37</v>
      </c>
      <c r="P17" s="432">
        <f>18+16</f>
        <v>34</v>
      </c>
      <c r="Q17" s="432">
        <f>19+0</f>
        <v>19</v>
      </c>
      <c r="R17" s="432">
        <f>20+21</f>
        <v>41</v>
      </c>
      <c r="S17" s="2787">
        <v>39</v>
      </c>
      <c r="T17" s="432"/>
    </row>
    <row r="18" spans="1:20" ht="13.5" customHeight="1" x14ac:dyDescent="0.2">
      <c r="C18" s="1327"/>
      <c r="D18" s="3033" t="s">
        <v>1823</v>
      </c>
      <c r="E18" s="426"/>
      <c r="F18" s="426"/>
      <c r="G18" s="432"/>
      <c r="H18" s="420">
        <v>17</v>
      </c>
      <c r="I18" s="420">
        <v>20</v>
      </c>
      <c r="J18" s="420">
        <v>8</v>
      </c>
      <c r="K18" s="420">
        <v>15</v>
      </c>
      <c r="L18" s="432">
        <v>14</v>
      </c>
      <c r="M18" s="432">
        <v>19</v>
      </c>
      <c r="N18" s="432">
        <v>18</v>
      </c>
      <c r="O18" s="432">
        <v>11</v>
      </c>
      <c r="P18" s="432">
        <v>38</v>
      </c>
      <c r="Q18" s="432">
        <v>16</v>
      </c>
      <c r="R18" s="432">
        <v>17</v>
      </c>
      <c r="S18" s="2787">
        <v>20</v>
      </c>
      <c r="T18" s="432"/>
    </row>
    <row r="19" spans="1:20" ht="13.5" customHeight="1" x14ac:dyDescent="0.25">
      <c r="A19" s="401"/>
      <c r="B19" s="401"/>
      <c r="C19" s="1327"/>
      <c r="D19" s="3953" t="s">
        <v>1824</v>
      </c>
      <c r="E19" s="3954"/>
      <c r="F19" s="3954"/>
      <c r="G19" s="436"/>
      <c r="H19" s="422">
        <v>44</v>
      </c>
      <c r="I19" s="422">
        <v>95</v>
      </c>
      <c r="J19" s="422">
        <v>82</v>
      </c>
      <c r="K19" s="422">
        <v>256</v>
      </c>
      <c r="L19" s="422">
        <v>817</v>
      </c>
      <c r="M19" s="422">
        <v>747</v>
      </c>
      <c r="N19" s="422">
        <v>980</v>
      </c>
      <c r="O19" s="422">
        <v>508</v>
      </c>
      <c r="P19" s="422">
        <v>594</v>
      </c>
      <c r="Q19" s="422">
        <v>629</v>
      </c>
      <c r="R19" s="422"/>
      <c r="S19" s="3098">
        <v>740</v>
      </c>
      <c r="T19" s="432"/>
    </row>
    <row r="20" spans="1:20" ht="13.5" customHeight="1" x14ac:dyDescent="0.25">
      <c r="A20" s="401"/>
      <c r="B20" s="401"/>
      <c r="C20" s="1327"/>
      <c r="D20" s="798"/>
      <c r="E20" s="1697"/>
      <c r="F20" s="1697"/>
      <c r="G20" s="432"/>
      <c r="H20" s="420"/>
      <c r="I20" s="420"/>
      <c r="J20" s="420"/>
      <c r="K20" s="420"/>
      <c r="L20" s="420"/>
      <c r="M20" s="420"/>
      <c r="N20" s="420"/>
      <c r="O20" s="420"/>
      <c r="P20" s="420"/>
      <c r="Q20" s="426"/>
      <c r="R20" s="432"/>
      <c r="S20" s="432"/>
    </row>
    <row r="21" spans="1:20" ht="13.5" customHeight="1" x14ac:dyDescent="0.25">
      <c r="A21" s="401"/>
      <c r="B21" s="401"/>
      <c r="C21" s="1327"/>
      <c r="D21" s="798"/>
      <c r="E21" s="1697"/>
      <c r="F21" s="1697"/>
      <c r="G21" s="432"/>
      <c r="H21" s="420"/>
      <c r="I21" s="420"/>
      <c r="J21" s="420"/>
      <c r="K21" s="420"/>
      <c r="L21" s="420"/>
      <c r="M21" s="420"/>
      <c r="N21" s="420"/>
      <c r="O21" s="420"/>
      <c r="P21" s="420"/>
      <c r="Q21" s="426"/>
      <c r="R21" s="432"/>
      <c r="S21" s="432"/>
    </row>
    <row r="22" spans="1:20" ht="13.5" customHeight="1" x14ac:dyDescent="0.2">
      <c r="A22" s="401"/>
      <c r="B22" s="401"/>
      <c r="C22" s="1327"/>
      <c r="D22" s="3095" t="s">
        <v>262</v>
      </c>
      <c r="E22" s="424" t="s">
        <v>1825</v>
      </c>
      <c r="F22" s="424"/>
      <c r="G22" s="1098"/>
      <c r="H22" s="424"/>
      <c r="I22" s="424"/>
      <c r="J22" s="424"/>
      <c r="K22" s="438"/>
      <c r="L22" s="432"/>
      <c r="M22" s="432"/>
      <c r="N22" s="432"/>
      <c r="O22" s="432"/>
      <c r="P22" s="420"/>
      <c r="Q22" s="426"/>
      <c r="R22" s="432"/>
      <c r="S22" s="432"/>
    </row>
    <row r="23" spans="1:20" ht="13.5" customHeight="1" x14ac:dyDescent="0.2">
      <c r="A23" s="401"/>
      <c r="B23" s="401"/>
      <c r="C23" s="1327"/>
      <c r="D23" s="3094"/>
      <c r="E23" s="635"/>
      <c r="F23" s="834" t="s">
        <v>124</v>
      </c>
      <c r="G23" s="1796" t="s">
        <v>135</v>
      </c>
      <c r="H23" s="799" t="s">
        <v>136</v>
      </c>
      <c r="I23" s="799" t="s">
        <v>137</v>
      </c>
      <c r="J23" s="799" t="s">
        <v>138</v>
      </c>
      <c r="K23" s="1515" t="s">
        <v>139</v>
      </c>
      <c r="L23" s="1515" t="s">
        <v>140</v>
      </c>
      <c r="M23" s="1515" t="s">
        <v>141</v>
      </c>
      <c r="N23" s="1515" t="s">
        <v>142</v>
      </c>
      <c r="O23" s="1515" t="s">
        <v>144</v>
      </c>
      <c r="P23" s="3010" t="s">
        <v>145</v>
      </c>
      <c r="Q23" s="1517"/>
      <c r="R23" s="426"/>
      <c r="S23" s="432"/>
      <c r="T23" s="432"/>
    </row>
    <row r="24" spans="1:20" ht="13.5" customHeight="1" x14ac:dyDescent="0.2">
      <c r="A24" s="401"/>
      <c r="B24" s="401"/>
      <c r="C24" s="1327"/>
      <c r="D24" s="2948" t="s">
        <v>1826</v>
      </c>
      <c r="E24" s="432"/>
      <c r="F24" s="1247"/>
      <c r="G24" s="1797">
        <v>113</v>
      </c>
      <c r="H24" s="1518">
        <v>118</v>
      </c>
      <c r="I24" s="1518">
        <v>122</v>
      </c>
      <c r="J24" s="1518">
        <v>121</v>
      </c>
      <c r="K24" s="1518">
        <v>121</v>
      </c>
      <c r="L24" s="1518">
        <v>122</v>
      </c>
      <c r="M24" s="1518">
        <v>125</v>
      </c>
      <c r="N24" s="1518">
        <v>129</v>
      </c>
      <c r="O24" s="1518">
        <v>136</v>
      </c>
      <c r="P24" s="3099">
        <v>136</v>
      </c>
      <c r="Q24" s="1518"/>
      <c r="R24" s="426"/>
      <c r="S24" s="432"/>
      <c r="T24" s="432"/>
    </row>
    <row r="25" spans="1:20" ht="13.5" customHeight="1" x14ac:dyDescent="0.2">
      <c r="A25" s="401"/>
      <c r="B25" s="401"/>
      <c r="C25" s="1327"/>
      <c r="D25" s="2948" t="s">
        <v>1827</v>
      </c>
      <c r="E25" s="432"/>
      <c r="F25" s="1247"/>
      <c r="G25" s="1797">
        <v>16</v>
      </c>
      <c r="H25" s="1518">
        <v>11</v>
      </c>
      <c r="I25" s="1518">
        <v>11</v>
      </c>
      <c r="J25" s="1518">
        <v>11</v>
      </c>
      <c r="K25" s="1518" t="s">
        <v>1828</v>
      </c>
      <c r="L25" s="1518">
        <v>16</v>
      </c>
      <c r="M25" s="1518">
        <v>18</v>
      </c>
      <c r="N25" s="1518">
        <v>19</v>
      </c>
      <c r="O25" s="1518">
        <v>19</v>
      </c>
      <c r="P25" s="3099">
        <v>19</v>
      </c>
      <c r="Q25" s="1518"/>
      <c r="R25" s="426"/>
      <c r="S25" s="432"/>
      <c r="T25" s="432"/>
    </row>
    <row r="26" spans="1:20" ht="13.5" customHeight="1" x14ac:dyDescent="0.2">
      <c r="A26" s="401"/>
      <c r="B26" s="401"/>
      <c r="C26" s="1327"/>
      <c r="D26" s="3033" t="s">
        <v>1829</v>
      </c>
      <c r="E26" s="426"/>
      <c r="F26" s="1519"/>
      <c r="G26" s="1247">
        <v>53</v>
      </c>
      <c r="H26" s="1372">
        <v>53</v>
      </c>
      <c r="I26" s="1372">
        <v>53</v>
      </c>
      <c r="J26" s="1372">
        <v>53</v>
      </c>
      <c r="K26" s="1372">
        <v>53</v>
      </c>
      <c r="L26" s="1247">
        <v>53</v>
      </c>
      <c r="M26" s="1247">
        <v>52</v>
      </c>
      <c r="N26" s="1247">
        <v>50</v>
      </c>
      <c r="O26" s="1247">
        <v>57</v>
      </c>
      <c r="P26" s="2782">
        <v>57</v>
      </c>
      <c r="Q26" s="1372"/>
      <c r="R26" s="426"/>
      <c r="S26" s="432"/>
      <c r="T26" s="432"/>
    </row>
    <row r="27" spans="1:20" ht="13.5" customHeight="1" x14ac:dyDescent="0.2">
      <c r="A27" s="401"/>
      <c r="B27" s="401"/>
      <c r="C27" s="1327"/>
      <c r="D27" s="3033" t="s">
        <v>1830</v>
      </c>
      <c r="E27" s="426"/>
      <c r="F27" s="1519"/>
      <c r="G27" s="1247">
        <v>73</v>
      </c>
      <c r="H27" s="1372">
        <v>73</v>
      </c>
      <c r="I27" s="1372">
        <v>73</v>
      </c>
      <c r="J27" s="1372">
        <v>73</v>
      </c>
      <c r="K27" s="1372">
        <v>73</v>
      </c>
      <c r="L27" s="1247">
        <v>73</v>
      </c>
      <c r="M27" s="1247">
        <v>80</v>
      </c>
      <c r="N27" s="1247">
        <v>82</v>
      </c>
      <c r="O27" s="1247">
        <v>82</v>
      </c>
      <c r="P27" s="2782">
        <v>82</v>
      </c>
      <c r="Q27" s="1372"/>
      <c r="R27" s="426"/>
      <c r="S27" s="432"/>
      <c r="T27" s="432"/>
    </row>
    <row r="28" spans="1:20" ht="13.5" customHeight="1" x14ac:dyDescent="0.2">
      <c r="A28" s="401"/>
      <c r="B28" s="401"/>
      <c r="C28" s="1327"/>
      <c r="D28" s="3033" t="s">
        <v>1831</v>
      </c>
      <c r="E28" s="426"/>
      <c r="F28" s="1519"/>
      <c r="G28" s="1247">
        <v>22</v>
      </c>
      <c r="H28" s="1372">
        <v>23</v>
      </c>
      <c r="I28" s="1372">
        <v>23</v>
      </c>
      <c r="J28" s="1372">
        <v>26</v>
      </c>
      <c r="K28" s="1372">
        <v>28</v>
      </c>
      <c r="L28" s="1247">
        <v>31</v>
      </c>
      <c r="M28" s="1247">
        <v>30</v>
      </c>
      <c r="N28" s="1247">
        <v>30</v>
      </c>
      <c r="O28" s="1247">
        <v>31</v>
      </c>
      <c r="P28" s="2782">
        <v>31</v>
      </c>
      <c r="Q28" s="1372"/>
      <c r="R28" s="426"/>
      <c r="S28" s="432"/>
      <c r="T28" s="432"/>
    </row>
    <row r="29" spans="1:20" ht="13.5" customHeight="1" x14ac:dyDescent="0.2">
      <c r="A29" s="401"/>
      <c r="B29" s="401"/>
      <c r="C29" s="1327"/>
      <c r="D29" s="3033" t="s">
        <v>1832</v>
      </c>
      <c r="E29" s="426"/>
      <c r="F29" s="1519"/>
      <c r="G29" s="1247">
        <v>1</v>
      </c>
      <c r="H29" s="1372">
        <v>1</v>
      </c>
      <c r="I29" s="1372">
        <v>1</v>
      </c>
      <c r="J29" s="1372">
        <v>1</v>
      </c>
      <c r="K29" s="1372">
        <v>1</v>
      </c>
      <c r="L29" s="1247">
        <v>1</v>
      </c>
      <c r="M29" s="1247">
        <v>1</v>
      </c>
      <c r="N29" s="1247">
        <v>1</v>
      </c>
      <c r="O29" s="1247">
        <v>1</v>
      </c>
      <c r="P29" s="2782">
        <v>1</v>
      </c>
      <c r="Q29" s="1372"/>
      <c r="R29" s="426"/>
      <c r="S29" s="432"/>
      <c r="T29" s="432"/>
    </row>
    <row r="30" spans="1:20" ht="23.25" customHeight="1" x14ac:dyDescent="0.2">
      <c r="A30" s="401"/>
      <c r="B30" s="401"/>
      <c r="C30" s="1327"/>
      <c r="D30" s="3093" t="s">
        <v>1833</v>
      </c>
      <c r="E30" s="1516"/>
      <c r="F30" s="1520">
        <v>68</v>
      </c>
      <c r="G30" s="1521">
        <f>SUM(G24:G29)</f>
        <v>278</v>
      </c>
      <c r="H30" s="1521">
        <f t="shared" ref="H30:P30" si="0">SUM(H24:H29)</f>
        <v>279</v>
      </c>
      <c r="I30" s="1521">
        <f t="shared" si="0"/>
        <v>283</v>
      </c>
      <c r="J30" s="1521">
        <f t="shared" si="0"/>
        <v>285</v>
      </c>
      <c r="K30" s="1521">
        <v>292</v>
      </c>
      <c r="L30" s="1521">
        <f t="shared" si="0"/>
        <v>296</v>
      </c>
      <c r="M30" s="1521">
        <v>307</v>
      </c>
      <c r="N30" s="1521">
        <f t="shared" si="0"/>
        <v>311</v>
      </c>
      <c r="O30" s="1521">
        <f t="shared" si="0"/>
        <v>326</v>
      </c>
      <c r="P30" s="3100">
        <f t="shared" si="0"/>
        <v>326</v>
      </c>
      <c r="Q30" s="1522"/>
      <c r="R30" s="426"/>
      <c r="S30" s="432"/>
      <c r="T30" s="432"/>
    </row>
    <row r="31" spans="1:20" ht="13.5" customHeight="1" x14ac:dyDescent="0.25">
      <c r="A31" s="401"/>
      <c r="B31" s="401"/>
      <c r="C31" s="1327"/>
      <c r="D31" s="798"/>
      <c r="E31" s="1697"/>
      <c r="F31" s="1697"/>
      <c r="G31" s="432"/>
      <c r="H31" s="420"/>
      <c r="I31" s="420"/>
      <c r="J31" s="420"/>
      <c r="K31" s="420"/>
      <c r="L31" s="420"/>
      <c r="M31" s="420"/>
      <c r="N31" s="420"/>
      <c r="O31" s="420"/>
      <c r="P31" s="420"/>
      <c r="Q31" s="426"/>
      <c r="R31" s="432"/>
      <c r="S31" s="432"/>
    </row>
    <row r="32" spans="1:20" ht="13.5" customHeight="1" x14ac:dyDescent="0.25">
      <c r="A32" s="401"/>
      <c r="B32" s="401"/>
      <c r="C32" s="1327"/>
      <c r="D32" s="798"/>
      <c r="E32" s="1697"/>
      <c r="F32" s="1697"/>
      <c r="G32" s="432"/>
      <c r="H32" s="420"/>
      <c r="I32" s="420"/>
      <c r="J32" s="420"/>
      <c r="K32" s="420"/>
      <c r="L32" s="420"/>
      <c r="M32" s="420"/>
      <c r="N32" s="420"/>
      <c r="O32" s="420"/>
      <c r="P32" s="420"/>
      <c r="Q32" s="426"/>
      <c r="R32" s="432"/>
      <c r="S32" s="432"/>
    </row>
    <row r="33" spans="1:20" ht="13.5" customHeight="1" x14ac:dyDescent="0.25">
      <c r="A33" s="401"/>
      <c r="B33" s="401"/>
      <c r="C33" s="1327"/>
      <c r="D33" s="798"/>
      <c r="E33" s="1697"/>
      <c r="F33" s="1697"/>
      <c r="G33" s="432"/>
      <c r="H33" s="420"/>
      <c r="I33" s="420"/>
      <c r="J33" s="420"/>
      <c r="K33" s="420"/>
      <c r="L33" s="420"/>
      <c r="M33" s="420"/>
      <c r="N33" s="420"/>
      <c r="O33" s="420"/>
      <c r="P33" s="420"/>
      <c r="Q33" s="426"/>
      <c r="R33" s="432"/>
      <c r="S33" s="432"/>
    </row>
    <row r="34" spans="1:20" ht="13.5" customHeight="1" x14ac:dyDescent="0.25">
      <c r="A34" s="401"/>
      <c r="B34" s="401"/>
      <c r="C34" s="1327"/>
      <c r="D34" s="798"/>
      <c r="E34" s="1697"/>
      <c r="F34" s="1697"/>
      <c r="G34" s="432"/>
      <c r="H34" s="420"/>
      <c r="I34" s="420"/>
      <c r="J34" s="420"/>
      <c r="K34" s="420"/>
      <c r="L34" s="420"/>
      <c r="M34" s="420"/>
      <c r="N34" s="420"/>
      <c r="O34" s="420"/>
      <c r="P34" s="420"/>
      <c r="Q34" s="426"/>
      <c r="R34" s="432"/>
      <c r="S34" s="432"/>
    </row>
    <row r="35" spans="1:20" ht="13.5" customHeight="1" x14ac:dyDescent="0.25">
      <c r="A35" s="401"/>
      <c r="B35" s="401"/>
      <c r="C35" s="1327"/>
      <c r="D35" s="798"/>
      <c r="E35" s="1697"/>
      <c r="F35" s="1697"/>
      <c r="G35" s="432"/>
      <c r="H35" s="420"/>
      <c r="I35" s="420"/>
      <c r="J35" s="420"/>
      <c r="K35" s="420"/>
      <c r="L35" s="420"/>
      <c r="M35" s="420"/>
      <c r="N35" s="420"/>
      <c r="O35" s="420"/>
      <c r="P35" s="420"/>
      <c r="Q35" s="426"/>
      <c r="R35" s="432"/>
      <c r="S35" s="432"/>
    </row>
    <row r="36" spans="1:20" ht="13.5" customHeight="1" x14ac:dyDescent="0.25">
      <c r="A36" s="401"/>
      <c r="B36" s="401"/>
      <c r="C36" s="1327"/>
      <c r="D36" s="798"/>
      <c r="E36" s="1697"/>
      <c r="F36" s="1697"/>
      <c r="G36" s="432"/>
      <c r="H36" s="420"/>
      <c r="I36" s="420"/>
      <c r="J36" s="420"/>
      <c r="K36" s="420"/>
      <c r="L36" s="420"/>
      <c r="M36" s="420"/>
      <c r="N36" s="420"/>
      <c r="O36" s="420"/>
      <c r="P36" s="420"/>
      <c r="Q36" s="426"/>
      <c r="R36" s="432"/>
      <c r="S36" s="432"/>
    </row>
    <row r="37" spans="1:20" ht="13.5" customHeight="1" x14ac:dyDescent="0.25">
      <c r="A37" s="401"/>
      <c r="B37" s="401"/>
      <c r="C37" s="1327"/>
      <c r="D37" s="798"/>
      <c r="E37" s="1697"/>
      <c r="F37" s="1697"/>
      <c r="G37" s="432"/>
      <c r="H37" s="420"/>
      <c r="I37" s="420"/>
      <c r="J37" s="420"/>
      <c r="K37" s="420"/>
      <c r="L37" s="420"/>
      <c r="M37" s="420"/>
      <c r="N37" s="420"/>
      <c r="O37" s="420"/>
      <c r="P37" s="420"/>
      <c r="Q37" s="426"/>
      <c r="R37" s="432"/>
      <c r="S37" s="432"/>
    </row>
    <row r="38" spans="1:20" ht="13.5" customHeight="1" x14ac:dyDescent="0.25">
      <c r="A38" s="401"/>
      <c r="B38" s="401"/>
      <c r="C38" s="1327"/>
      <c r="D38" s="798"/>
      <c r="E38" s="1697"/>
      <c r="F38" s="1697"/>
      <c r="G38" s="432"/>
      <c r="H38" s="420"/>
      <c r="I38" s="420"/>
      <c r="J38" s="420"/>
      <c r="K38" s="420"/>
      <c r="L38" s="420"/>
      <c r="M38" s="420"/>
      <c r="N38" s="420"/>
      <c r="O38" s="420"/>
      <c r="P38" s="420"/>
      <c r="Q38" s="426"/>
      <c r="R38" s="432"/>
      <c r="S38" s="432"/>
    </row>
    <row r="39" spans="1:20" ht="13.5" customHeight="1" x14ac:dyDescent="0.25">
      <c r="A39" s="401"/>
      <c r="B39" s="401"/>
      <c r="C39" s="1327"/>
      <c r="D39" s="798"/>
      <c r="E39" s="1697"/>
      <c r="F39" s="1697"/>
      <c r="G39" s="432"/>
      <c r="H39" s="420"/>
      <c r="I39" s="420"/>
      <c r="J39" s="420"/>
      <c r="K39" s="420"/>
      <c r="L39" s="420"/>
      <c r="M39" s="420"/>
      <c r="N39" s="420"/>
      <c r="O39" s="420"/>
      <c r="P39" s="420"/>
      <c r="Q39" s="426"/>
      <c r="R39" s="432"/>
      <c r="S39" s="432"/>
    </row>
    <row r="40" spans="1:20" ht="13.5" customHeight="1" x14ac:dyDescent="0.25">
      <c r="A40" s="401"/>
      <c r="B40" s="401"/>
      <c r="C40" s="1327"/>
      <c r="D40" s="798"/>
      <c r="E40" s="1697"/>
      <c r="F40" s="1697"/>
      <c r="G40" s="432"/>
      <c r="H40" s="420"/>
      <c r="I40" s="420"/>
      <c r="J40" s="420"/>
      <c r="K40" s="420"/>
      <c r="L40" s="420"/>
      <c r="M40" s="420"/>
      <c r="N40" s="420"/>
      <c r="O40" s="420"/>
      <c r="P40" s="420"/>
      <c r="Q40" s="426"/>
      <c r="R40" s="432"/>
      <c r="S40" s="432"/>
    </row>
    <row r="41" spans="1:20" ht="13.5" customHeight="1" x14ac:dyDescent="0.25">
      <c r="A41" s="401"/>
      <c r="B41" s="401"/>
      <c r="C41" s="1327"/>
      <c r="D41" s="798"/>
      <c r="E41" s="1697"/>
      <c r="F41" s="1697"/>
      <c r="G41" s="432"/>
      <c r="H41" s="420"/>
      <c r="I41" s="420"/>
      <c r="J41" s="420"/>
      <c r="K41" s="420"/>
      <c r="L41" s="420"/>
      <c r="M41" s="420"/>
      <c r="N41" s="420"/>
      <c r="O41" s="420"/>
      <c r="P41" s="420"/>
      <c r="Q41" s="426"/>
      <c r="R41" s="432"/>
      <c r="S41" s="432"/>
    </row>
    <row r="42" spans="1:20" ht="13.5" customHeight="1" x14ac:dyDescent="0.25">
      <c r="A42" s="401"/>
      <c r="B42" s="401"/>
      <c r="C42" s="1327"/>
      <c r="D42" s="798"/>
      <c r="E42" s="1697"/>
      <c r="F42" s="1697"/>
      <c r="G42" s="432"/>
      <c r="H42" s="420"/>
      <c r="I42" s="420"/>
      <c r="J42" s="420"/>
      <c r="K42" s="420"/>
      <c r="L42" s="420"/>
      <c r="M42" s="420"/>
      <c r="N42" s="420"/>
      <c r="O42" s="420"/>
      <c r="P42" s="420"/>
      <c r="Q42" s="426"/>
      <c r="R42" s="432"/>
      <c r="S42" s="432"/>
    </row>
    <row r="43" spans="1:20" ht="13.5" customHeight="1" x14ac:dyDescent="0.25">
      <c r="C43" s="1327"/>
      <c r="D43" s="798"/>
      <c r="E43" s="1697"/>
      <c r="F43" s="1697"/>
      <c r="G43" s="432"/>
      <c r="H43" s="420"/>
      <c r="I43" s="420"/>
      <c r="J43" s="420"/>
      <c r="K43" s="420"/>
      <c r="L43" s="420"/>
      <c r="M43" s="420"/>
      <c r="N43" s="420"/>
      <c r="O43" s="420"/>
      <c r="P43" s="420"/>
      <c r="Q43" s="426"/>
      <c r="R43" s="432"/>
      <c r="S43" s="432"/>
    </row>
    <row r="44" spans="1:20" ht="13.5" customHeight="1" x14ac:dyDescent="0.25">
      <c r="C44" s="1327"/>
      <c r="D44" s="798"/>
      <c r="E44" s="1697"/>
      <c r="F44" s="1697"/>
      <c r="G44" s="432"/>
      <c r="H44" s="420"/>
      <c r="I44" s="420"/>
      <c r="J44" s="420"/>
      <c r="K44" s="420"/>
      <c r="L44" s="420"/>
      <c r="M44" s="420"/>
      <c r="N44" s="420"/>
      <c r="O44" s="420"/>
      <c r="P44" s="420"/>
      <c r="Q44" s="426"/>
      <c r="R44" s="432"/>
      <c r="S44" s="432"/>
    </row>
    <row r="45" spans="1:20" ht="13.5" customHeight="1" x14ac:dyDescent="0.25">
      <c r="C45" s="1327"/>
      <c r="D45" s="798"/>
      <c r="E45" s="1697"/>
      <c r="F45" s="1697"/>
      <c r="G45" s="432"/>
      <c r="H45" s="420"/>
      <c r="I45" s="420"/>
      <c r="J45" s="420"/>
      <c r="K45" s="420"/>
      <c r="L45" s="420"/>
      <c r="M45" s="420"/>
      <c r="N45" s="420"/>
      <c r="O45" s="420"/>
      <c r="P45" s="420"/>
      <c r="Q45" s="426"/>
      <c r="R45" s="432"/>
      <c r="S45" s="432"/>
    </row>
    <row r="46" spans="1:20" ht="12.75" customHeight="1" x14ac:dyDescent="0.2">
      <c r="D46" s="432"/>
      <c r="G46" s="432"/>
      <c r="H46" s="432"/>
      <c r="I46" s="432"/>
      <c r="J46" s="432"/>
      <c r="K46" s="438"/>
      <c r="L46" s="438"/>
      <c r="M46" s="432"/>
      <c r="N46" s="432"/>
      <c r="O46" s="432"/>
      <c r="P46" s="432"/>
      <c r="Q46" s="432"/>
      <c r="R46" s="432"/>
      <c r="S46" s="432"/>
      <c r="T46" s="432"/>
    </row>
    <row r="47" spans="1:20" ht="14.25" customHeight="1" x14ac:dyDescent="0.2">
      <c r="D47" s="432"/>
      <c r="E47" s="432"/>
      <c r="F47" s="432"/>
      <c r="G47" s="432"/>
      <c r="H47" s="432"/>
      <c r="I47" s="432"/>
      <c r="J47" s="432"/>
      <c r="K47" s="432"/>
      <c r="L47" s="432"/>
      <c r="M47" s="432"/>
      <c r="N47" s="432"/>
      <c r="O47" s="432"/>
      <c r="P47" s="432"/>
      <c r="Q47" s="432"/>
      <c r="R47" s="432"/>
      <c r="S47" s="432"/>
      <c r="T47" s="432"/>
    </row>
    <row r="48" spans="1:20" s="628" customFormat="1" ht="12.75" customHeight="1" x14ac:dyDescent="0.2">
      <c r="A48" s="835">
        <v>5</v>
      </c>
      <c r="B48" s="835" t="s">
        <v>78</v>
      </c>
      <c r="C48" s="835"/>
      <c r="D48" s="3950" t="s">
        <v>1834</v>
      </c>
      <c r="E48" s="3951"/>
      <c r="F48" s="3951"/>
      <c r="G48" s="3951"/>
      <c r="H48" s="3951"/>
      <c r="I48" s="3951"/>
      <c r="J48" s="3951"/>
      <c r="K48" s="3951"/>
      <c r="L48" s="3951"/>
      <c r="M48" s="3951"/>
      <c r="N48" s="3951"/>
      <c r="O48" s="3951"/>
      <c r="P48" s="3951"/>
      <c r="Q48" s="3951"/>
      <c r="R48" s="3952"/>
      <c r="S48" s="416"/>
      <c r="T48" s="1696"/>
    </row>
    <row r="49" spans="1:20" s="628" customFormat="1" ht="56.25" customHeight="1" x14ac:dyDescent="0.2">
      <c r="A49" s="963">
        <v>6</v>
      </c>
      <c r="B49" s="963" t="s">
        <v>80</v>
      </c>
      <c r="C49" s="963"/>
      <c r="D49" s="3947" t="s">
        <v>1835</v>
      </c>
      <c r="E49" s="3948"/>
      <c r="F49" s="3948"/>
      <c r="G49" s="3948"/>
      <c r="H49" s="3948"/>
      <c r="I49" s="3948"/>
      <c r="J49" s="3948"/>
      <c r="K49" s="3948"/>
      <c r="L49" s="3948"/>
      <c r="M49" s="3948"/>
      <c r="N49" s="3948"/>
      <c r="O49" s="3948"/>
      <c r="P49" s="3948"/>
      <c r="Q49" s="3948"/>
      <c r="R49" s="3949"/>
      <c r="S49" s="416"/>
      <c r="T49" s="417"/>
    </row>
    <row r="50" spans="1:20" ht="32.25" customHeight="1" x14ac:dyDescent="0.2">
      <c r="A50" s="963">
        <v>7</v>
      </c>
      <c r="B50" s="963" t="s">
        <v>83</v>
      </c>
      <c r="D50" s="3950" t="s">
        <v>1836</v>
      </c>
      <c r="E50" s="3951"/>
      <c r="F50" s="3951"/>
      <c r="G50" s="3951"/>
      <c r="H50" s="3951"/>
      <c r="I50" s="3951"/>
      <c r="J50" s="3951"/>
      <c r="K50" s="3951"/>
      <c r="L50" s="3951"/>
      <c r="M50" s="3951"/>
      <c r="N50" s="3951"/>
      <c r="O50" s="3951"/>
      <c r="P50" s="3951"/>
      <c r="Q50" s="3951"/>
      <c r="R50" s="3952"/>
      <c r="S50" s="432"/>
      <c r="T50" s="432"/>
    </row>
    <row r="51" spans="1:20" s="628" customFormat="1" ht="15.75" customHeight="1" x14ac:dyDescent="0.2">
      <c r="A51" s="963">
        <v>8</v>
      </c>
      <c r="B51" s="963" t="s">
        <v>20</v>
      </c>
      <c r="C51" s="835"/>
      <c r="D51" s="3950" t="s">
        <v>1837</v>
      </c>
      <c r="E51" s="3951"/>
      <c r="F51" s="3951"/>
      <c r="G51" s="3951"/>
      <c r="H51" s="3951"/>
      <c r="I51" s="3951"/>
      <c r="J51" s="3951"/>
      <c r="K51" s="3951"/>
      <c r="L51" s="3951"/>
      <c r="M51" s="3951"/>
      <c r="N51" s="3951"/>
      <c r="O51" s="3951"/>
      <c r="P51" s="3951"/>
      <c r="Q51" s="3951"/>
      <c r="R51" s="3952"/>
      <c r="S51" s="416"/>
      <c r="T51" s="1696"/>
    </row>
    <row r="52" spans="1:20" x14ac:dyDescent="0.2">
      <c r="P52" s="432"/>
      <c r="Q52" s="432"/>
      <c r="R52" s="432"/>
      <c r="S52" s="432"/>
      <c r="T52" s="432"/>
    </row>
    <row r="62" spans="1:20" x14ac:dyDescent="0.2">
      <c r="D62" s="424" t="s">
        <v>262</v>
      </c>
      <c r="E62" s="424" t="s">
        <v>1825</v>
      </c>
      <c r="F62" s="424"/>
      <c r="G62" s="1098"/>
      <c r="H62" s="424"/>
      <c r="I62" s="424"/>
      <c r="J62" s="424"/>
      <c r="K62" s="438"/>
      <c r="L62" s="432"/>
      <c r="M62" s="432"/>
      <c r="N62" s="432"/>
      <c r="O62" s="432"/>
    </row>
    <row r="63" spans="1:20" x14ac:dyDescent="0.2">
      <c r="D63" s="834"/>
      <c r="E63" s="635"/>
      <c r="F63" s="834" t="s">
        <v>124</v>
      </c>
      <c r="G63" s="1798" t="s">
        <v>132</v>
      </c>
      <c r="H63" s="1798" t="s">
        <v>133</v>
      </c>
      <c r="I63" s="1798" t="s">
        <v>134</v>
      </c>
      <c r="J63" s="1796" t="s">
        <v>135</v>
      </c>
      <c r="K63" s="799" t="s">
        <v>136</v>
      </c>
      <c r="L63" s="799" t="s">
        <v>137</v>
      </c>
      <c r="M63" s="799" t="s">
        <v>138</v>
      </c>
      <c r="N63" s="1515" t="s">
        <v>139</v>
      </c>
      <c r="O63" s="1515" t="s">
        <v>140</v>
      </c>
      <c r="P63" s="1515" t="s">
        <v>141</v>
      </c>
      <c r="Q63" s="1515" t="s">
        <v>142</v>
      </c>
      <c r="R63" s="1515" t="s">
        <v>143</v>
      </c>
      <c r="S63" s="1515" t="s">
        <v>144</v>
      </c>
      <c r="T63" s="1515" t="s">
        <v>145</v>
      </c>
    </row>
    <row r="64" spans="1:20" x14ac:dyDescent="0.2">
      <c r="A64" s="401"/>
      <c r="B64" s="401"/>
      <c r="C64" s="401"/>
      <c r="D64" s="432" t="s">
        <v>1826</v>
      </c>
      <c r="E64" s="432"/>
      <c r="F64" s="1247"/>
      <c r="J64" s="1797">
        <v>113</v>
      </c>
      <c r="K64" s="1518">
        <v>118</v>
      </c>
      <c r="L64" s="1518">
        <v>122</v>
      </c>
      <c r="M64" s="1518">
        <v>121</v>
      </c>
      <c r="N64" s="1518">
        <v>121</v>
      </c>
      <c r="O64" s="1518">
        <v>122</v>
      </c>
      <c r="P64" s="1518">
        <v>125</v>
      </c>
      <c r="Q64" s="1518">
        <v>129</v>
      </c>
      <c r="R64" s="1518"/>
      <c r="S64" s="1518">
        <v>136</v>
      </c>
      <c r="T64" s="1518">
        <v>136</v>
      </c>
    </row>
    <row r="65" spans="4:20" s="401" customFormat="1" x14ac:dyDescent="0.2">
      <c r="D65" s="432" t="s">
        <v>1827</v>
      </c>
      <c r="E65" s="432"/>
      <c r="F65" s="1247"/>
      <c r="J65" s="1797">
        <v>16</v>
      </c>
      <c r="K65" s="1518">
        <v>11</v>
      </c>
      <c r="L65" s="1518">
        <v>11</v>
      </c>
      <c r="M65" s="1518">
        <v>11</v>
      </c>
      <c r="N65" s="1518" t="s">
        <v>1828</v>
      </c>
      <c r="O65" s="1518">
        <v>16</v>
      </c>
      <c r="P65" s="1518">
        <v>18</v>
      </c>
      <c r="Q65" s="1518">
        <v>19</v>
      </c>
      <c r="R65" s="1518"/>
      <c r="S65" s="1518">
        <v>19</v>
      </c>
      <c r="T65" s="1518">
        <v>19</v>
      </c>
    </row>
    <row r="66" spans="4:20" s="401" customFormat="1" x14ac:dyDescent="0.2">
      <c r="D66" s="426" t="s">
        <v>1829</v>
      </c>
      <c r="E66" s="426"/>
      <c r="F66" s="1519"/>
      <c r="J66" s="1247">
        <v>53</v>
      </c>
      <c r="K66" s="1372">
        <v>53</v>
      </c>
      <c r="L66" s="1372">
        <v>53</v>
      </c>
      <c r="M66" s="1372">
        <v>53</v>
      </c>
      <c r="N66" s="1372">
        <v>53</v>
      </c>
      <c r="O66" s="1247">
        <v>53</v>
      </c>
      <c r="P66" s="1247">
        <v>52</v>
      </c>
      <c r="Q66" s="1247">
        <v>50</v>
      </c>
      <c r="R66" s="1247"/>
      <c r="S66" s="1247">
        <v>57</v>
      </c>
      <c r="T66" s="1247">
        <v>57</v>
      </c>
    </row>
    <row r="67" spans="4:20" s="401" customFormat="1" x14ac:dyDescent="0.2">
      <c r="D67" s="426" t="s">
        <v>1830</v>
      </c>
      <c r="E67" s="426"/>
      <c r="F67" s="1519"/>
      <c r="J67" s="1247">
        <v>73</v>
      </c>
      <c r="K67" s="1372">
        <v>73</v>
      </c>
      <c r="L67" s="1372">
        <v>73</v>
      </c>
      <c r="M67" s="1372">
        <v>73</v>
      </c>
      <c r="N67" s="1372">
        <v>73</v>
      </c>
      <c r="O67" s="1247">
        <v>73</v>
      </c>
      <c r="P67" s="1247">
        <v>80</v>
      </c>
      <c r="Q67" s="1247">
        <v>82</v>
      </c>
      <c r="R67" s="1247"/>
      <c r="S67" s="1247">
        <v>82</v>
      </c>
      <c r="T67" s="1247">
        <v>82</v>
      </c>
    </row>
    <row r="68" spans="4:20" s="401" customFormat="1" x14ac:dyDescent="0.2">
      <c r="D68" s="426" t="s">
        <v>1831</v>
      </c>
      <c r="E68" s="426"/>
      <c r="F68" s="1519"/>
      <c r="J68" s="1247">
        <v>22</v>
      </c>
      <c r="K68" s="1372">
        <v>23</v>
      </c>
      <c r="L68" s="1372">
        <v>23</v>
      </c>
      <c r="M68" s="1372">
        <v>26</v>
      </c>
      <c r="N68" s="1372">
        <v>28</v>
      </c>
      <c r="O68" s="1247">
        <v>31</v>
      </c>
      <c r="P68" s="1247">
        <v>30</v>
      </c>
      <c r="Q68" s="1247">
        <v>30</v>
      </c>
      <c r="R68" s="1247"/>
      <c r="S68" s="1247">
        <v>31</v>
      </c>
      <c r="T68" s="1247">
        <v>31</v>
      </c>
    </row>
    <row r="69" spans="4:20" s="401" customFormat="1" x14ac:dyDescent="0.2">
      <c r="D69" s="426" t="s">
        <v>1832</v>
      </c>
      <c r="E69" s="426"/>
      <c r="F69" s="1519"/>
      <c r="J69" s="1247">
        <v>1</v>
      </c>
      <c r="K69" s="1372">
        <v>1</v>
      </c>
      <c r="L69" s="1372">
        <v>1</v>
      </c>
      <c r="M69" s="1372">
        <v>1</v>
      </c>
      <c r="N69" s="1372">
        <v>1</v>
      </c>
      <c r="O69" s="1247">
        <v>1</v>
      </c>
      <c r="P69" s="1247">
        <v>1</v>
      </c>
      <c r="Q69" s="1247">
        <v>1</v>
      </c>
      <c r="R69" s="1247"/>
      <c r="S69" s="1247">
        <v>1</v>
      </c>
      <c r="T69" s="1247">
        <v>1</v>
      </c>
    </row>
    <row r="70" spans="4:20" s="401" customFormat="1" ht="22.5" x14ac:dyDescent="0.2">
      <c r="D70" s="1516" t="s">
        <v>1833</v>
      </c>
      <c r="E70" s="1516"/>
      <c r="F70" s="1520">
        <v>68</v>
      </c>
      <c r="J70" s="1521">
        <f>SUM(J64:J69)</f>
        <v>278</v>
      </c>
      <c r="K70" s="1521">
        <f>SUM(K64:K69)</f>
        <v>279</v>
      </c>
      <c r="L70" s="1521">
        <f>SUM(L64:L69)</f>
        <v>283</v>
      </c>
      <c r="M70" s="1521">
        <f>SUM(M64:M69)</f>
        <v>285</v>
      </c>
      <c r="N70" s="1521">
        <v>292</v>
      </c>
      <c r="O70" s="1521">
        <f>SUM(O64:O69)</f>
        <v>296</v>
      </c>
      <c r="P70" s="1521">
        <v>307</v>
      </c>
      <c r="Q70" s="1521">
        <f>SUM(Q64:Q69)</f>
        <v>311</v>
      </c>
      <c r="R70" s="1521"/>
      <c r="S70" s="1521">
        <f>SUM(S64:S69)</f>
        <v>326</v>
      </c>
      <c r="T70" s="1521">
        <f>SUM(T64:T69)</f>
        <v>326</v>
      </c>
    </row>
    <row r="71" spans="4:20" s="401" customFormat="1" x14ac:dyDescent="0.2">
      <c r="D71" s="401" t="s">
        <v>1838</v>
      </c>
      <c r="G71" s="401">
        <v>91</v>
      </c>
      <c r="H71" s="401">
        <v>96</v>
      </c>
      <c r="I71" s="401">
        <v>101</v>
      </c>
      <c r="J71" s="401">
        <v>107</v>
      </c>
      <c r="K71" s="401">
        <v>109</v>
      </c>
      <c r="L71" s="401">
        <v>114</v>
      </c>
      <c r="M71" s="401">
        <v>119</v>
      </c>
      <c r="N71" s="401">
        <v>124</v>
      </c>
      <c r="O71" s="401">
        <v>124</v>
      </c>
      <c r="P71" s="401">
        <v>125</v>
      </c>
      <c r="Q71" s="401">
        <v>125</v>
      </c>
      <c r="R71" s="401">
        <v>125</v>
      </c>
      <c r="S71" s="401">
        <v>125</v>
      </c>
      <c r="T71" s="401">
        <v>125</v>
      </c>
    </row>
    <row r="72" spans="4:20" s="401" customFormat="1" x14ac:dyDescent="0.2">
      <c r="H72" s="1161"/>
      <c r="I72" s="1161"/>
      <c r="J72" s="1161"/>
      <c r="K72" s="1161"/>
      <c r="L72" s="1161"/>
      <c r="M72" s="1161"/>
      <c r="N72" s="1161"/>
      <c r="O72" s="983"/>
      <c r="P72" s="983"/>
      <c r="Q72" s="983"/>
      <c r="R72" s="1799"/>
      <c r="S72" s="1799"/>
      <c r="T72" s="1799"/>
    </row>
  </sheetData>
  <mergeCells count="8">
    <mergeCell ref="D49:R49"/>
    <mergeCell ref="D50:R50"/>
    <mergeCell ref="D51:R51"/>
    <mergeCell ref="D2:R2"/>
    <mergeCell ref="D3:R3"/>
    <mergeCell ref="D4:R4"/>
    <mergeCell ref="D19:F19"/>
    <mergeCell ref="D48:R48"/>
  </mergeCells>
  <pageMargins left="0.74803149606299213" right="0.74803149606299213" top="0.98425196850393704" bottom="0.98425196850393704" header="0.51181102362204722" footer="0.51181102362204722"/>
  <pageSetup paperSize="9" scale="5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36"/>
  <sheetViews>
    <sheetView showGridLines="0" view="pageBreakPreview" zoomScaleNormal="100" zoomScaleSheetLayoutView="100" workbookViewId="0">
      <selection activeCell="D8" sqref="D8:D10"/>
    </sheetView>
  </sheetViews>
  <sheetFormatPr defaultColWidth="9.140625" defaultRowHeight="11.25" x14ac:dyDescent="0.2"/>
  <cols>
    <col min="1" max="1" width="3.7109375" style="1224" customWidth="1"/>
    <col min="2" max="2" width="14.42578125" style="1222" customWidth="1"/>
    <col min="3" max="3" width="5.42578125" style="1222" customWidth="1"/>
    <col min="4" max="4" width="14.140625" style="401" customWidth="1"/>
    <col min="5" max="19" width="6" style="401" customWidth="1"/>
    <col min="20" max="257" width="9.140625" style="401"/>
    <col min="258" max="258" width="3.7109375" style="401" customWidth="1"/>
    <col min="259" max="259" width="14.42578125" style="401" customWidth="1"/>
    <col min="260" max="260" width="5.42578125" style="401" customWidth="1"/>
    <col min="261" max="261" width="14.140625" style="401" customWidth="1"/>
    <col min="262" max="275" width="6" style="401" customWidth="1"/>
    <col min="276" max="513" width="9.140625" style="401"/>
    <col min="514" max="514" width="3.7109375" style="401" customWidth="1"/>
    <col min="515" max="515" width="14.42578125" style="401" customWidth="1"/>
    <col min="516" max="516" width="5.42578125" style="401" customWidth="1"/>
    <col min="517" max="517" width="14.140625" style="401" customWidth="1"/>
    <col min="518" max="531" width="6" style="401" customWidth="1"/>
    <col min="532" max="769" width="9.140625" style="401"/>
    <col min="770" max="770" width="3.7109375" style="401" customWidth="1"/>
    <col min="771" max="771" width="14.42578125" style="401" customWidth="1"/>
    <col min="772" max="772" width="5.42578125" style="401" customWidth="1"/>
    <col min="773" max="773" width="14.140625" style="401" customWidth="1"/>
    <col min="774" max="787" width="6" style="401" customWidth="1"/>
    <col min="788" max="1025" width="9.140625" style="401"/>
    <col min="1026" max="1026" width="3.7109375" style="401" customWidth="1"/>
    <col min="1027" max="1027" width="14.42578125" style="401" customWidth="1"/>
    <col min="1028" max="1028" width="5.42578125" style="401" customWidth="1"/>
    <col min="1029" max="1029" width="14.140625" style="401" customWidth="1"/>
    <col min="1030" max="1043" width="6" style="401" customWidth="1"/>
    <col min="1044" max="1281" width="9.140625" style="401"/>
    <col min="1282" max="1282" width="3.7109375" style="401" customWidth="1"/>
    <col min="1283" max="1283" width="14.42578125" style="401" customWidth="1"/>
    <col min="1284" max="1284" width="5.42578125" style="401" customWidth="1"/>
    <col min="1285" max="1285" width="14.140625" style="401" customWidth="1"/>
    <col min="1286" max="1299" width="6" style="401" customWidth="1"/>
    <col min="1300" max="1537" width="9.140625" style="401"/>
    <col min="1538" max="1538" width="3.7109375" style="401" customWidth="1"/>
    <col min="1539" max="1539" width="14.42578125" style="401" customWidth="1"/>
    <col min="1540" max="1540" width="5.42578125" style="401" customWidth="1"/>
    <col min="1541" max="1541" width="14.140625" style="401" customWidth="1"/>
    <col min="1542" max="1555" width="6" style="401" customWidth="1"/>
    <col min="1556" max="1793" width="9.140625" style="401"/>
    <col min="1794" max="1794" width="3.7109375" style="401" customWidth="1"/>
    <col min="1795" max="1795" width="14.42578125" style="401" customWidth="1"/>
    <col min="1796" max="1796" width="5.42578125" style="401" customWidth="1"/>
    <col min="1797" max="1797" width="14.140625" style="401" customWidth="1"/>
    <col min="1798" max="1811" width="6" style="401" customWidth="1"/>
    <col min="1812" max="2049" width="9.140625" style="401"/>
    <col min="2050" max="2050" width="3.7109375" style="401" customWidth="1"/>
    <col min="2051" max="2051" width="14.42578125" style="401" customWidth="1"/>
    <col min="2052" max="2052" width="5.42578125" style="401" customWidth="1"/>
    <col min="2053" max="2053" width="14.140625" style="401" customWidth="1"/>
    <col min="2054" max="2067" width="6" style="401" customWidth="1"/>
    <col min="2068" max="2305" width="9.140625" style="401"/>
    <col min="2306" max="2306" width="3.7109375" style="401" customWidth="1"/>
    <col min="2307" max="2307" width="14.42578125" style="401" customWidth="1"/>
    <col min="2308" max="2308" width="5.42578125" style="401" customWidth="1"/>
    <col min="2309" max="2309" width="14.140625" style="401" customWidth="1"/>
    <col min="2310" max="2323" width="6" style="401" customWidth="1"/>
    <col min="2324" max="2561" width="9.140625" style="401"/>
    <col min="2562" max="2562" width="3.7109375" style="401" customWidth="1"/>
    <col min="2563" max="2563" width="14.42578125" style="401" customWidth="1"/>
    <col min="2564" max="2564" width="5.42578125" style="401" customWidth="1"/>
    <col min="2565" max="2565" width="14.140625" style="401" customWidth="1"/>
    <col min="2566" max="2579" width="6" style="401" customWidth="1"/>
    <col min="2580" max="2817" width="9.140625" style="401"/>
    <col min="2818" max="2818" width="3.7109375" style="401" customWidth="1"/>
    <col min="2819" max="2819" width="14.42578125" style="401" customWidth="1"/>
    <col min="2820" max="2820" width="5.42578125" style="401" customWidth="1"/>
    <col min="2821" max="2821" width="14.140625" style="401" customWidth="1"/>
    <col min="2822" max="2835" width="6" style="401" customWidth="1"/>
    <col min="2836" max="3073" width="9.140625" style="401"/>
    <col min="3074" max="3074" width="3.7109375" style="401" customWidth="1"/>
    <col min="3075" max="3075" width="14.42578125" style="401" customWidth="1"/>
    <col min="3076" max="3076" width="5.42578125" style="401" customWidth="1"/>
    <col min="3077" max="3077" width="14.140625" style="401" customWidth="1"/>
    <col min="3078" max="3091" width="6" style="401" customWidth="1"/>
    <col min="3092" max="3329" width="9.140625" style="401"/>
    <col min="3330" max="3330" width="3.7109375" style="401" customWidth="1"/>
    <col min="3331" max="3331" width="14.42578125" style="401" customWidth="1"/>
    <col min="3332" max="3332" width="5.42578125" style="401" customWidth="1"/>
    <col min="3333" max="3333" width="14.140625" style="401" customWidth="1"/>
    <col min="3334" max="3347" width="6" style="401" customWidth="1"/>
    <col min="3348" max="3585" width="9.140625" style="401"/>
    <col min="3586" max="3586" width="3.7109375" style="401" customWidth="1"/>
    <col min="3587" max="3587" width="14.42578125" style="401" customWidth="1"/>
    <col min="3588" max="3588" width="5.42578125" style="401" customWidth="1"/>
    <col min="3589" max="3589" width="14.140625" style="401" customWidth="1"/>
    <col min="3590" max="3603" width="6" style="401" customWidth="1"/>
    <col min="3604" max="3841" width="9.140625" style="401"/>
    <col min="3842" max="3842" width="3.7109375" style="401" customWidth="1"/>
    <col min="3843" max="3843" width="14.42578125" style="401" customWidth="1"/>
    <col min="3844" max="3844" width="5.42578125" style="401" customWidth="1"/>
    <col min="3845" max="3845" width="14.140625" style="401" customWidth="1"/>
    <col min="3846" max="3859" width="6" style="401" customWidth="1"/>
    <col min="3860" max="4097" width="9.140625" style="401"/>
    <col min="4098" max="4098" width="3.7109375" style="401" customWidth="1"/>
    <col min="4099" max="4099" width="14.42578125" style="401" customWidth="1"/>
    <col min="4100" max="4100" width="5.42578125" style="401" customWidth="1"/>
    <col min="4101" max="4101" width="14.140625" style="401" customWidth="1"/>
    <col min="4102" max="4115" width="6" style="401" customWidth="1"/>
    <col min="4116" max="4353" width="9.140625" style="401"/>
    <col min="4354" max="4354" width="3.7109375" style="401" customWidth="1"/>
    <col min="4355" max="4355" width="14.42578125" style="401" customWidth="1"/>
    <col min="4356" max="4356" width="5.42578125" style="401" customWidth="1"/>
    <col min="4357" max="4357" width="14.140625" style="401" customWidth="1"/>
    <col min="4358" max="4371" width="6" style="401" customWidth="1"/>
    <col min="4372" max="4609" width="9.140625" style="401"/>
    <col min="4610" max="4610" width="3.7109375" style="401" customWidth="1"/>
    <col min="4611" max="4611" width="14.42578125" style="401" customWidth="1"/>
    <col min="4612" max="4612" width="5.42578125" style="401" customWidth="1"/>
    <col min="4613" max="4613" width="14.140625" style="401" customWidth="1"/>
    <col min="4614" max="4627" width="6" style="401" customWidth="1"/>
    <col min="4628" max="4865" width="9.140625" style="401"/>
    <col min="4866" max="4866" width="3.7109375" style="401" customWidth="1"/>
    <col min="4867" max="4867" width="14.42578125" style="401" customWidth="1"/>
    <col min="4868" max="4868" width="5.42578125" style="401" customWidth="1"/>
    <col min="4869" max="4869" width="14.140625" style="401" customWidth="1"/>
    <col min="4870" max="4883" width="6" style="401" customWidth="1"/>
    <col min="4884" max="5121" width="9.140625" style="401"/>
    <col min="5122" max="5122" width="3.7109375" style="401" customWidth="1"/>
    <col min="5123" max="5123" width="14.42578125" style="401" customWidth="1"/>
    <col min="5124" max="5124" width="5.42578125" style="401" customWidth="1"/>
    <col min="5125" max="5125" width="14.140625" style="401" customWidth="1"/>
    <col min="5126" max="5139" width="6" style="401" customWidth="1"/>
    <col min="5140" max="5377" width="9.140625" style="401"/>
    <col min="5378" max="5378" width="3.7109375" style="401" customWidth="1"/>
    <col min="5379" max="5379" width="14.42578125" style="401" customWidth="1"/>
    <col min="5380" max="5380" width="5.42578125" style="401" customWidth="1"/>
    <col min="5381" max="5381" width="14.140625" style="401" customWidth="1"/>
    <col min="5382" max="5395" width="6" style="401" customWidth="1"/>
    <col min="5396" max="5633" width="9.140625" style="401"/>
    <col min="5634" max="5634" width="3.7109375" style="401" customWidth="1"/>
    <col min="5635" max="5635" width="14.42578125" style="401" customWidth="1"/>
    <col min="5636" max="5636" width="5.42578125" style="401" customWidth="1"/>
    <col min="5637" max="5637" width="14.140625" style="401" customWidth="1"/>
    <col min="5638" max="5651" width="6" style="401" customWidth="1"/>
    <col min="5652" max="5889" width="9.140625" style="401"/>
    <col min="5890" max="5890" width="3.7109375" style="401" customWidth="1"/>
    <col min="5891" max="5891" width="14.42578125" style="401" customWidth="1"/>
    <col min="5892" max="5892" width="5.42578125" style="401" customWidth="1"/>
    <col min="5893" max="5893" width="14.140625" style="401" customWidth="1"/>
    <col min="5894" max="5907" width="6" style="401" customWidth="1"/>
    <col min="5908" max="6145" width="9.140625" style="401"/>
    <col min="6146" max="6146" width="3.7109375" style="401" customWidth="1"/>
    <col min="6147" max="6147" width="14.42578125" style="401" customWidth="1"/>
    <col min="6148" max="6148" width="5.42578125" style="401" customWidth="1"/>
    <col min="6149" max="6149" width="14.140625" style="401" customWidth="1"/>
    <col min="6150" max="6163" width="6" style="401" customWidth="1"/>
    <col min="6164" max="6401" width="9.140625" style="401"/>
    <col min="6402" max="6402" width="3.7109375" style="401" customWidth="1"/>
    <col min="6403" max="6403" width="14.42578125" style="401" customWidth="1"/>
    <col min="6404" max="6404" width="5.42578125" style="401" customWidth="1"/>
    <col min="6405" max="6405" width="14.140625" style="401" customWidth="1"/>
    <col min="6406" max="6419" width="6" style="401" customWidth="1"/>
    <col min="6420" max="6657" width="9.140625" style="401"/>
    <col min="6658" max="6658" width="3.7109375" style="401" customWidth="1"/>
    <col min="6659" max="6659" width="14.42578125" style="401" customWidth="1"/>
    <col min="6660" max="6660" width="5.42578125" style="401" customWidth="1"/>
    <col min="6661" max="6661" width="14.140625" style="401" customWidth="1"/>
    <col min="6662" max="6675" width="6" style="401" customWidth="1"/>
    <col min="6676" max="6913" width="9.140625" style="401"/>
    <col min="6914" max="6914" width="3.7109375" style="401" customWidth="1"/>
    <col min="6915" max="6915" width="14.42578125" style="401" customWidth="1"/>
    <col min="6916" max="6916" width="5.42578125" style="401" customWidth="1"/>
    <col min="6917" max="6917" width="14.140625" style="401" customWidth="1"/>
    <col min="6918" max="6931" width="6" style="401" customWidth="1"/>
    <col min="6932" max="7169" width="9.140625" style="401"/>
    <col min="7170" max="7170" width="3.7109375" style="401" customWidth="1"/>
    <col min="7171" max="7171" width="14.42578125" style="401" customWidth="1"/>
    <col min="7172" max="7172" width="5.42578125" style="401" customWidth="1"/>
    <col min="7173" max="7173" width="14.140625" style="401" customWidth="1"/>
    <col min="7174" max="7187" width="6" style="401" customWidth="1"/>
    <col min="7188" max="7425" width="9.140625" style="401"/>
    <col min="7426" max="7426" width="3.7109375" style="401" customWidth="1"/>
    <col min="7427" max="7427" width="14.42578125" style="401" customWidth="1"/>
    <col min="7428" max="7428" width="5.42578125" style="401" customWidth="1"/>
    <col min="7429" max="7429" width="14.140625" style="401" customWidth="1"/>
    <col min="7430" max="7443" width="6" style="401" customWidth="1"/>
    <col min="7444" max="7681" width="9.140625" style="401"/>
    <col min="7682" max="7682" width="3.7109375" style="401" customWidth="1"/>
    <col min="7683" max="7683" width="14.42578125" style="401" customWidth="1"/>
    <col min="7684" max="7684" width="5.42578125" style="401" customWidth="1"/>
    <col min="7685" max="7685" width="14.140625" style="401" customWidth="1"/>
    <col min="7686" max="7699" width="6" style="401" customWidth="1"/>
    <col min="7700" max="7937" width="9.140625" style="401"/>
    <col min="7938" max="7938" width="3.7109375" style="401" customWidth="1"/>
    <col min="7939" max="7939" width="14.42578125" style="401" customWidth="1"/>
    <col min="7940" max="7940" width="5.42578125" style="401" customWidth="1"/>
    <col min="7941" max="7941" width="14.140625" style="401" customWidth="1"/>
    <col min="7942" max="7955" width="6" style="401" customWidth="1"/>
    <col min="7956" max="8193" width="9.140625" style="401"/>
    <col min="8194" max="8194" width="3.7109375" style="401" customWidth="1"/>
    <col min="8195" max="8195" width="14.42578125" style="401" customWidth="1"/>
    <col min="8196" max="8196" width="5.42578125" style="401" customWidth="1"/>
    <col min="8197" max="8197" width="14.140625" style="401" customWidth="1"/>
    <col min="8198" max="8211" width="6" style="401" customWidth="1"/>
    <col min="8212" max="8449" width="9.140625" style="401"/>
    <col min="8450" max="8450" width="3.7109375" style="401" customWidth="1"/>
    <col min="8451" max="8451" width="14.42578125" style="401" customWidth="1"/>
    <col min="8452" max="8452" width="5.42578125" style="401" customWidth="1"/>
    <col min="8453" max="8453" width="14.140625" style="401" customWidth="1"/>
    <col min="8454" max="8467" width="6" style="401" customWidth="1"/>
    <col min="8468" max="8705" width="9.140625" style="401"/>
    <col min="8706" max="8706" width="3.7109375" style="401" customWidth="1"/>
    <col min="8707" max="8707" width="14.42578125" style="401" customWidth="1"/>
    <col min="8708" max="8708" width="5.42578125" style="401" customWidth="1"/>
    <col min="8709" max="8709" width="14.140625" style="401" customWidth="1"/>
    <col min="8710" max="8723" width="6" style="401" customWidth="1"/>
    <col min="8724" max="8961" width="9.140625" style="401"/>
    <col min="8962" max="8962" width="3.7109375" style="401" customWidth="1"/>
    <col min="8963" max="8963" width="14.42578125" style="401" customWidth="1"/>
    <col min="8964" max="8964" width="5.42578125" style="401" customWidth="1"/>
    <col min="8965" max="8965" width="14.140625" style="401" customWidth="1"/>
    <col min="8966" max="8979" width="6" style="401" customWidth="1"/>
    <col min="8980" max="9217" width="9.140625" style="401"/>
    <col min="9218" max="9218" width="3.7109375" style="401" customWidth="1"/>
    <col min="9219" max="9219" width="14.42578125" style="401" customWidth="1"/>
    <col min="9220" max="9220" width="5.42578125" style="401" customWidth="1"/>
    <col min="9221" max="9221" width="14.140625" style="401" customWidth="1"/>
    <col min="9222" max="9235" width="6" style="401" customWidth="1"/>
    <col min="9236" max="9473" width="9.140625" style="401"/>
    <col min="9474" max="9474" width="3.7109375" style="401" customWidth="1"/>
    <col min="9475" max="9475" width="14.42578125" style="401" customWidth="1"/>
    <col min="9476" max="9476" width="5.42578125" style="401" customWidth="1"/>
    <col min="9477" max="9477" width="14.140625" style="401" customWidth="1"/>
    <col min="9478" max="9491" width="6" style="401" customWidth="1"/>
    <col min="9492" max="9729" width="9.140625" style="401"/>
    <col min="9730" max="9730" width="3.7109375" style="401" customWidth="1"/>
    <col min="9731" max="9731" width="14.42578125" style="401" customWidth="1"/>
    <col min="9732" max="9732" width="5.42578125" style="401" customWidth="1"/>
    <col min="9733" max="9733" width="14.140625" style="401" customWidth="1"/>
    <col min="9734" max="9747" width="6" style="401" customWidth="1"/>
    <col min="9748" max="9985" width="9.140625" style="401"/>
    <col min="9986" max="9986" width="3.7109375" style="401" customWidth="1"/>
    <col min="9987" max="9987" width="14.42578125" style="401" customWidth="1"/>
    <col min="9988" max="9988" width="5.42578125" style="401" customWidth="1"/>
    <col min="9989" max="9989" width="14.140625" style="401" customWidth="1"/>
    <col min="9990" max="10003" width="6" style="401" customWidth="1"/>
    <col min="10004" max="10241" width="9.140625" style="401"/>
    <col min="10242" max="10242" width="3.7109375" style="401" customWidth="1"/>
    <col min="10243" max="10243" width="14.42578125" style="401" customWidth="1"/>
    <col min="10244" max="10244" width="5.42578125" style="401" customWidth="1"/>
    <col min="10245" max="10245" width="14.140625" style="401" customWidth="1"/>
    <col min="10246" max="10259" width="6" style="401" customWidth="1"/>
    <col min="10260" max="10497" width="9.140625" style="401"/>
    <col min="10498" max="10498" width="3.7109375" style="401" customWidth="1"/>
    <col min="10499" max="10499" width="14.42578125" style="401" customWidth="1"/>
    <col min="10500" max="10500" width="5.42578125" style="401" customWidth="1"/>
    <col min="10501" max="10501" width="14.140625" style="401" customWidth="1"/>
    <col min="10502" max="10515" width="6" style="401" customWidth="1"/>
    <col min="10516" max="10753" width="9.140625" style="401"/>
    <col min="10754" max="10754" width="3.7109375" style="401" customWidth="1"/>
    <col min="10755" max="10755" width="14.42578125" style="401" customWidth="1"/>
    <col min="10756" max="10756" width="5.42578125" style="401" customWidth="1"/>
    <col min="10757" max="10757" width="14.140625" style="401" customWidth="1"/>
    <col min="10758" max="10771" width="6" style="401" customWidth="1"/>
    <col min="10772" max="11009" width="9.140625" style="401"/>
    <col min="11010" max="11010" width="3.7109375" style="401" customWidth="1"/>
    <col min="11011" max="11011" width="14.42578125" style="401" customWidth="1"/>
    <col min="11012" max="11012" width="5.42578125" style="401" customWidth="1"/>
    <col min="11013" max="11013" width="14.140625" style="401" customWidth="1"/>
    <col min="11014" max="11027" width="6" style="401" customWidth="1"/>
    <col min="11028" max="11265" width="9.140625" style="401"/>
    <col min="11266" max="11266" width="3.7109375" style="401" customWidth="1"/>
    <col min="11267" max="11267" width="14.42578125" style="401" customWidth="1"/>
    <col min="11268" max="11268" width="5.42578125" style="401" customWidth="1"/>
    <col min="11269" max="11269" width="14.140625" style="401" customWidth="1"/>
    <col min="11270" max="11283" width="6" style="401" customWidth="1"/>
    <col min="11284" max="11521" width="9.140625" style="401"/>
    <col min="11522" max="11522" width="3.7109375" style="401" customWidth="1"/>
    <col min="11523" max="11523" width="14.42578125" style="401" customWidth="1"/>
    <col min="11524" max="11524" width="5.42578125" style="401" customWidth="1"/>
    <col min="11525" max="11525" width="14.140625" style="401" customWidth="1"/>
    <col min="11526" max="11539" width="6" style="401" customWidth="1"/>
    <col min="11540" max="11777" width="9.140625" style="401"/>
    <col min="11778" max="11778" width="3.7109375" style="401" customWidth="1"/>
    <col min="11779" max="11779" width="14.42578125" style="401" customWidth="1"/>
    <col min="11780" max="11780" width="5.42578125" style="401" customWidth="1"/>
    <col min="11781" max="11781" width="14.140625" style="401" customWidth="1"/>
    <col min="11782" max="11795" width="6" style="401" customWidth="1"/>
    <col min="11796" max="12033" width="9.140625" style="401"/>
    <col min="12034" max="12034" width="3.7109375" style="401" customWidth="1"/>
    <col min="12035" max="12035" width="14.42578125" style="401" customWidth="1"/>
    <col min="12036" max="12036" width="5.42578125" style="401" customWidth="1"/>
    <col min="12037" max="12037" width="14.140625" style="401" customWidth="1"/>
    <col min="12038" max="12051" width="6" style="401" customWidth="1"/>
    <col min="12052" max="12289" width="9.140625" style="401"/>
    <col min="12290" max="12290" width="3.7109375" style="401" customWidth="1"/>
    <col min="12291" max="12291" width="14.42578125" style="401" customWidth="1"/>
    <col min="12292" max="12292" width="5.42578125" style="401" customWidth="1"/>
    <col min="12293" max="12293" width="14.140625" style="401" customWidth="1"/>
    <col min="12294" max="12307" width="6" style="401" customWidth="1"/>
    <col min="12308" max="12545" width="9.140625" style="401"/>
    <col min="12546" max="12546" width="3.7109375" style="401" customWidth="1"/>
    <col min="12547" max="12547" width="14.42578125" style="401" customWidth="1"/>
    <col min="12548" max="12548" width="5.42578125" style="401" customWidth="1"/>
    <col min="12549" max="12549" width="14.140625" style="401" customWidth="1"/>
    <col min="12550" max="12563" width="6" style="401" customWidth="1"/>
    <col min="12564" max="12801" width="9.140625" style="401"/>
    <col min="12802" max="12802" width="3.7109375" style="401" customWidth="1"/>
    <col min="12803" max="12803" width="14.42578125" style="401" customWidth="1"/>
    <col min="12804" max="12804" width="5.42578125" style="401" customWidth="1"/>
    <col min="12805" max="12805" width="14.140625" style="401" customWidth="1"/>
    <col min="12806" max="12819" width="6" style="401" customWidth="1"/>
    <col min="12820" max="13057" width="9.140625" style="401"/>
    <col min="13058" max="13058" width="3.7109375" style="401" customWidth="1"/>
    <col min="13059" max="13059" width="14.42578125" style="401" customWidth="1"/>
    <col min="13060" max="13060" width="5.42578125" style="401" customWidth="1"/>
    <col min="13061" max="13061" width="14.140625" style="401" customWidth="1"/>
    <col min="13062" max="13075" width="6" style="401" customWidth="1"/>
    <col min="13076" max="13313" width="9.140625" style="401"/>
    <col min="13314" max="13314" width="3.7109375" style="401" customWidth="1"/>
    <col min="13315" max="13315" width="14.42578125" style="401" customWidth="1"/>
    <col min="13316" max="13316" width="5.42578125" style="401" customWidth="1"/>
    <col min="13317" max="13317" width="14.140625" style="401" customWidth="1"/>
    <col min="13318" max="13331" width="6" style="401" customWidth="1"/>
    <col min="13332" max="13569" width="9.140625" style="401"/>
    <col min="13570" max="13570" width="3.7109375" style="401" customWidth="1"/>
    <col min="13571" max="13571" width="14.42578125" style="401" customWidth="1"/>
    <col min="13572" max="13572" width="5.42578125" style="401" customWidth="1"/>
    <col min="13573" max="13573" width="14.140625" style="401" customWidth="1"/>
    <col min="13574" max="13587" width="6" style="401" customWidth="1"/>
    <col min="13588" max="13825" width="9.140625" style="401"/>
    <col min="13826" max="13826" width="3.7109375" style="401" customWidth="1"/>
    <col min="13827" max="13827" width="14.42578125" style="401" customWidth="1"/>
    <col min="13828" max="13828" width="5.42578125" style="401" customWidth="1"/>
    <col min="13829" max="13829" width="14.140625" style="401" customWidth="1"/>
    <col min="13830" max="13843" width="6" style="401" customWidth="1"/>
    <col min="13844" max="14081" width="9.140625" style="401"/>
    <col min="14082" max="14082" width="3.7109375" style="401" customWidth="1"/>
    <col min="14083" max="14083" width="14.42578125" style="401" customWidth="1"/>
    <col min="14084" max="14084" width="5.42578125" style="401" customWidth="1"/>
    <col min="14085" max="14085" width="14.140625" style="401" customWidth="1"/>
    <col min="14086" max="14099" width="6" style="401" customWidth="1"/>
    <col min="14100" max="14337" width="9.140625" style="401"/>
    <col min="14338" max="14338" width="3.7109375" style="401" customWidth="1"/>
    <col min="14339" max="14339" width="14.42578125" style="401" customWidth="1"/>
    <col min="14340" max="14340" width="5.42578125" style="401" customWidth="1"/>
    <col min="14341" max="14341" width="14.140625" style="401" customWidth="1"/>
    <col min="14342" max="14355" width="6" style="401" customWidth="1"/>
    <col min="14356" max="14593" width="9.140625" style="401"/>
    <col min="14594" max="14594" width="3.7109375" style="401" customWidth="1"/>
    <col min="14595" max="14595" width="14.42578125" style="401" customWidth="1"/>
    <col min="14596" max="14596" width="5.42578125" style="401" customWidth="1"/>
    <col min="14597" max="14597" width="14.140625" style="401" customWidth="1"/>
    <col min="14598" max="14611" width="6" style="401" customWidth="1"/>
    <col min="14612" max="14849" width="9.140625" style="401"/>
    <col min="14850" max="14850" width="3.7109375" style="401" customWidth="1"/>
    <col min="14851" max="14851" width="14.42578125" style="401" customWidth="1"/>
    <col min="14852" max="14852" width="5.42578125" style="401" customWidth="1"/>
    <col min="14853" max="14853" width="14.140625" style="401" customWidth="1"/>
    <col min="14854" max="14867" width="6" style="401" customWidth="1"/>
    <col min="14868" max="15105" width="9.140625" style="401"/>
    <col min="15106" max="15106" width="3.7109375" style="401" customWidth="1"/>
    <col min="15107" max="15107" width="14.42578125" style="401" customWidth="1"/>
    <col min="15108" max="15108" width="5.42578125" style="401" customWidth="1"/>
    <col min="15109" max="15109" width="14.140625" style="401" customWidth="1"/>
    <col min="15110" max="15123" width="6" style="401" customWidth="1"/>
    <col min="15124" max="15361" width="9.140625" style="401"/>
    <col min="15362" max="15362" width="3.7109375" style="401" customWidth="1"/>
    <col min="15363" max="15363" width="14.42578125" style="401" customWidth="1"/>
    <col min="15364" max="15364" width="5.42578125" style="401" customWidth="1"/>
    <col min="15365" max="15365" width="14.140625" style="401" customWidth="1"/>
    <col min="15366" max="15379" width="6" style="401" customWidth="1"/>
    <col min="15380" max="15617" width="9.140625" style="401"/>
    <col min="15618" max="15618" width="3.7109375" style="401" customWidth="1"/>
    <col min="15619" max="15619" width="14.42578125" style="401" customWidth="1"/>
    <col min="15620" max="15620" width="5.42578125" style="401" customWidth="1"/>
    <col min="15621" max="15621" width="14.140625" style="401" customWidth="1"/>
    <col min="15622" max="15635" width="6" style="401" customWidth="1"/>
    <col min="15636" max="15873" width="9.140625" style="401"/>
    <col min="15874" max="15874" width="3.7109375" style="401" customWidth="1"/>
    <col min="15875" max="15875" width="14.42578125" style="401" customWidth="1"/>
    <col min="15876" max="15876" width="5.42578125" style="401" customWidth="1"/>
    <col min="15877" max="15877" width="14.140625" style="401" customWidth="1"/>
    <col min="15878" max="15891" width="6" style="401" customWidth="1"/>
    <col min="15892" max="16129" width="9.140625" style="401"/>
    <col min="16130" max="16130" width="3.7109375" style="401" customWidth="1"/>
    <col min="16131" max="16131" width="14.42578125" style="401" customWidth="1"/>
    <col min="16132" max="16132" width="5.42578125" style="401" customWidth="1"/>
    <col min="16133" max="16133" width="14.140625" style="401" customWidth="1"/>
    <col min="16134" max="16147" width="6" style="401" customWidth="1"/>
    <col min="16148" max="16384" width="9.140625" style="401"/>
  </cols>
  <sheetData>
    <row r="1" spans="1:22" ht="12.75" x14ac:dyDescent="0.2">
      <c r="A1" s="835"/>
      <c r="B1" s="1791"/>
      <c r="C1" s="1791"/>
      <c r="D1" s="628"/>
      <c r="E1" s="628"/>
      <c r="F1" s="628"/>
      <c r="G1" s="628"/>
      <c r="H1" s="628"/>
      <c r="I1" s="628"/>
      <c r="J1" s="628"/>
      <c r="K1" s="628"/>
      <c r="L1" s="628"/>
      <c r="M1" s="628"/>
      <c r="N1" s="628"/>
      <c r="O1" s="628"/>
      <c r="P1" s="628"/>
      <c r="Q1" s="628"/>
      <c r="R1" s="628"/>
      <c r="S1" s="628"/>
      <c r="T1" s="628"/>
    </row>
    <row r="2" spans="1:22" ht="13.15" customHeight="1" x14ac:dyDescent="0.2">
      <c r="A2" s="835">
        <v>1</v>
      </c>
      <c r="B2" s="835" t="s">
        <v>89</v>
      </c>
      <c r="C2" s="835">
        <f>1+Missions!C2</f>
        <v>78</v>
      </c>
      <c r="D2" s="3615" t="s">
        <v>1839</v>
      </c>
      <c r="E2" s="3616"/>
      <c r="F2" s="3616"/>
      <c r="G2" s="3616"/>
      <c r="H2" s="3616"/>
      <c r="I2" s="3616"/>
      <c r="J2" s="3616"/>
      <c r="K2" s="3616"/>
      <c r="L2" s="3616"/>
      <c r="M2" s="3616"/>
      <c r="N2" s="3616"/>
      <c r="O2" s="3616"/>
      <c r="P2" s="3616"/>
      <c r="Q2" s="3616"/>
      <c r="R2" s="3616"/>
      <c r="S2" s="3616"/>
      <c r="T2" s="3617"/>
      <c r="U2" s="406"/>
      <c r="V2" s="406"/>
    </row>
    <row r="3" spans="1:22" ht="12" customHeight="1" x14ac:dyDescent="0.2">
      <c r="A3" s="835">
        <v>2</v>
      </c>
      <c r="B3" s="835" t="s">
        <v>91</v>
      </c>
      <c r="C3" s="835"/>
      <c r="D3" s="3615" t="s">
        <v>1791</v>
      </c>
      <c r="E3" s="3616"/>
      <c r="F3" s="3616"/>
      <c r="G3" s="3616"/>
      <c r="H3" s="3616"/>
      <c r="I3" s="3616"/>
      <c r="J3" s="3616"/>
      <c r="K3" s="3616"/>
      <c r="L3" s="3616"/>
      <c r="M3" s="3616"/>
      <c r="N3" s="3616"/>
      <c r="O3" s="3616"/>
      <c r="P3" s="3616"/>
      <c r="Q3" s="3616"/>
      <c r="R3" s="3616"/>
      <c r="S3" s="3616"/>
      <c r="T3" s="3617"/>
    </row>
    <row r="4" spans="1:22" ht="12.75" customHeight="1" x14ac:dyDescent="0.2">
      <c r="A4" s="835">
        <v>3</v>
      </c>
      <c r="B4" s="835" t="s">
        <v>28</v>
      </c>
      <c r="C4" s="835"/>
      <c r="D4" s="3615" t="s">
        <v>1840</v>
      </c>
      <c r="E4" s="3616"/>
      <c r="F4" s="3616"/>
      <c r="G4" s="3616"/>
      <c r="H4" s="3616"/>
      <c r="I4" s="3616"/>
      <c r="J4" s="3616"/>
      <c r="K4" s="3616"/>
      <c r="L4" s="3616"/>
      <c r="M4" s="3616"/>
      <c r="N4" s="3616"/>
      <c r="O4" s="3616"/>
      <c r="P4" s="3616"/>
      <c r="Q4" s="3616"/>
      <c r="R4" s="3616"/>
      <c r="S4" s="3616"/>
      <c r="T4" s="3617"/>
    </row>
    <row r="5" spans="1:22" ht="12.75" x14ac:dyDescent="0.2">
      <c r="C5" s="418"/>
      <c r="D5" s="628"/>
      <c r="E5" s="628"/>
      <c r="F5" s="628"/>
      <c r="G5" s="628"/>
      <c r="H5" s="628"/>
      <c r="I5" s="628"/>
      <c r="J5" s="628"/>
      <c r="K5" s="628"/>
      <c r="L5" s="628"/>
      <c r="M5" s="628"/>
      <c r="N5" s="628"/>
      <c r="O5" s="628"/>
      <c r="P5" s="628"/>
      <c r="Q5" s="628"/>
      <c r="R5" s="628"/>
      <c r="S5" s="628"/>
      <c r="T5" s="628"/>
    </row>
    <row r="6" spans="1:22" ht="12.75" x14ac:dyDescent="0.2">
      <c r="A6" s="1792"/>
      <c r="B6" s="418"/>
      <c r="C6" s="418"/>
      <c r="D6" s="628"/>
      <c r="E6" s="628"/>
      <c r="F6" s="628"/>
      <c r="G6" s="628"/>
      <c r="H6" s="628"/>
      <c r="I6" s="628"/>
      <c r="J6" s="628"/>
      <c r="K6" s="628"/>
      <c r="L6" s="628"/>
      <c r="M6" s="628"/>
      <c r="N6" s="628"/>
      <c r="O6" s="628"/>
      <c r="P6" s="628"/>
      <c r="Q6" s="628"/>
      <c r="R6" s="628"/>
      <c r="S6" s="628"/>
      <c r="T6" s="628"/>
    </row>
    <row r="7" spans="1:22" ht="12.75" x14ac:dyDescent="0.2">
      <c r="A7" s="835">
        <v>4</v>
      </c>
      <c r="B7" s="418" t="s">
        <v>1</v>
      </c>
      <c r="D7" s="1098" t="s">
        <v>103</v>
      </c>
      <c r="E7" s="1098" t="s">
        <v>1841</v>
      </c>
      <c r="F7" s="1098"/>
      <c r="G7" s="1098"/>
      <c r="H7" s="1098"/>
      <c r="I7" s="1098"/>
      <c r="J7" s="1098"/>
      <c r="K7" s="1098"/>
      <c r="L7" s="436"/>
      <c r="M7" s="432"/>
      <c r="N7" s="432"/>
      <c r="O7" s="432"/>
      <c r="P7" s="432"/>
      <c r="Q7" s="432"/>
      <c r="R7" s="432"/>
    </row>
    <row r="8" spans="1:22" x14ac:dyDescent="0.2">
      <c r="D8" s="3032" t="s">
        <v>1842</v>
      </c>
      <c r="E8" s="1793">
        <v>2000</v>
      </c>
      <c r="F8" s="1793">
        <v>2001</v>
      </c>
      <c r="G8" s="1793">
        <v>2002</v>
      </c>
      <c r="H8" s="1793">
        <v>2003</v>
      </c>
      <c r="I8" s="1793">
        <v>2004</v>
      </c>
      <c r="J8" s="1793">
        <v>2005</v>
      </c>
      <c r="K8" s="1793">
        <v>2006</v>
      </c>
      <c r="L8" s="1793">
        <v>2007</v>
      </c>
      <c r="M8" s="907">
        <v>2008</v>
      </c>
      <c r="N8" s="907">
        <v>2009</v>
      </c>
      <c r="O8" s="907">
        <v>2010</v>
      </c>
      <c r="P8" s="907">
        <v>2011</v>
      </c>
      <c r="Q8" s="907">
        <v>2012</v>
      </c>
      <c r="R8" s="907">
        <v>2013</v>
      </c>
      <c r="S8" s="907">
        <v>2014</v>
      </c>
      <c r="T8" s="3101">
        <v>2015</v>
      </c>
    </row>
    <row r="9" spans="1:22" ht="11.25" customHeight="1" x14ac:dyDescent="0.2">
      <c r="D9" s="2940" t="s">
        <v>1843</v>
      </c>
      <c r="E9" s="905">
        <v>12</v>
      </c>
      <c r="F9" s="905">
        <v>13</v>
      </c>
      <c r="G9" s="905">
        <v>8</v>
      </c>
      <c r="H9" s="905">
        <v>10</v>
      </c>
      <c r="I9" s="905">
        <v>2</v>
      </c>
      <c r="J9" s="905">
        <v>4</v>
      </c>
      <c r="K9" s="905">
        <v>9</v>
      </c>
      <c r="L9" s="905">
        <v>7</v>
      </c>
      <c r="M9" s="905">
        <v>11</v>
      </c>
      <c r="N9" s="905">
        <v>4</v>
      </c>
      <c r="O9" s="905">
        <v>6</v>
      </c>
      <c r="P9" s="905">
        <v>9</v>
      </c>
      <c r="Q9" s="905">
        <v>5</v>
      </c>
      <c r="R9" s="905">
        <v>8</v>
      </c>
      <c r="S9" s="905">
        <v>6</v>
      </c>
      <c r="T9" s="3078">
        <v>5</v>
      </c>
    </row>
    <row r="10" spans="1:22" ht="11.25" customHeight="1" x14ac:dyDescent="0.2">
      <c r="D10" s="2944" t="s">
        <v>1844</v>
      </c>
      <c r="E10" s="1794">
        <v>125</v>
      </c>
      <c r="F10" s="1794">
        <v>108</v>
      </c>
      <c r="G10" s="1794">
        <v>97</v>
      </c>
      <c r="H10" s="1794">
        <v>92</v>
      </c>
      <c r="I10" s="1794">
        <v>109</v>
      </c>
      <c r="J10" s="1794">
        <v>120</v>
      </c>
      <c r="K10" s="1794">
        <v>102</v>
      </c>
      <c r="L10" s="1794">
        <v>85</v>
      </c>
      <c r="M10" s="1794">
        <v>69</v>
      </c>
      <c r="N10" s="1794">
        <v>67</v>
      </c>
      <c r="O10" s="1794">
        <v>80</v>
      </c>
      <c r="P10" s="1794">
        <v>84</v>
      </c>
      <c r="Q10" s="1794">
        <v>61</v>
      </c>
      <c r="R10" s="1794">
        <v>81</v>
      </c>
      <c r="S10" s="1794">
        <v>45</v>
      </c>
      <c r="T10" s="3102">
        <v>61</v>
      </c>
    </row>
    <row r="11" spans="1:22" x14ac:dyDescent="0.2">
      <c r="A11" s="1222"/>
      <c r="D11" s="1109"/>
      <c r="E11" s="784"/>
      <c r="F11" s="784"/>
      <c r="G11" s="784"/>
      <c r="H11" s="784"/>
      <c r="I11" s="784"/>
      <c r="J11" s="784"/>
      <c r="K11" s="784"/>
      <c r="L11" s="784"/>
      <c r="M11" s="784"/>
      <c r="N11" s="784"/>
      <c r="O11" s="432"/>
      <c r="P11" s="432"/>
      <c r="Q11" s="432"/>
      <c r="R11" s="432"/>
    </row>
    <row r="12" spans="1:22" ht="14.25" customHeight="1" x14ac:dyDescent="0.2">
      <c r="A12" s="835">
        <v>5</v>
      </c>
      <c r="B12" s="835" t="s">
        <v>77</v>
      </c>
      <c r="J12" s="432"/>
      <c r="K12" s="432"/>
      <c r="L12" s="432"/>
      <c r="M12" s="432"/>
      <c r="N12" s="432"/>
      <c r="O12" s="432"/>
      <c r="P12" s="432"/>
      <c r="Q12" s="432"/>
      <c r="R12" s="432"/>
    </row>
    <row r="13" spans="1:22" ht="12.75" x14ac:dyDescent="0.2">
      <c r="A13" s="1222"/>
      <c r="C13" s="835"/>
    </row>
    <row r="16" spans="1:22" x14ac:dyDescent="0.2">
      <c r="A16" s="401"/>
      <c r="B16" s="401"/>
      <c r="C16" s="401"/>
      <c r="M16" s="1502"/>
      <c r="N16" s="1502"/>
    </row>
    <row r="17" spans="1:14" x14ac:dyDescent="0.2">
      <c r="A17" s="401"/>
      <c r="B17" s="401"/>
      <c r="C17" s="401"/>
      <c r="M17" s="1502"/>
      <c r="N17" s="1502"/>
    </row>
    <row r="18" spans="1:14" x14ac:dyDescent="0.2">
      <c r="A18" s="401"/>
      <c r="B18" s="401"/>
      <c r="C18" s="401"/>
      <c r="M18" s="1502"/>
      <c r="N18" s="1502"/>
    </row>
    <row r="19" spans="1:14" x14ac:dyDescent="0.2">
      <c r="A19" s="401"/>
      <c r="B19" s="401"/>
      <c r="C19" s="401"/>
      <c r="M19" s="1502"/>
      <c r="N19" s="1502"/>
    </row>
    <row r="20" spans="1:14" x14ac:dyDescent="0.2">
      <c r="A20" s="401"/>
      <c r="B20" s="401"/>
      <c r="C20" s="401"/>
      <c r="M20" s="1502"/>
      <c r="N20" s="1502"/>
    </row>
    <row r="21" spans="1:14" x14ac:dyDescent="0.2">
      <c r="A21" s="401"/>
      <c r="B21" s="401"/>
      <c r="C21" s="401"/>
      <c r="M21" s="1502"/>
      <c r="N21" s="1502"/>
    </row>
    <row r="22" spans="1:14" x14ac:dyDescent="0.2">
      <c r="A22" s="401"/>
      <c r="B22" s="401"/>
      <c r="C22" s="401"/>
      <c r="M22" s="1502"/>
      <c r="N22" s="1502"/>
    </row>
    <row r="23" spans="1:14" x14ac:dyDescent="0.2">
      <c r="A23" s="401"/>
      <c r="B23" s="401"/>
      <c r="C23" s="401"/>
      <c r="M23" s="1502"/>
      <c r="N23" s="1502"/>
    </row>
    <row r="24" spans="1:14" x14ac:dyDescent="0.2">
      <c r="A24" s="401"/>
      <c r="B24" s="401"/>
      <c r="C24" s="401"/>
    </row>
    <row r="25" spans="1:14" x14ac:dyDescent="0.2">
      <c r="A25" s="401"/>
      <c r="B25" s="401"/>
      <c r="C25" s="401"/>
    </row>
    <row r="26" spans="1:14" x14ac:dyDescent="0.2">
      <c r="A26" s="401"/>
      <c r="B26" s="401"/>
      <c r="C26" s="401"/>
    </row>
    <row r="27" spans="1:14" x14ac:dyDescent="0.2">
      <c r="A27" s="401"/>
      <c r="B27" s="401"/>
      <c r="C27" s="401"/>
    </row>
    <row r="28" spans="1:14" x14ac:dyDescent="0.2">
      <c r="A28" s="401"/>
      <c r="B28" s="401"/>
      <c r="C28" s="401"/>
    </row>
    <row r="29" spans="1:14" x14ac:dyDescent="0.2">
      <c r="A29" s="401"/>
      <c r="B29" s="401"/>
      <c r="C29" s="401"/>
    </row>
    <row r="30" spans="1:14" x14ac:dyDescent="0.2">
      <c r="A30" s="401"/>
      <c r="B30" s="401"/>
      <c r="C30" s="401"/>
    </row>
    <row r="31" spans="1:14" x14ac:dyDescent="0.2">
      <c r="A31" s="401"/>
      <c r="B31" s="401"/>
      <c r="C31" s="401"/>
    </row>
    <row r="33" spans="1:20" s="628" customFormat="1" ht="13.15" customHeight="1" x14ac:dyDescent="0.2">
      <c r="A33" s="835">
        <v>6</v>
      </c>
      <c r="B33" s="835" t="s">
        <v>78</v>
      </c>
      <c r="C33" s="835"/>
      <c r="D33" s="3615" t="s">
        <v>1845</v>
      </c>
      <c r="E33" s="3616"/>
      <c r="F33" s="3616"/>
      <c r="G33" s="3616"/>
      <c r="H33" s="3616"/>
      <c r="I33" s="3616"/>
      <c r="J33" s="3616"/>
      <c r="K33" s="3616"/>
      <c r="L33" s="3616"/>
      <c r="M33" s="3616"/>
      <c r="N33" s="3616"/>
      <c r="O33" s="3616"/>
      <c r="P33" s="3616"/>
      <c r="Q33" s="3616"/>
      <c r="R33" s="3616"/>
      <c r="S33" s="3616"/>
      <c r="T33" s="3617"/>
    </row>
    <row r="34" spans="1:20" s="628" customFormat="1" ht="13.15" customHeight="1" x14ac:dyDescent="0.2">
      <c r="A34" s="963">
        <v>7</v>
      </c>
      <c r="B34" s="963" t="s">
        <v>80</v>
      </c>
      <c r="C34" s="963"/>
      <c r="D34" s="3793" t="s">
        <v>1846</v>
      </c>
      <c r="E34" s="3794"/>
      <c r="F34" s="3794"/>
      <c r="G34" s="3794"/>
      <c r="H34" s="3794"/>
      <c r="I34" s="3794"/>
      <c r="J34" s="3794"/>
      <c r="K34" s="3794"/>
      <c r="L34" s="3794"/>
      <c r="M34" s="3794"/>
      <c r="N34" s="3794"/>
      <c r="O34" s="3794"/>
      <c r="P34" s="3794"/>
      <c r="Q34" s="3794"/>
      <c r="R34" s="3794"/>
      <c r="S34" s="3794"/>
      <c r="T34" s="3795"/>
    </row>
    <row r="35" spans="1:20" s="628" customFormat="1" ht="44.25" customHeight="1" x14ac:dyDescent="0.2">
      <c r="A35" s="963">
        <v>8</v>
      </c>
      <c r="B35" s="835" t="s">
        <v>83</v>
      </c>
      <c r="C35" s="835"/>
      <c r="D35" s="3793" t="s">
        <v>1847</v>
      </c>
      <c r="E35" s="3794"/>
      <c r="F35" s="3794"/>
      <c r="G35" s="3794"/>
      <c r="H35" s="3794"/>
      <c r="I35" s="3794"/>
      <c r="J35" s="3794"/>
      <c r="K35" s="3794"/>
      <c r="L35" s="3794"/>
      <c r="M35" s="3794"/>
      <c r="N35" s="3794"/>
      <c r="O35" s="3794"/>
      <c r="P35" s="3794"/>
      <c r="Q35" s="3794"/>
      <c r="R35" s="3794"/>
      <c r="S35" s="3794"/>
      <c r="T35" s="3795"/>
    </row>
    <row r="36" spans="1:20" s="628" customFormat="1" ht="12.75" customHeight="1" x14ac:dyDescent="0.2">
      <c r="A36" s="963">
        <v>9</v>
      </c>
      <c r="B36" s="835" t="s">
        <v>20</v>
      </c>
      <c r="C36" s="835"/>
      <c r="D36" s="3793" t="s">
        <v>1848</v>
      </c>
      <c r="E36" s="3794"/>
      <c r="F36" s="3794"/>
      <c r="G36" s="3794"/>
      <c r="H36" s="3794"/>
      <c r="I36" s="3794"/>
      <c r="J36" s="3794"/>
      <c r="K36" s="3794"/>
      <c r="L36" s="3794"/>
      <c r="M36" s="3794"/>
      <c r="N36" s="3794"/>
      <c r="O36" s="3794"/>
      <c r="P36" s="3794"/>
      <c r="Q36" s="3794"/>
      <c r="R36" s="3794"/>
      <c r="S36" s="3794"/>
      <c r="T36" s="3795"/>
    </row>
  </sheetData>
  <mergeCells count="7">
    <mergeCell ref="D35:T35"/>
    <mergeCell ref="D36:T36"/>
    <mergeCell ref="D2:T2"/>
    <mergeCell ref="D3:T3"/>
    <mergeCell ref="D4:T4"/>
    <mergeCell ref="D33:T33"/>
    <mergeCell ref="D34:T34"/>
  </mergeCells>
  <pageMargins left="0.74803149606299213" right="0.74803149606299213" top="0.98425196850393704" bottom="0.98425196850393704" header="0.51181102362204722" footer="0.51181102362204722"/>
  <pageSetup paperSize="9" scale="88"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49"/>
  <sheetViews>
    <sheetView showGridLines="0" view="pageBreakPreview" topLeftCell="I22" zoomScaleNormal="100" zoomScaleSheetLayoutView="100" workbookViewId="0">
      <selection activeCell="X9" sqref="X9:X23"/>
    </sheetView>
  </sheetViews>
  <sheetFormatPr defaultColWidth="9.140625" defaultRowHeight="12" x14ac:dyDescent="0.2"/>
  <cols>
    <col min="1" max="1" width="3.7109375" style="1687" customWidth="1"/>
    <col min="2" max="2" width="12.7109375" style="1688" customWidth="1"/>
    <col min="3" max="3" width="3.7109375" style="1688" customWidth="1"/>
    <col min="4" max="4" width="20.7109375" style="428" customWidth="1"/>
    <col min="5" max="5" width="4.140625" style="1208" customWidth="1"/>
    <col min="6" max="13" width="10" style="428" bestFit="1" customWidth="1"/>
    <col min="14" max="19" width="9.7109375" style="428" bestFit="1" customWidth="1"/>
    <col min="20" max="20" width="10.7109375" style="428" bestFit="1" customWidth="1"/>
    <col min="21" max="21" width="10.28515625" style="428" customWidth="1"/>
    <col min="22" max="22" width="10.7109375" style="428" bestFit="1" customWidth="1"/>
    <col min="23" max="23" width="11.5703125" style="428" bestFit="1" customWidth="1"/>
    <col min="24" max="257" width="9.140625" style="428"/>
    <col min="258" max="258" width="3.7109375" style="428" customWidth="1"/>
    <col min="259" max="259" width="12.7109375" style="428" customWidth="1"/>
    <col min="260" max="260" width="3.7109375" style="428" customWidth="1"/>
    <col min="261" max="261" width="20.7109375" style="428" customWidth="1"/>
    <col min="262" max="262" width="4.140625" style="428" customWidth="1"/>
    <col min="263" max="276" width="8.7109375" style="428" customWidth="1"/>
    <col min="277" max="277" width="10.140625" style="428" customWidth="1"/>
    <col min="278" max="513" width="9.140625" style="428"/>
    <col min="514" max="514" width="3.7109375" style="428" customWidth="1"/>
    <col min="515" max="515" width="12.7109375" style="428" customWidth="1"/>
    <col min="516" max="516" width="3.7109375" style="428" customWidth="1"/>
    <col min="517" max="517" width="20.7109375" style="428" customWidth="1"/>
    <col min="518" max="518" width="4.140625" style="428" customWidth="1"/>
    <col min="519" max="532" width="8.7109375" style="428" customWidth="1"/>
    <col min="533" max="533" width="10.140625" style="428" customWidth="1"/>
    <col min="534" max="769" width="9.140625" style="428"/>
    <col min="770" max="770" width="3.7109375" style="428" customWidth="1"/>
    <col min="771" max="771" width="12.7109375" style="428" customWidth="1"/>
    <col min="772" max="772" width="3.7109375" style="428" customWidth="1"/>
    <col min="773" max="773" width="20.7109375" style="428" customWidth="1"/>
    <col min="774" max="774" width="4.140625" style="428" customWidth="1"/>
    <col min="775" max="788" width="8.7109375" style="428" customWidth="1"/>
    <col min="789" max="789" width="10.140625" style="428" customWidth="1"/>
    <col min="790" max="1025" width="9.140625" style="428"/>
    <col min="1026" max="1026" width="3.7109375" style="428" customWidth="1"/>
    <col min="1027" max="1027" width="12.7109375" style="428" customWidth="1"/>
    <col min="1028" max="1028" width="3.7109375" style="428" customWidth="1"/>
    <col min="1029" max="1029" width="20.7109375" style="428" customWidth="1"/>
    <col min="1030" max="1030" width="4.140625" style="428" customWidth="1"/>
    <col min="1031" max="1044" width="8.7109375" style="428" customWidth="1"/>
    <col min="1045" max="1045" width="10.140625" style="428" customWidth="1"/>
    <col min="1046" max="1281" width="9.140625" style="428"/>
    <col min="1282" max="1282" width="3.7109375" style="428" customWidth="1"/>
    <col min="1283" max="1283" width="12.7109375" style="428" customWidth="1"/>
    <col min="1284" max="1284" width="3.7109375" style="428" customWidth="1"/>
    <col min="1285" max="1285" width="20.7109375" style="428" customWidth="1"/>
    <col min="1286" max="1286" width="4.140625" style="428" customWidth="1"/>
    <col min="1287" max="1300" width="8.7109375" style="428" customWidth="1"/>
    <col min="1301" max="1301" width="10.140625" style="428" customWidth="1"/>
    <col min="1302" max="1537" width="9.140625" style="428"/>
    <col min="1538" max="1538" width="3.7109375" style="428" customWidth="1"/>
    <col min="1539" max="1539" width="12.7109375" style="428" customWidth="1"/>
    <col min="1540" max="1540" width="3.7109375" style="428" customWidth="1"/>
    <col min="1541" max="1541" width="20.7109375" style="428" customWidth="1"/>
    <col min="1542" max="1542" width="4.140625" style="428" customWidth="1"/>
    <col min="1543" max="1556" width="8.7109375" style="428" customWidth="1"/>
    <col min="1557" max="1557" width="10.140625" style="428" customWidth="1"/>
    <col min="1558" max="1793" width="9.140625" style="428"/>
    <col min="1794" max="1794" width="3.7109375" style="428" customWidth="1"/>
    <col min="1795" max="1795" width="12.7109375" style="428" customWidth="1"/>
    <col min="1796" max="1796" width="3.7109375" style="428" customWidth="1"/>
    <col min="1797" max="1797" width="20.7109375" style="428" customWidth="1"/>
    <col min="1798" max="1798" width="4.140625" style="428" customWidth="1"/>
    <col min="1799" max="1812" width="8.7109375" style="428" customWidth="1"/>
    <col min="1813" max="1813" width="10.140625" style="428" customWidth="1"/>
    <col min="1814" max="2049" width="9.140625" style="428"/>
    <col min="2050" max="2050" width="3.7109375" style="428" customWidth="1"/>
    <col min="2051" max="2051" width="12.7109375" style="428" customWidth="1"/>
    <col min="2052" max="2052" width="3.7109375" style="428" customWidth="1"/>
    <col min="2053" max="2053" width="20.7109375" style="428" customWidth="1"/>
    <col min="2054" max="2054" width="4.140625" style="428" customWidth="1"/>
    <col min="2055" max="2068" width="8.7109375" style="428" customWidth="1"/>
    <col min="2069" max="2069" width="10.140625" style="428" customWidth="1"/>
    <col min="2070" max="2305" width="9.140625" style="428"/>
    <col min="2306" max="2306" width="3.7109375" style="428" customWidth="1"/>
    <col min="2307" max="2307" width="12.7109375" style="428" customWidth="1"/>
    <col min="2308" max="2308" width="3.7109375" style="428" customWidth="1"/>
    <col min="2309" max="2309" width="20.7109375" style="428" customWidth="1"/>
    <col min="2310" max="2310" width="4.140625" style="428" customWidth="1"/>
    <col min="2311" max="2324" width="8.7109375" style="428" customWidth="1"/>
    <col min="2325" max="2325" width="10.140625" style="428" customWidth="1"/>
    <col min="2326" max="2561" width="9.140625" style="428"/>
    <col min="2562" max="2562" width="3.7109375" style="428" customWidth="1"/>
    <col min="2563" max="2563" width="12.7109375" style="428" customWidth="1"/>
    <col min="2564" max="2564" width="3.7109375" style="428" customWidth="1"/>
    <col min="2565" max="2565" width="20.7109375" style="428" customWidth="1"/>
    <col min="2566" max="2566" width="4.140625" style="428" customWidth="1"/>
    <col min="2567" max="2580" width="8.7109375" style="428" customWidth="1"/>
    <col min="2581" max="2581" width="10.140625" style="428" customWidth="1"/>
    <col min="2582" max="2817" width="9.140625" style="428"/>
    <col min="2818" max="2818" width="3.7109375" style="428" customWidth="1"/>
    <col min="2819" max="2819" width="12.7109375" style="428" customWidth="1"/>
    <col min="2820" max="2820" width="3.7109375" style="428" customWidth="1"/>
    <col min="2821" max="2821" width="20.7109375" style="428" customWidth="1"/>
    <col min="2822" max="2822" width="4.140625" style="428" customWidth="1"/>
    <col min="2823" max="2836" width="8.7109375" style="428" customWidth="1"/>
    <col min="2837" max="2837" width="10.140625" style="428" customWidth="1"/>
    <col min="2838" max="3073" width="9.140625" style="428"/>
    <col min="3074" max="3074" width="3.7109375" style="428" customWidth="1"/>
    <col min="3075" max="3075" width="12.7109375" style="428" customWidth="1"/>
    <col min="3076" max="3076" width="3.7109375" style="428" customWidth="1"/>
    <col min="3077" max="3077" width="20.7109375" style="428" customWidth="1"/>
    <col min="3078" max="3078" width="4.140625" style="428" customWidth="1"/>
    <col min="3079" max="3092" width="8.7109375" style="428" customWidth="1"/>
    <col min="3093" max="3093" width="10.140625" style="428" customWidth="1"/>
    <col min="3094" max="3329" width="9.140625" style="428"/>
    <col min="3330" max="3330" width="3.7109375" style="428" customWidth="1"/>
    <col min="3331" max="3331" width="12.7109375" style="428" customWidth="1"/>
    <col min="3332" max="3332" width="3.7109375" style="428" customWidth="1"/>
    <col min="3333" max="3333" width="20.7109375" style="428" customWidth="1"/>
    <col min="3334" max="3334" width="4.140625" style="428" customWidth="1"/>
    <col min="3335" max="3348" width="8.7109375" style="428" customWidth="1"/>
    <col min="3349" max="3349" width="10.140625" style="428" customWidth="1"/>
    <col min="3350" max="3585" width="9.140625" style="428"/>
    <col min="3586" max="3586" width="3.7109375" style="428" customWidth="1"/>
    <col min="3587" max="3587" width="12.7109375" style="428" customWidth="1"/>
    <col min="3588" max="3588" width="3.7109375" style="428" customWidth="1"/>
    <col min="3589" max="3589" width="20.7109375" style="428" customWidth="1"/>
    <col min="3590" max="3590" width="4.140625" style="428" customWidth="1"/>
    <col min="3591" max="3604" width="8.7109375" style="428" customWidth="1"/>
    <col min="3605" max="3605" width="10.140625" style="428" customWidth="1"/>
    <col min="3606" max="3841" width="9.140625" style="428"/>
    <col min="3842" max="3842" width="3.7109375" style="428" customWidth="1"/>
    <col min="3843" max="3843" width="12.7109375" style="428" customWidth="1"/>
    <col min="3844" max="3844" width="3.7109375" style="428" customWidth="1"/>
    <col min="3845" max="3845" width="20.7109375" style="428" customWidth="1"/>
    <col min="3846" max="3846" width="4.140625" style="428" customWidth="1"/>
    <col min="3847" max="3860" width="8.7109375" style="428" customWidth="1"/>
    <col min="3861" max="3861" width="10.140625" style="428" customWidth="1"/>
    <col min="3862" max="4097" width="9.140625" style="428"/>
    <col min="4098" max="4098" width="3.7109375" style="428" customWidth="1"/>
    <col min="4099" max="4099" width="12.7109375" style="428" customWidth="1"/>
    <col min="4100" max="4100" width="3.7109375" style="428" customWidth="1"/>
    <col min="4101" max="4101" width="20.7109375" style="428" customWidth="1"/>
    <col min="4102" max="4102" width="4.140625" style="428" customWidth="1"/>
    <col min="4103" max="4116" width="8.7109375" style="428" customWidth="1"/>
    <col min="4117" max="4117" width="10.140625" style="428" customWidth="1"/>
    <col min="4118" max="4353" width="9.140625" style="428"/>
    <col min="4354" max="4354" width="3.7109375" style="428" customWidth="1"/>
    <col min="4355" max="4355" width="12.7109375" style="428" customWidth="1"/>
    <col min="4356" max="4356" width="3.7109375" style="428" customWidth="1"/>
    <col min="4357" max="4357" width="20.7109375" style="428" customWidth="1"/>
    <col min="4358" max="4358" width="4.140625" style="428" customWidth="1"/>
    <col min="4359" max="4372" width="8.7109375" style="428" customWidth="1"/>
    <col min="4373" max="4373" width="10.140625" style="428" customWidth="1"/>
    <col min="4374" max="4609" width="9.140625" style="428"/>
    <col min="4610" max="4610" width="3.7109375" style="428" customWidth="1"/>
    <col min="4611" max="4611" width="12.7109375" style="428" customWidth="1"/>
    <col min="4612" max="4612" width="3.7109375" style="428" customWidth="1"/>
    <col min="4613" max="4613" width="20.7109375" style="428" customWidth="1"/>
    <col min="4614" max="4614" width="4.140625" style="428" customWidth="1"/>
    <col min="4615" max="4628" width="8.7109375" style="428" customWidth="1"/>
    <col min="4629" max="4629" width="10.140625" style="428" customWidth="1"/>
    <col min="4630" max="4865" width="9.140625" style="428"/>
    <col min="4866" max="4866" width="3.7109375" style="428" customWidth="1"/>
    <col min="4867" max="4867" width="12.7109375" style="428" customWidth="1"/>
    <col min="4868" max="4868" width="3.7109375" style="428" customWidth="1"/>
    <col min="4869" max="4869" width="20.7109375" style="428" customWidth="1"/>
    <col min="4870" max="4870" width="4.140625" style="428" customWidth="1"/>
    <col min="4871" max="4884" width="8.7109375" style="428" customWidth="1"/>
    <col min="4885" max="4885" width="10.140625" style="428" customWidth="1"/>
    <col min="4886" max="5121" width="9.140625" style="428"/>
    <col min="5122" max="5122" width="3.7109375" style="428" customWidth="1"/>
    <col min="5123" max="5123" width="12.7109375" style="428" customWidth="1"/>
    <col min="5124" max="5124" width="3.7109375" style="428" customWidth="1"/>
    <col min="5125" max="5125" width="20.7109375" style="428" customWidth="1"/>
    <col min="5126" max="5126" width="4.140625" style="428" customWidth="1"/>
    <col min="5127" max="5140" width="8.7109375" style="428" customWidth="1"/>
    <col min="5141" max="5141" width="10.140625" style="428" customWidth="1"/>
    <col min="5142" max="5377" width="9.140625" style="428"/>
    <col min="5378" max="5378" width="3.7109375" style="428" customWidth="1"/>
    <col min="5379" max="5379" width="12.7109375" style="428" customWidth="1"/>
    <col min="5380" max="5380" width="3.7109375" style="428" customWidth="1"/>
    <col min="5381" max="5381" width="20.7109375" style="428" customWidth="1"/>
    <col min="5382" max="5382" width="4.140625" style="428" customWidth="1"/>
    <col min="5383" max="5396" width="8.7109375" style="428" customWidth="1"/>
    <col min="5397" max="5397" width="10.140625" style="428" customWidth="1"/>
    <col min="5398" max="5633" width="9.140625" style="428"/>
    <col min="5634" max="5634" width="3.7109375" style="428" customWidth="1"/>
    <col min="5635" max="5635" width="12.7109375" style="428" customWidth="1"/>
    <col min="5636" max="5636" width="3.7109375" style="428" customWidth="1"/>
    <col min="5637" max="5637" width="20.7109375" style="428" customWidth="1"/>
    <col min="5638" max="5638" width="4.140625" style="428" customWidth="1"/>
    <col min="5639" max="5652" width="8.7109375" style="428" customWidth="1"/>
    <col min="5653" max="5653" width="10.140625" style="428" customWidth="1"/>
    <col min="5654" max="5889" width="9.140625" style="428"/>
    <col min="5890" max="5890" width="3.7109375" style="428" customWidth="1"/>
    <col min="5891" max="5891" width="12.7109375" style="428" customWidth="1"/>
    <col min="5892" max="5892" width="3.7109375" style="428" customWidth="1"/>
    <col min="5893" max="5893" width="20.7109375" style="428" customWidth="1"/>
    <col min="5894" max="5894" width="4.140625" style="428" customWidth="1"/>
    <col min="5895" max="5908" width="8.7109375" style="428" customWidth="1"/>
    <col min="5909" max="5909" width="10.140625" style="428" customWidth="1"/>
    <col min="5910" max="6145" width="9.140625" style="428"/>
    <col min="6146" max="6146" width="3.7109375" style="428" customWidth="1"/>
    <col min="6147" max="6147" width="12.7109375" style="428" customWidth="1"/>
    <col min="6148" max="6148" width="3.7109375" style="428" customWidth="1"/>
    <col min="6149" max="6149" width="20.7109375" style="428" customWidth="1"/>
    <col min="6150" max="6150" width="4.140625" style="428" customWidth="1"/>
    <col min="6151" max="6164" width="8.7109375" style="428" customWidth="1"/>
    <col min="6165" max="6165" width="10.140625" style="428" customWidth="1"/>
    <col min="6166" max="6401" width="9.140625" style="428"/>
    <col min="6402" max="6402" width="3.7109375" style="428" customWidth="1"/>
    <col min="6403" max="6403" width="12.7109375" style="428" customWidth="1"/>
    <col min="6404" max="6404" width="3.7109375" style="428" customWidth="1"/>
    <col min="6405" max="6405" width="20.7109375" style="428" customWidth="1"/>
    <col min="6406" max="6406" width="4.140625" style="428" customWidth="1"/>
    <col min="6407" max="6420" width="8.7109375" style="428" customWidth="1"/>
    <col min="6421" max="6421" width="10.140625" style="428" customWidth="1"/>
    <col min="6422" max="6657" width="9.140625" style="428"/>
    <col min="6658" max="6658" width="3.7109375" style="428" customWidth="1"/>
    <col min="6659" max="6659" width="12.7109375" style="428" customWidth="1"/>
    <col min="6660" max="6660" width="3.7109375" style="428" customWidth="1"/>
    <col min="6661" max="6661" width="20.7109375" style="428" customWidth="1"/>
    <col min="6662" max="6662" width="4.140625" style="428" customWidth="1"/>
    <col min="6663" max="6676" width="8.7109375" style="428" customWidth="1"/>
    <col min="6677" max="6677" width="10.140625" style="428" customWidth="1"/>
    <col min="6678" max="6913" width="9.140625" style="428"/>
    <col min="6914" max="6914" width="3.7109375" style="428" customWidth="1"/>
    <col min="6915" max="6915" width="12.7109375" style="428" customWidth="1"/>
    <col min="6916" max="6916" width="3.7109375" style="428" customWidth="1"/>
    <col min="6917" max="6917" width="20.7109375" style="428" customWidth="1"/>
    <col min="6918" max="6918" width="4.140625" style="428" customWidth="1"/>
    <col min="6919" max="6932" width="8.7109375" style="428" customWidth="1"/>
    <col min="6933" max="6933" width="10.140625" style="428" customWidth="1"/>
    <col min="6934" max="7169" width="9.140625" style="428"/>
    <col min="7170" max="7170" width="3.7109375" style="428" customWidth="1"/>
    <col min="7171" max="7171" width="12.7109375" style="428" customWidth="1"/>
    <col min="7172" max="7172" width="3.7109375" style="428" customWidth="1"/>
    <col min="7173" max="7173" width="20.7109375" style="428" customWidth="1"/>
    <col min="7174" max="7174" width="4.140625" style="428" customWidth="1"/>
    <col min="7175" max="7188" width="8.7109375" style="428" customWidth="1"/>
    <col min="7189" max="7189" width="10.140625" style="428" customWidth="1"/>
    <col min="7190" max="7425" width="9.140625" style="428"/>
    <col min="7426" max="7426" width="3.7109375" style="428" customWidth="1"/>
    <col min="7427" max="7427" width="12.7109375" style="428" customWidth="1"/>
    <col min="7428" max="7428" width="3.7109375" style="428" customWidth="1"/>
    <col min="7429" max="7429" width="20.7109375" style="428" customWidth="1"/>
    <col min="7430" max="7430" width="4.140625" style="428" customWidth="1"/>
    <col min="7431" max="7444" width="8.7109375" style="428" customWidth="1"/>
    <col min="7445" max="7445" width="10.140625" style="428" customWidth="1"/>
    <col min="7446" max="7681" width="9.140625" style="428"/>
    <col min="7682" max="7682" width="3.7109375" style="428" customWidth="1"/>
    <col min="7683" max="7683" width="12.7109375" style="428" customWidth="1"/>
    <col min="7684" max="7684" width="3.7109375" style="428" customWidth="1"/>
    <col min="7685" max="7685" width="20.7109375" style="428" customWidth="1"/>
    <col min="7686" max="7686" width="4.140625" style="428" customWidth="1"/>
    <col min="7687" max="7700" width="8.7109375" style="428" customWidth="1"/>
    <col min="7701" max="7701" width="10.140625" style="428" customWidth="1"/>
    <col min="7702" max="7937" width="9.140625" style="428"/>
    <col min="7938" max="7938" width="3.7109375" style="428" customWidth="1"/>
    <col min="7939" max="7939" width="12.7109375" style="428" customWidth="1"/>
    <col min="7940" max="7940" width="3.7109375" style="428" customWidth="1"/>
    <col min="7941" max="7941" width="20.7109375" style="428" customWidth="1"/>
    <col min="7942" max="7942" width="4.140625" style="428" customWidth="1"/>
    <col min="7943" max="7956" width="8.7109375" style="428" customWidth="1"/>
    <col min="7957" max="7957" width="10.140625" style="428" customWidth="1"/>
    <col min="7958" max="8193" width="9.140625" style="428"/>
    <col min="8194" max="8194" width="3.7109375" style="428" customWidth="1"/>
    <col min="8195" max="8195" width="12.7109375" style="428" customWidth="1"/>
    <col min="8196" max="8196" width="3.7109375" style="428" customWidth="1"/>
    <col min="8197" max="8197" width="20.7109375" style="428" customWidth="1"/>
    <col min="8198" max="8198" width="4.140625" style="428" customWidth="1"/>
    <col min="8199" max="8212" width="8.7109375" style="428" customWidth="1"/>
    <col min="8213" max="8213" width="10.140625" style="428" customWidth="1"/>
    <col min="8214" max="8449" width="9.140625" style="428"/>
    <col min="8450" max="8450" width="3.7109375" style="428" customWidth="1"/>
    <col min="8451" max="8451" width="12.7109375" style="428" customWidth="1"/>
    <col min="8452" max="8452" width="3.7109375" style="428" customWidth="1"/>
    <col min="8453" max="8453" width="20.7109375" style="428" customWidth="1"/>
    <col min="8454" max="8454" width="4.140625" style="428" customWidth="1"/>
    <col min="8455" max="8468" width="8.7109375" style="428" customWidth="1"/>
    <col min="8469" max="8469" width="10.140625" style="428" customWidth="1"/>
    <col min="8470" max="8705" width="9.140625" style="428"/>
    <col min="8706" max="8706" width="3.7109375" style="428" customWidth="1"/>
    <col min="8707" max="8707" width="12.7109375" style="428" customWidth="1"/>
    <col min="8708" max="8708" width="3.7109375" style="428" customWidth="1"/>
    <col min="8709" max="8709" width="20.7109375" style="428" customWidth="1"/>
    <col min="8710" max="8710" width="4.140625" style="428" customWidth="1"/>
    <col min="8711" max="8724" width="8.7109375" style="428" customWidth="1"/>
    <col min="8725" max="8725" width="10.140625" style="428" customWidth="1"/>
    <col min="8726" max="8961" width="9.140625" style="428"/>
    <col min="8962" max="8962" width="3.7109375" style="428" customWidth="1"/>
    <col min="8963" max="8963" width="12.7109375" style="428" customWidth="1"/>
    <col min="8964" max="8964" width="3.7109375" style="428" customWidth="1"/>
    <col min="8965" max="8965" width="20.7109375" style="428" customWidth="1"/>
    <col min="8966" max="8966" width="4.140625" style="428" customWidth="1"/>
    <col min="8967" max="8980" width="8.7109375" style="428" customWidth="1"/>
    <col min="8981" max="8981" width="10.140625" style="428" customWidth="1"/>
    <col min="8982" max="9217" width="9.140625" style="428"/>
    <col min="9218" max="9218" width="3.7109375" style="428" customWidth="1"/>
    <col min="9219" max="9219" width="12.7109375" style="428" customWidth="1"/>
    <col min="9220" max="9220" width="3.7109375" style="428" customWidth="1"/>
    <col min="9221" max="9221" width="20.7109375" style="428" customWidth="1"/>
    <col min="9222" max="9222" width="4.140625" style="428" customWidth="1"/>
    <col min="9223" max="9236" width="8.7109375" style="428" customWidth="1"/>
    <col min="9237" max="9237" width="10.140625" style="428" customWidth="1"/>
    <col min="9238" max="9473" width="9.140625" style="428"/>
    <col min="9474" max="9474" width="3.7109375" style="428" customWidth="1"/>
    <col min="9475" max="9475" width="12.7109375" style="428" customWidth="1"/>
    <col min="9476" max="9476" width="3.7109375" style="428" customWidth="1"/>
    <col min="9477" max="9477" width="20.7109375" style="428" customWidth="1"/>
    <col min="9478" max="9478" width="4.140625" style="428" customWidth="1"/>
    <col min="9479" max="9492" width="8.7109375" style="428" customWidth="1"/>
    <col min="9493" max="9493" width="10.140625" style="428" customWidth="1"/>
    <col min="9494" max="9729" width="9.140625" style="428"/>
    <col min="9730" max="9730" width="3.7109375" style="428" customWidth="1"/>
    <col min="9731" max="9731" width="12.7109375" style="428" customWidth="1"/>
    <col min="9732" max="9732" width="3.7109375" style="428" customWidth="1"/>
    <col min="9733" max="9733" width="20.7109375" style="428" customWidth="1"/>
    <col min="9734" max="9734" width="4.140625" style="428" customWidth="1"/>
    <col min="9735" max="9748" width="8.7109375" style="428" customWidth="1"/>
    <col min="9749" max="9749" width="10.140625" style="428" customWidth="1"/>
    <col min="9750" max="9985" width="9.140625" style="428"/>
    <col min="9986" max="9986" width="3.7109375" style="428" customWidth="1"/>
    <col min="9987" max="9987" width="12.7109375" style="428" customWidth="1"/>
    <col min="9988" max="9988" width="3.7109375" style="428" customWidth="1"/>
    <col min="9989" max="9989" width="20.7109375" style="428" customWidth="1"/>
    <col min="9990" max="9990" width="4.140625" style="428" customWidth="1"/>
    <col min="9991" max="10004" width="8.7109375" style="428" customWidth="1"/>
    <col min="10005" max="10005" width="10.140625" style="428" customWidth="1"/>
    <col min="10006" max="10241" width="9.140625" style="428"/>
    <col min="10242" max="10242" width="3.7109375" style="428" customWidth="1"/>
    <col min="10243" max="10243" width="12.7109375" style="428" customWidth="1"/>
    <col min="10244" max="10244" width="3.7109375" style="428" customWidth="1"/>
    <col min="10245" max="10245" width="20.7109375" style="428" customWidth="1"/>
    <col min="10246" max="10246" width="4.140625" style="428" customWidth="1"/>
    <col min="10247" max="10260" width="8.7109375" style="428" customWidth="1"/>
    <col min="10261" max="10261" width="10.140625" style="428" customWidth="1"/>
    <col min="10262" max="10497" width="9.140625" style="428"/>
    <col min="10498" max="10498" width="3.7109375" style="428" customWidth="1"/>
    <col min="10499" max="10499" width="12.7109375" style="428" customWidth="1"/>
    <col min="10500" max="10500" width="3.7109375" style="428" customWidth="1"/>
    <col min="10501" max="10501" width="20.7109375" style="428" customWidth="1"/>
    <col min="10502" max="10502" width="4.140625" style="428" customWidth="1"/>
    <col min="10503" max="10516" width="8.7109375" style="428" customWidth="1"/>
    <col min="10517" max="10517" width="10.140625" style="428" customWidth="1"/>
    <col min="10518" max="10753" width="9.140625" style="428"/>
    <col min="10754" max="10754" width="3.7109375" style="428" customWidth="1"/>
    <col min="10755" max="10755" width="12.7109375" style="428" customWidth="1"/>
    <col min="10756" max="10756" width="3.7109375" style="428" customWidth="1"/>
    <col min="10757" max="10757" width="20.7109375" style="428" customWidth="1"/>
    <col min="10758" max="10758" width="4.140625" style="428" customWidth="1"/>
    <col min="10759" max="10772" width="8.7109375" style="428" customWidth="1"/>
    <col min="10773" max="10773" width="10.140625" style="428" customWidth="1"/>
    <col min="10774" max="11009" width="9.140625" style="428"/>
    <col min="11010" max="11010" width="3.7109375" style="428" customWidth="1"/>
    <col min="11011" max="11011" width="12.7109375" style="428" customWidth="1"/>
    <col min="11012" max="11012" width="3.7109375" style="428" customWidth="1"/>
    <col min="11013" max="11013" width="20.7109375" style="428" customWidth="1"/>
    <col min="11014" max="11014" width="4.140625" style="428" customWidth="1"/>
    <col min="11015" max="11028" width="8.7109375" style="428" customWidth="1"/>
    <col min="11029" max="11029" width="10.140625" style="428" customWidth="1"/>
    <col min="11030" max="11265" width="9.140625" style="428"/>
    <col min="11266" max="11266" width="3.7109375" style="428" customWidth="1"/>
    <col min="11267" max="11267" width="12.7109375" style="428" customWidth="1"/>
    <col min="11268" max="11268" width="3.7109375" style="428" customWidth="1"/>
    <col min="11269" max="11269" width="20.7109375" style="428" customWidth="1"/>
    <col min="11270" max="11270" width="4.140625" style="428" customWidth="1"/>
    <col min="11271" max="11284" width="8.7109375" style="428" customWidth="1"/>
    <col min="11285" max="11285" width="10.140625" style="428" customWidth="1"/>
    <col min="11286" max="11521" width="9.140625" style="428"/>
    <col min="11522" max="11522" width="3.7109375" style="428" customWidth="1"/>
    <col min="11523" max="11523" width="12.7109375" style="428" customWidth="1"/>
    <col min="11524" max="11524" width="3.7109375" style="428" customWidth="1"/>
    <col min="11525" max="11525" width="20.7109375" style="428" customWidth="1"/>
    <col min="11526" max="11526" width="4.140625" style="428" customWidth="1"/>
    <col min="11527" max="11540" width="8.7109375" style="428" customWidth="1"/>
    <col min="11541" max="11541" width="10.140625" style="428" customWidth="1"/>
    <col min="11542" max="11777" width="9.140625" style="428"/>
    <col min="11778" max="11778" width="3.7109375" style="428" customWidth="1"/>
    <col min="11779" max="11779" width="12.7109375" style="428" customWidth="1"/>
    <col min="11780" max="11780" width="3.7109375" style="428" customWidth="1"/>
    <col min="11781" max="11781" width="20.7109375" style="428" customWidth="1"/>
    <col min="11782" max="11782" width="4.140625" style="428" customWidth="1"/>
    <col min="11783" max="11796" width="8.7109375" style="428" customWidth="1"/>
    <col min="11797" max="11797" width="10.140625" style="428" customWidth="1"/>
    <col min="11798" max="12033" width="9.140625" style="428"/>
    <col min="12034" max="12034" width="3.7109375" style="428" customWidth="1"/>
    <col min="12035" max="12035" width="12.7109375" style="428" customWidth="1"/>
    <col min="12036" max="12036" width="3.7109375" style="428" customWidth="1"/>
    <col min="12037" max="12037" width="20.7109375" style="428" customWidth="1"/>
    <col min="12038" max="12038" width="4.140625" style="428" customWidth="1"/>
    <col min="12039" max="12052" width="8.7109375" style="428" customWidth="1"/>
    <col min="12053" max="12053" width="10.140625" style="428" customWidth="1"/>
    <col min="12054" max="12289" width="9.140625" style="428"/>
    <col min="12290" max="12290" width="3.7109375" style="428" customWidth="1"/>
    <col min="12291" max="12291" width="12.7109375" style="428" customWidth="1"/>
    <col min="12292" max="12292" width="3.7109375" style="428" customWidth="1"/>
    <col min="12293" max="12293" width="20.7109375" style="428" customWidth="1"/>
    <col min="12294" max="12294" width="4.140625" style="428" customWidth="1"/>
    <col min="12295" max="12308" width="8.7109375" style="428" customWidth="1"/>
    <col min="12309" max="12309" width="10.140625" style="428" customWidth="1"/>
    <col min="12310" max="12545" width="9.140625" style="428"/>
    <col min="12546" max="12546" width="3.7109375" style="428" customWidth="1"/>
    <col min="12547" max="12547" width="12.7109375" style="428" customWidth="1"/>
    <col min="12548" max="12548" width="3.7109375" style="428" customWidth="1"/>
    <col min="12549" max="12549" width="20.7109375" style="428" customWidth="1"/>
    <col min="12550" max="12550" width="4.140625" style="428" customWidth="1"/>
    <col min="12551" max="12564" width="8.7109375" style="428" customWidth="1"/>
    <col min="12565" max="12565" width="10.140625" style="428" customWidth="1"/>
    <col min="12566" max="12801" width="9.140625" style="428"/>
    <col min="12802" max="12802" width="3.7109375" style="428" customWidth="1"/>
    <col min="12803" max="12803" width="12.7109375" style="428" customWidth="1"/>
    <col min="12804" max="12804" width="3.7109375" style="428" customWidth="1"/>
    <col min="12805" max="12805" width="20.7109375" style="428" customWidth="1"/>
    <col min="12806" max="12806" width="4.140625" style="428" customWidth="1"/>
    <col min="12807" max="12820" width="8.7109375" style="428" customWidth="1"/>
    <col min="12821" max="12821" width="10.140625" style="428" customWidth="1"/>
    <col min="12822" max="13057" width="9.140625" style="428"/>
    <col min="13058" max="13058" width="3.7109375" style="428" customWidth="1"/>
    <col min="13059" max="13059" width="12.7109375" style="428" customWidth="1"/>
    <col min="13060" max="13060" width="3.7109375" style="428" customWidth="1"/>
    <col min="13061" max="13061" width="20.7109375" style="428" customWidth="1"/>
    <col min="13062" max="13062" width="4.140625" style="428" customWidth="1"/>
    <col min="13063" max="13076" width="8.7109375" style="428" customWidth="1"/>
    <col min="13077" max="13077" width="10.140625" style="428" customWidth="1"/>
    <col min="13078" max="13313" width="9.140625" style="428"/>
    <col min="13314" max="13314" width="3.7109375" style="428" customWidth="1"/>
    <col min="13315" max="13315" width="12.7109375" style="428" customWidth="1"/>
    <col min="13316" max="13316" width="3.7109375" style="428" customWidth="1"/>
    <col min="13317" max="13317" width="20.7109375" style="428" customWidth="1"/>
    <col min="13318" max="13318" width="4.140625" style="428" customWidth="1"/>
    <col min="13319" max="13332" width="8.7109375" style="428" customWidth="1"/>
    <col min="13333" max="13333" width="10.140625" style="428" customWidth="1"/>
    <col min="13334" max="13569" width="9.140625" style="428"/>
    <col min="13570" max="13570" width="3.7109375" style="428" customWidth="1"/>
    <col min="13571" max="13571" width="12.7109375" style="428" customWidth="1"/>
    <col min="13572" max="13572" width="3.7109375" style="428" customWidth="1"/>
    <col min="13573" max="13573" width="20.7109375" style="428" customWidth="1"/>
    <col min="13574" max="13574" width="4.140625" style="428" customWidth="1"/>
    <col min="13575" max="13588" width="8.7109375" style="428" customWidth="1"/>
    <col min="13589" max="13589" width="10.140625" style="428" customWidth="1"/>
    <col min="13590" max="13825" width="9.140625" style="428"/>
    <col min="13826" max="13826" width="3.7109375" style="428" customWidth="1"/>
    <col min="13827" max="13827" width="12.7109375" style="428" customWidth="1"/>
    <col min="13828" max="13828" width="3.7109375" style="428" customWidth="1"/>
    <col min="13829" max="13829" width="20.7109375" style="428" customWidth="1"/>
    <col min="13830" max="13830" width="4.140625" style="428" customWidth="1"/>
    <col min="13831" max="13844" width="8.7109375" style="428" customWidth="1"/>
    <col min="13845" max="13845" width="10.140625" style="428" customWidth="1"/>
    <col min="13846" max="14081" width="9.140625" style="428"/>
    <col min="14082" max="14082" width="3.7109375" style="428" customWidth="1"/>
    <col min="14083" max="14083" width="12.7109375" style="428" customWidth="1"/>
    <col min="14084" max="14084" width="3.7109375" style="428" customWidth="1"/>
    <col min="14085" max="14085" width="20.7109375" style="428" customWidth="1"/>
    <col min="14086" max="14086" width="4.140625" style="428" customWidth="1"/>
    <col min="14087" max="14100" width="8.7109375" style="428" customWidth="1"/>
    <col min="14101" max="14101" width="10.140625" style="428" customWidth="1"/>
    <col min="14102" max="14337" width="9.140625" style="428"/>
    <col min="14338" max="14338" width="3.7109375" style="428" customWidth="1"/>
    <col min="14339" max="14339" width="12.7109375" style="428" customWidth="1"/>
    <col min="14340" max="14340" width="3.7109375" style="428" customWidth="1"/>
    <col min="14341" max="14341" width="20.7109375" style="428" customWidth="1"/>
    <col min="14342" max="14342" width="4.140625" style="428" customWidth="1"/>
    <col min="14343" max="14356" width="8.7109375" style="428" customWidth="1"/>
    <col min="14357" max="14357" width="10.140625" style="428" customWidth="1"/>
    <col min="14358" max="14593" width="9.140625" style="428"/>
    <col min="14594" max="14594" width="3.7109375" style="428" customWidth="1"/>
    <col min="14595" max="14595" width="12.7109375" style="428" customWidth="1"/>
    <col min="14596" max="14596" width="3.7109375" style="428" customWidth="1"/>
    <col min="14597" max="14597" width="20.7109375" style="428" customWidth="1"/>
    <col min="14598" max="14598" width="4.140625" style="428" customWidth="1"/>
    <col min="14599" max="14612" width="8.7109375" style="428" customWidth="1"/>
    <col min="14613" max="14613" width="10.140625" style="428" customWidth="1"/>
    <col min="14614" max="14849" width="9.140625" style="428"/>
    <col min="14850" max="14850" width="3.7109375" style="428" customWidth="1"/>
    <col min="14851" max="14851" width="12.7109375" style="428" customWidth="1"/>
    <col min="14852" max="14852" width="3.7109375" style="428" customWidth="1"/>
    <col min="14853" max="14853" width="20.7109375" style="428" customWidth="1"/>
    <col min="14854" max="14854" width="4.140625" style="428" customWidth="1"/>
    <col min="14855" max="14868" width="8.7109375" style="428" customWidth="1"/>
    <col min="14869" max="14869" width="10.140625" style="428" customWidth="1"/>
    <col min="14870" max="15105" width="9.140625" style="428"/>
    <col min="15106" max="15106" width="3.7109375" style="428" customWidth="1"/>
    <col min="15107" max="15107" width="12.7109375" style="428" customWidth="1"/>
    <col min="15108" max="15108" width="3.7109375" style="428" customWidth="1"/>
    <col min="15109" max="15109" width="20.7109375" style="428" customWidth="1"/>
    <col min="15110" max="15110" width="4.140625" style="428" customWidth="1"/>
    <col min="15111" max="15124" width="8.7109375" style="428" customWidth="1"/>
    <col min="15125" max="15125" width="10.140625" style="428" customWidth="1"/>
    <col min="15126" max="15361" width="9.140625" style="428"/>
    <col min="15362" max="15362" width="3.7109375" style="428" customWidth="1"/>
    <col min="15363" max="15363" width="12.7109375" style="428" customWidth="1"/>
    <col min="15364" max="15364" width="3.7109375" style="428" customWidth="1"/>
    <col min="15365" max="15365" width="20.7109375" style="428" customWidth="1"/>
    <col min="15366" max="15366" width="4.140625" style="428" customWidth="1"/>
    <col min="15367" max="15380" width="8.7109375" style="428" customWidth="1"/>
    <col min="15381" max="15381" width="10.140625" style="428" customWidth="1"/>
    <col min="15382" max="15617" width="9.140625" style="428"/>
    <col min="15618" max="15618" width="3.7109375" style="428" customWidth="1"/>
    <col min="15619" max="15619" width="12.7109375" style="428" customWidth="1"/>
    <col min="15620" max="15620" width="3.7109375" style="428" customWidth="1"/>
    <col min="15621" max="15621" width="20.7109375" style="428" customWidth="1"/>
    <col min="15622" max="15622" width="4.140625" style="428" customWidth="1"/>
    <col min="15623" max="15636" width="8.7109375" style="428" customWidth="1"/>
    <col min="15637" max="15637" width="10.140625" style="428" customWidth="1"/>
    <col min="15638" max="15873" width="9.140625" style="428"/>
    <col min="15874" max="15874" width="3.7109375" style="428" customWidth="1"/>
    <col min="15875" max="15875" width="12.7109375" style="428" customWidth="1"/>
    <col min="15876" max="15876" width="3.7109375" style="428" customWidth="1"/>
    <col min="15877" max="15877" width="20.7109375" style="428" customWidth="1"/>
    <col min="15878" max="15878" width="4.140625" style="428" customWidth="1"/>
    <col min="15879" max="15892" width="8.7109375" style="428" customWidth="1"/>
    <col min="15893" max="15893" width="10.140625" style="428" customWidth="1"/>
    <col min="15894" max="16129" width="9.140625" style="428"/>
    <col min="16130" max="16130" width="3.7109375" style="428" customWidth="1"/>
    <col min="16131" max="16131" width="12.7109375" style="428" customWidth="1"/>
    <col min="16132" max="16132" width="3.7109375" style="428" customWidth="1"/>
    <col min="16133" max="16133" width="20.7109375" style="428" customWidth="1"/>
    <col min="16134" max="16134" width="4.140625" style="428" customWidth="1"/>
    <col min="16135" max="16148" width="8.7109375" style="428" customWidth="1"/>
    <col min="16149" max="16149" width="10.140625" style="428" customWidth="1"/>
    <col min="16150" max="16384" width="9.140625" style="428"/>
  </cols>
  <sheetData>
    <row r="1" spans="1:25" s="964" customFormat="1" ht="15" x14ac:dyDescent="0.2">
      <c r="A1" s="965"/>
      <c r="B1" s="1277"/>
      <c r="C1" s="1277"/>
      <c r="E1" s="1761"/>
    </row>
    <row r="2" spans="1:25" s="964" customFormat="1" ht="15" x14ac:dyDescent="0.25">
      <c r="A2" s="835">
        <v>1</v>
      </c>
      <c r="B2" s="835" t="s">
        <v>24</v>
      </c>
      <c r="C2" s="835">
        <f>1+'[46]International Agreements'!C2</f>
        <v>80</v>
      </c>
      <c r="D2" s="1461" t="s">
        <v>1197</v>
      </c>
      <c r="E2" s="1462"/>
      <c r="F2" s="1462"/>
      <c r="G2" s="1462"/>
      <c r="H2" s="1462"/>
      <c r="I2" s="1462"/>
      <c r="J2" s="1462"/>
      <c r="K2" s="1462"/>
      <c r="L2" s="1462"/>
      <c r="M2" s="1462"/>
      <c r="N2" s="1462"/>
      <c r="O2" s="1462"/>
      <c r="P2" s="1462"/>
      <c r="Q2" s="1705"/>
      <c r="R2" s="1705"/>
      <c r="S2" s="1705"/>
      <c r="T2" s="1705"/>
      <c r="U2" s="1706"/>
      <c r="V2" s="1762"/>
    </row>
    <row r="3" spans="1:25" s="964" customFormat="1" ht="14.25" customHeight="1" x14ac:dyDescent="0.25">
      <c r="A3" s="835">
        <v>2</v>
      </c>
      <c r="B3" s="835" t="s">
        <v>26</v>
      </c>
      <c r="C3" s="835"/>
      <c r="D3" s="3615" t="s">
        <v>1206</v>
      </c>
      <c r="E3" s="3630"/>
      <c r="F3" s="3630"/>
      <c r="G3" s="3630"/>
      <c r="H3" s="3630"/>
      <c r="I3" s="3630"/>
      <c r="J3" s="3630"/>
      <c r="K3" s="3630"/>
      <c r="L3" s="3630"/>
      <c r="M3" s="3630"/>
      <c r="N3" s="3630"/>
      <c r="O3" s="3630"/>
      <c r="P3" s="3630"/>
      <c r="Q3" s="3955"/>
      <c r="R3" s="3955"/>
      <c r="S3" s="3955"/>
      <c r="T3" s="3955"/>
      <c r="U3" s="3956"/>
    </row>
    <row r="4" spans="1:25" s="964" customFormat="1" ht="14.25" customHeight="1" x14ac:dyDescent="0.25">
      <c r="A4" s="835">
        <v>3</v>
      </c>
      <c r="B4" s="835" t="s">
        <v>28</v>
      </c>
      <c r="C4" s="835"/>
      <c r="D4" s="3615" t="s">
        <v>1205</v>
      </c>
      <c r="E4" s="3630"/>
      <c r="F4" s="3630"/>
      <c r="G4" s="3630"/>
      <c r="H4" s="3630"/>
      <c r="I4" s="3630"/>
      <c r="J4" s="3630"/>
      <c r="K4" s="3630"/>
      <c r="L4" s="3630"/>
      <c r="M4" s="3630"/>
      <c r="N4" s="3630"/>
      <c r="O4" s="3630"/>
      <c r="P4" s="3630"/>
      <c r="Q4" s="3955"/>
      <c r="R4" s="3955"/>
      <c r="S4" s="3955"/>
      <c r="T4" s="3955"/>
      <c r="U4" s="3956"/>
    </row>
    <row r="5" spans="1:25" ht="12.75" x14ac:dyDescent="0.2">
      <c r="C5" s="418"/>
      <c r="E5" s="1772"/>
      <c r="F5" s="1772"/>
      <c r="G5" s="1772"/>
      <c r="H5" s="1772"/>
      <c r="I5" s="1772"/>
      <c r="J5" s="1772"/>
      <c r="K5" s="1772"/>
      <c r="L5" s="1772"/>
      <c r="M5" s="1772"/>
      <c r="N5" s="1772"/>
      <c r="O5" s="1772"/>
      <c r="P5" s="1772"/>
      <c r="Q5" s="1772"/>
      <c r="R5" s="1772"/>
      <c r="S5" s="1772"/>
      <c r="T5" s="1772"/>
      <c r="U5" s="1772"/>
      <c r="V5" s="1772"/>
      <c r="W5" s="1772"/>
    </row>
    <row r="6" spans="1:25" ht="12.75" x14ac:dyDescent="0.2">
      <c r="C6" s="418"/>
      <c r="E6" s="1772"/>
      <c r="F6" s="1772"/>
      <c r="G6" s="1772"/>
      <c r="H6" s="1772"/>
      <c r="I6" s="1772"/>
      <c r="J6" s="1772"/>
      <c r="K6" s="1772"/>
      <c r="L6" s="1772"/>
      <c r="M6" s="1772"/>
      <c r="N6" s="1772"/>
      <c r="O6" s="1772"/>
      <c r="P6" s="1772"/>
      <c r="Q6" s="1772"/>
      <c r="R6" s="1772"/>
      <c r="S6" s="1772"/>
      <c r="T6" s="1772"/>
      <c r="U6" s="1772"/>
      <c r="V6" s="1772"/>
    </row>
    <row r="7" spans="1:25" ht="12.75" x14ac:dyDescent="0.2">
      <c r="C7" s="418"/>
      <c r="E7" s="1772"/>
      <c r="F7" s="1772"/>
      <c r="G7" s="1772"/>
      <c r="H7" s="1772"/>
      <c r="I7" s="1772"/>
      <c r="J7" s="1772"/>
      <c r="K7" s="1772"/>
      <c r="L7" s="1772"/>
      <c r="M7" s="1772"/>
      <c r="N7" s="1772"/>
      <c r="O7" s="1772"/>
      <c r="P7" s="1772"/>
      <c r="Q7" s="1772"/>
      <c r="R7" s="1772"/>
      <c r="S7" s="1772"/>
      <c r="T7" s="1772"/>
      <c r="U7" s="1772"/>
      <c r="V7" s="1772"/>
    </row>
    <row r="8" spans="1:25" s="401" customFormat="1" ht="14.25" customHeight="1" x14ac:dyDescent="0.2">
      <c r="A8" s="835">
        <v>4</v>
      </c>
      <c r="B8" s="418" t="s">
        <v>1</v>
      </c>
      <c r="C8" s="1222"/>
      <c r="D8" s="1098" t="s">
        <v>103</v>
      </c>
      <c r="E8" s="772" t="s">
        <v>1204</v>
      </c>
      <c r="F8" s="1098"/>
      <c r="G8" s="1098"/>
      <c r="H8" s="1773"/>
      <c r="I8" s="1773"/>
      <c r="J8" s="1774"/>
      <c r="K8" s="1775"/>
      <c r="L8" s="1775"/>
      <c r="M8" s="1775"/>
      <c r="N8" s="1775"/>
      <c r="O8" s="1775"/>
      <c r="P8" s="1775"/>
      <c r="Q8" s="1775"/>
      <c r="R8" s="1775"/>
      <c r="S8" s="1775"/>
      <c r="T8" s="1775"/>
      <c r="U8" s="1775"/>
      <c r="V8" s="1775"/>
      <c r="W8" s="1776"/>
    </row>
    <row r="9" spans="1:25" s="401" customFormat="1" ht="11.25" x14ac:dyDescent="0.2">
      <c r="A9" s="1224"/>
      <c r="B9" s="1222"/>
      <c r="C9" s="1222"/>
      <c r="D9" s="2995"/>
      <c r="E9" s="770"/>
      <c r="F9" s="1777" t="s">
        <v>127</v>
      </c>
      <c r="G9" s="1777" t="s">
        <v>128</v>
      </c>
      <c r="H9" s="1777" t="s">
        <v>129</v>
      </c>
      <c r="I9" s="1777" t="s">
        <v>130</v>
      </c>
      <c r="J9" s="1232" t="s">
        <v>131</v>
      </c>
      <c r="K9" s="1777" t="s">
        <v>132</v>
      </c>
      <c r="L9" s="1777" t="s">
        <v>133</v>
      </c>
      <c r="M9" s="1777" t="s">
        <v>134</v>
      </c>
      <c r="N9" s="1777" t="s">
        <v>135</v>
      </c>
      <c r="O9" s="1777" t="s">
        <v>136</v>
      </c>
      <c r="P9" s="1231" t="s">
        <v>137</v>
      </c>
      <c r="Q9" s="1231" t="s">
        <v>138</v>
      </c>
      <c r="R9" s="1231" t="s">
        <v>139</v>
      </c>
      <c r="S9" s="1231" t="s">
        <v>140</v>
      </c>
      <c r="T9" s="1230" t="s">
        <v>141</v>
      </c>
      <c r="U9" s="1230" t="s">
        <v>142</v>
      </c>
      <c r="V9" s="1230" t="s">
        <v>143</v>
      </c>
      <c r="W9" s="1230" t="s">
        <v>144</v>
      </c>
      <c r="X9" s="3108" t="s">
        <v>145</v>
      </c>
    </row>
    <row r="10" spans="1:25" s="401" customFormat="1" ht="11.25" x14ac:dyDescent="0.2">
      <c r="A10" s="1224"/>
      <c r="B10" s="1222"/>
      <c r="C10" s="1222"/>
      <c r="D10" s="2948"/>
      <c r="E10" s="770"/>
      <c r="F10" s="1778"/>
      <c r="G10" s="1778"/>
      <c r="H10" s="1778"/>
      <c r="I10" s="1778"/>
      <c r="J10" s="1778"/>
      <c r="K10" s="1778"/>
      <c r="L10" s="1778"/>
      <c r="M10" s="1778"/>
      <c r="N10" s="770"/>
      <c r="O10" s="770"/>
      <c r="P10" s="770"/>
      <c r="Q10" s="770"/>
      <c r="R10" s="770"/>
      <c r="S10" s="770"/>
      <c r="T10" s="770"/>
      <c r="U10" s="770"/>
      <c r="V10" s="770"/>
      <c r="W10" s="770"/>
      <c r="X10" s="2967"/>
    </row>
    <row r="11" spans="1:25" s="401" customFormat="1" ht="11.25" x14ac:dyDescent="0.2">
      <c r="A11" s="1224"/>
      <c r="B11" s="1222"/>
      <c r="C11" s="1222"/>
      <c r="D11" s="2955" t="s">
        <v>1203</v>
      </c>
      <c r="E11" s="633" t="s">
        <v>104</v>
      </c>
      <c r="F11" s="1228">
        <v>3.87</v>
      </c>
      <c r="G11" s="1228">
        <v>1.695821</v>
      </c>
      <c r="H11" s="1229">
        <v>3.3380999999999998</v>
      </c>
      <c r="I11" s="1228">
        <v>-3.5737999999999994</v>
      </c>
      <c r="J11" s="1228">
        <v>-5.3372850000000005</v>
      </c>
      <c r="K11" s="1228">
        <v>-6.0549999999999997</v>
      </c>
      <c r="L11" s="1228">
        <v>-15.165000000000001</v>
      </c>
      <c r="M11" s="1228">
        <v>-15.057</v>
      </c>
      <c r="N11" s="1228">
        <v>-2.3000000000000003</v>
      </c>
      <c r="O11" s="1228">
        <v>-9.3807000000000009</v>
      </c>
      <c r="P11" s="1227">
        <v>-19.126999999999999</v>
      </c>
      <c r="Q11" s="1227">
        <v>-12.4</v>
      </c>
      <c r="R11" s="1226">
        <v>-10.5</v>
      </c>
      <c r="S11" s="1226">
        <v>-4.5750000000000002</v>
      </c>
      <c r="T11" s="1226">
        <v>-0.44998999999999978</v>
      </c>
      <c r="U11" s="1226">
        <v>-4.1150000000000002</v>
      </c>
      <c r="V11" s="1226">
        <v>-2.3077999999999994</v>
      </c>
      <c r="W11" s="1226">
        <v>-2.4116319999999996</v>
      </c>
      <c r="X11" s="3109">
        <v>-5.6</v>
      </c>
      <c r="Y11" s="1225"/>
    </row>
    <row r="12" spans="1:25" s="401" customFormat="1" ht="11.25" customHeight="1" x14ac:dyDescent="0.2">
      <c r="A12" s="1224"/>
      <c r="B12" s="1223"/>
      <c r="C12" s="1222"/>
      <c r="D12" s="3103" t="s">
        <v>1202</v>
      </c>
      <c r="E12" s="1052" t="s">
        <v>1201</v>
      </c>
      <c r="F12" s="1220">
        <f t="shared" ref="F12:W12" si="0">SUM(F13:F15)</f>
        <v>2762688</v>
      </c>
      <c r="G12" s="1220">
        <f t="shared" si="0"/>
        <v>3023930</v>
      </c>
      <c r="H12" s="1220">
        <f t="shared" si="0"/>
        <v>3260567</v>
      </c>
      <c r="I12" s="1220">
        <f t="shared" si="0"/>
        <v>3637717</v>
      </c>
      <c r="J12" s="1220">
        <f t="shared" si="0"/>
        <v>4163792</v>
      </c>
      <c r="K12" s="1220">
        <f t="shared" si="0"/>
        <v>4637811</v>
      </c>
      <c r="L12" s="1220">
        <f t="shared" si="0"/>
        <v>4484919</v>
      </c>
      <c r="M12" s="1220">
        <f t="shared" si="0"/>
        <v>4878211</v>
      </c>
      <c r="N12" s="1220">
        <f t="shared" si="0"/>
        <v>5367396</v>
      </c>
      <c r="O12" s="1220">
        <f t="shared" si="0"/>
        <v>5876112</v>
      </c>
      <c r="P12" s="1220">
        <f t="shared" si="0"/>
        <v>6357421</v>
      </c>
      <c r="Q12" s="1220">
        <f t="shared" si="0"/>
        <v>7173554</v>
      </c>
      <c r="R12" s="1220">
        <f t="shared" si="0"/>
        <v>7766915</v>
      </c>
      <c r="S12" s="1220">
        <f t="shared" si="0"/>
        <v>8131422</v>
      </c>
      <c r="T12" s="1220">
        <f t="shared" si="0"/>
        <v>12751006</v>
      </c>
      <c r="U12" s="1220">
        <f t="shared" si="0"/>
        <v>16039801</v>
      </c>
      <c r="V12" s="1220">
        <f t="shared" si="0"/>
        <v>17926869</v>
      </c>
      <c r="W12" s="1220">
        <f t="shared" si="0"/>
        <v>19787304</v>
      </c>
      <c r="X12" s="2795">
        <v>21452507</v>
      </c>
    </row>
    <row r="13" spans="1:25" s="401" customFormat="1" ht="11.25" x14ac:dyDescent="0.2">
      <c r="A13" s="1224"/>
      <c r="B13" s="1223"/>
      <c r="C13" s="1222"/>
      <c r="D13" s="2940" t="s">
        <v>1200</v>
      </c>
      <c r="E13" s="1779"/>
      <c r="F13" s="1779">
        <v>2158080</v>
      </c>
      <c r="G13" s="1779">
        <v>2334751</v>
      </c>
      <c r="H13" s="1077">
        <v>2485703</v>
      </c>
      <c r="I13" s="1077">
        <v>2617458</v>
      </c>
      <c r="J13" s="1077">
        <v>2985095</v>
      </c>
      <c r="K13" s="1077">
        <v>3321041</v>
      </c>
      <c r="L13" s="1077">
        <v>3415432</v>
      </c>
      <c r="M13" s="1077">
        <v>3777005</v>
      </c>
      <c r="N13" s="1077">
        <v>4115293</v>
      </c>
      <c r="O13" s="1077">
        <v>4476261</v>
      </c>
      <c r="P13" s="1077">
        <v>4764105</v>
      </c>
      <c r="Q13" s="1077">
        <v>5204805</v>
      </c>
      <c r="R13" s="1218">
        <v>5540646</v>
      </c>
      <c r="S13" s="1218">
        <v>5920612</v>
      </c>
      <c r="T13" s="1218">
        <v>10346175</v>
      </c>
      <c r="U13" s="1218">
        <v>13703717</v>
      </c>
      <c r="V13" s="1218">
        <v>15418920</v>
      </c>
      <c r="W13" s="1218">
        <v>16779711</v>
      </c>
      <c r="X13" s="2793">
        <v>18185538</v>
      </c>
      <c r="Y13" s="1780"/>
    </row>
    <row r="14" spans="1:25" s="401" customFormat="1" ht="11.25" x14ac:dyDescent="0.2">
      <c r="A14" s="1224"/>
      <c r="B14" s="1222"/>
      <c r="C14" s="1222"/>
      <c r="D14" s="2940" t="s">
        <v>1199</v>
      </c>
      <c r="E14" s="1779"/>
      <c r="F14" s="1779">
        <v>604608</v>
      </c>
      <c r="G14" s="1779">
        <v>689179</v>
      </c>
      <c r="H14" s="1077">
        <v>774864</v>
      </c>
      <c r="I14" s="1779">
        <v>839591</v>
      </c>
      <c r="J14" s="1779">
        <v>976720</v>
      </c>
      <c r="K14" s="1779">
        <v>1081788</v>
      </c>
      <c r="L14" s="1779">
        <v>814894</v>
      </c>
      <c r="M14" s="1779">
        <v>817381</v>
      </c>
      <c r="N14" s="1779">
        <v>933136</v>
      </c>
      <c r="O14" s="1779">
        <v>1054969</v>
      </c>
      <c r="P14" s="1779">
        <v>1218905</v>
      </c>
      <c r="Q14" s="1779">
        <v>1584002</v>
      </c>
      <c r="R14" s="1781">
        <v>1834009</v>
      </c>
      <c r="S14" s="1218">
        <v>1878856</v>
      </c>
      <c r="T14" s="1218">
        <v>2078182</v>
      </c>
      <c r="U14" s="1218">
        <v>2034719</v>
      </c>
      <c r="V14" s="1218">
        <v>2195883</v>
      </c>
      <c r="W14" s="1218">
        <v>2685405</v>
      </c>
      <c r="X14" s="3110">
        <v>2935385</v>
      </c>
    </row>
    <row r="15" spans="1:25" s="401" customFormat="1" ht="11.25" x14ac:dyDescent="0.2">
      <c r="A15" s="1224"/>
      <c r="B15" s="1222"/>
      <c r="C15" s="1222"/>
      <c r="D15" s="2940" t="s">
        <v>1198</v>
      </c>
      <c r="E15" s="420"/>
      <c r="F15" s="420"/>
      <c r="G15" s="420"/>
      <c r="H15" s="1077"/>
      <c r="I15" s="1779">
        <v>180668</v>
      </c>
      <c r="J15" s="1779">
        <v>201977</v>
      </c>
      <c r="K15" s="1779">
        <v>234982</v>
      </c>
      <c r="L15" s="1779">
        <v>254593</v>
      </c>
      <c r="M15" s="1779">
        <v>283825</v>
      </c>
      <c r="N15" s="1779">
        <v>318967</v>
      </c>
      <c r="O15" s="1779">
        <v>344882</v>
      </c>
      <c r="P15" s="1779">
        <v>374411</v>
      </c>
      <c r="Q15" s="1779">
        <v>384747</v>
      </c>
      <c r="R15" s="1781">
        <v>392260</v>
      </c>
      <c r="S15" s="1218">
        <v>331954</v>
      </c>
      <c r="T15" s="1218">
        <v>326649</v>
      </c>
      <c r="U15" s="1218">
        <v>301365</v>
      </c>
      <c r="V15" s="1218">
        <v>312066</v>
      </c>
      <c r="W15" s="1218">
        <v>322188</v>
      </c>
      <c r="X15" s="3110">
        <v>331584</v>
      </c>
    </row>
    <row r="16" spans="1:25" s="401" customFormat="1" ht="11.25" x14ac:dyDescent="0.2">
      <c r="A16" s="1224"/>
      <c r="B16" s="1222"/>
      <c r="C16" s="1222"/>
      <c r="D16" s="3104" t="s">
        <v>1194</v>
      </c>
      <c r="E16" s="1782"/>
      <c r="F16" s="1782">
        <v>606829</v>
      </c>
      <c r="G16" s="1782">
        <v>449257</v>
      </c>
      <c r="H16" s="1782">
        <v>478002</v>
      </c>
      <c r="I16" s="1782">
        <v>424020</v>
      </c>
      <c r="J16" s="1782">
        <v>450630</v>
      </c>
      <c r="K16" s="1782">
        <v>479666</v>
      </c>
      <c r="L16" s="1782">
        <v>506098</v>
      </c>
      <c r="M16" s="1782">
        <v>536281</v>
      </c>
      <c r="N16" s="1782">
        <v>578138</v>
      </c>
      <c r="O16" s="1782">
        <v>633703</v>
      </c>
      <c r="P16" s="1782">
        <v>677153</v>
      </c>
      <c r="Q16" s="1782">
        <v>745487</v>
      </c>
      <c r="R16" s="1783">
        <v>737885</v>
      </c>
      <c r="S16" s="1219">
        <v>685523</v>
      </c>
      <c r="T16" s="1219">
        <v>664267</v>
      </c>
      <c r="U16" s="1219">
        <v>652349</v>
      </c>
      <c r="V16" s="1219">
        <v>650540</v>
      </c>
      <c r="W16" s="1219">
        <v>662194</v>
      </c>
      <c r="X16" s="3111">
        <v>679274</v>
      </c>
    </row>
    <row r="17" spans="1:24" s="401" customFormat="1" ht="11.25" customHeight="1" x14ac:dyDescent="0.2">
      <c r="A17" s="1224"/>
      <c r="B17" s="1222"/>
      <c r="C17" s="1222"/>
      <c r="D17" s="3105" t="s">
        <v>1197</v>
      </c>
      <c r="E17" s="797" t="s">
        <v>104</v>
      </c>
      <c r="F17" s="895"/>
      <c r="G17" s="895"/>
      <c r="H17" s="895"/>
      <c r="I17" s="895"/>
      <c r="J17" s="895"/>
      <c r="K17" s="895"/>
      <c r="L17" s="895"/>
      <c r="M17" s="895"/>
      <c r="N17" s="895"/>
      <c r="O17" s="895"/>
      <c r="P17" s="895"/>
      <c r="Q17" s="895"/>
      <c r="R17" s="1218"/>
      <c r="S17" s="1218"/>
      <c r="T17" s="1218"/>
      <c r="U17" s="1218"/>
      <c r="V17" s="1218"/>
      <c r="W17" s="1218"/>
      <c r="X17" s="3110"/>
    </row>
    <row r="18" spans="1:24" s="401" customFormat="1" ht="11.25" customHeight="1" x14ac:dyDescent="0.2">
      <c r="A18" s="1224"/>
      <c r="B18" s="1222"/>
      <c r="C18" s="1222"/>
      <c r="D18" s="3106" t="s">
        <v>1196</v>
      </c>
      <c r="E18" s="420"/>
      <c r="F18" s="1217">
        <v>59.908830999999999</v>
      </c>
      <c r="G18" s="1217">
        <v>68.718382000000005</v>
      </c>
      <c r="H18" s="1217">
        <v>78.175899999999999</v>
      </c>
      <c r="I18" s="1217">
        <v>86.389786999999998</v>
      </c>
      <c r="J18" s="1217">
        <v>86.938998000000012</v>
      </c>
      <c r="K18" s="1217">
        <v>90.975505000000013</v>
      </c>
      <c r="L18" s="1217">
        <v>94.923639121950004</v>
      </c>
      <c r="M18" s="1217">
        <v>99.219964564930038</v>
      </c>
      <c r="N18" s="1217">
        <v>111.69656048855001</v>
      </c>
      <c r="O18" s="1217">
        <v>126.41636737741003</v>
      </c>
      <c r="P18" s="1217">
        <v>141.39707962644002</v>
      </c>
      <c r="Q18" s="1217">
        <v>169.53925329587</v>
      </c>
      <c r="R18" s="1217">
        <v>196.06803582748998</v>
      </c>
      <c r="S18" s="1217">
        <v>206.48353338388003</v>
      </c>
      <c r="T18" s="1217">
        <v>228.09611159447999</v>
      </c>
      <c r="U18" s="1217">
        <v>251.33914729868999</v>
      </c>
      <c r="V18" s="1217">
        <v>276.67857430245999</v>
      </c>
      <c r="W18" s="1217">
        <v>310.92899241366007</v>
      </c>
      <c r="X18" s="3112">
        <v>353.8</v>
      </c>
    </row>
    <row r="19" spans="1:24" s="401" customFormat="1" ht="11.25" customHeight="1" x14ac:dyDescent="0.2">
      <c r="A19" s="1224"/>
      <c r="B19" s="1222"/>
      <c r="C19" s="1222"/>
      <c r="D19" s="3106" t="s">
        <v>1195</v>
      </c>
      <c r="E19" s="420"/>
      <c r="F19" s="1217">
        <v>19.060255000000002</v>
      </c>
      <c r="G19" s="1217">
        <v>21.609256999999999</v>
      </c>
      <c r="H19" s="1217">
        <v>22.8217</v>
      </c>
      <c r="I19" s="1217">
        <v>21.279</v>
      </c>
      <c r="J19" s="1217">
        <v>29.955826000000002</v>
      </c>
      <c r="K19" s="1217">
        <v>42.979472000000001</v>
      </c>
      <c r="L19" s="1217">
        <v>56.32706012221</v>
      </c>
      <c r="M19" s="1217">
        <v>61.712227570459987</v>
      </c>
      <c r="N19" s="1217">
        <v>71.629360350159999</v>
      </c>
      <c r="O19" s="1217">
        <v>87.326450359509977</v>
      </c>
      <c r="P19" s="1217">
        <v>120.11089965942</v>
      </c>
      <c r="Q19" s="1217">
        <v>141.63543631795</v>
      </c>
      <c r="R19" s="1217">
        <v>167.20223921951998</v>
      </c>
      <c r="S19" s="1217">
        <v>136.97793176757</v>
      </c>
      <c r="T19" s="1217">
        <v>134.63507949267003</v>
      </c>
      <c r="U19" s="1217">
        <v>153.27217884888003</v>
      </c>
      <c r="V19" s="1217">
        <v>160.89579553078002</v>
      </c>
      <c r="W19" s="1217">
        <v>179.52012193795079</v>
      </c>
      <c r="X19" s="3112">
        <v>186.9</v>
      </c>
    </row>
    <row r="20" spans="1:24" s="401" customFormat="1" ht="11.25" customHeight="1" x14ac:dyDescent="0.2">
      <c r="A20" s="1224"/>
      <c r="B20" s="1222"/>
      <c r="C20" s="1222"/>
      <c r="D20" s="3106" t="s">
        <v>1194</v>
      </c>
      <c r="E20" s="420"/>
      <c r="F20" s="1217">
        <v>35.902887</v>
      </c>
      <c r="G20" s="1217">
        <v>40.095641000000008</v>
      </c>
      <c r="H20" s="1217">
        <v>43.985400000000006</v>
      </c>
      <c r="I20" s="1217">
        <v>48.376839999999994</v>
      </c>
      <c r="J20" s="1217">
        <v>54.455193000000001</v>
      </c>
      <c r="K20" s="1217">
        <v>61.056608999999995</v>
      </c>
      <c r="L20" s="1217">
        <v>70.14985124507001</v>
      </c>
      <c r="M20" s="1217">
        <v>80.681755445380034</v>
      </c>
      <c r="N20" s="1217">
        <v>98.157875453460008</v>
      </c>
      <c r="O20" s="1217">
        <v>114.35163784014003</v>
      </c>
      <c r="P20" s="1217">
        <v>134.46259892516002</v>
      </c>
      <c r="Q20" s="1217">
        <v>150.44284925536999</v>
      </c>
      <c r="R20" s="1217">
        <v>154.34312135429997</v>
      </c>
      <c r="S20" s="1217">
        <v>147.94132226163998</v>
      </c>
      <c r="T20" s="1217">
        <v>183.57143947360998</v>
      </c>
      <c r="U20" s="1217">
        <v>191.02019853624998</v>
      </c>
      <c r="V20" s="1217">
        <v>215.02303517333002</v>
      </c>
      <c r="W20" s="1217">
        <v>237.66657887254001</v>
      </c>
      <c r="X20" s="3112">
        <v>261.10000000000002</v>
      </c>
    </row>
    <row r="21" spans="1:24" s="401" customFormat="1" ht="11.25" customHeight="1" x14ac:dyDescent="0.2">
      <c r="A21" s="1224"/>
      <c r="B21" s="1222"/>
      <c r="C21" s="1222"/>
      <c r="D21" s="3106" t="s">
        <v>1193</v>
      </c>
      <c r="E21" s="1126"/>
      <c r="F21" s="1216">
        <f t="shared" ref="F21:X21" si="1">F22-SUM(F18:F20)</f>
        <v>32.460366000000022</v>
      </c>
      <c r="G21" s="1216">
        <f t="shared" si="1"/>
        <v>34.90415999999999</v>
      </c>
      <c r="H21" s="1216">
        <f t="shared" si="1"/>
        <v>39.861500000000007</v>
      </c>
      <c r="I21" s="1216">
        <f t="shared" si="1"/>
        <v>45.340422999999987</v>
      </c>
      <c r="J21" s="1216">
        <f t="shared" si="1"/>
        <v>48.984128999999967</v>
      </c>
      <c r="K21" s="1216">
        <f t="shared" si="1"/>
        <v>57.286724000000049</v>
      </c>
      <c r="L21" s="1216">
        <f t="shared" si="1"/>
        <v>60.509972064220108</v>
      </c>
      <c r="M21" s="1216">
        <f t="shared" si="1"/>
        <v>60.82860250391991</v>
      </c>
      <c r="N21" s="1216">
        <f t="shared" si="1"/>
        <v>73.494242531649888</v>
      </c>
      <c r="O21" s="1216">
        <f t="shared" si="1"/>
        <v>89.100723147990038</v>
      </c>
      <c r="P21" s="1216">
        <f t="shared" si="1"/>
        <v>99.57803852584999</v>
      </c>
      <c r="Q21" s="1216">
        <f t="shared" si="1"/>
        <v>111.19698161270014</v>
      </c>
      <c r="R21" s="1216">
        <f t="shared" si="1"/>
        <v>107.48676857755004</v>
      </c>
      <c r="S21" s="1216">
        <f t="shared" si="1"/>
        <v>107.3026560893</v>
      </c>
      <c r="T21" s="1216">
        <f t="shared" si="1"/>
        <v>127.88051532990005</v>
      </c>
      <c r="U21" s="1216">
        <f t="shared" si="1"/>
        <v>147.01818849465997</v>
      </c>
      <c r="V21" s="1216">
        <f t="shared" si="1"/>
        <v>161.2284098568</v>
      </c>
      <c r="W21" s="1216">
        <f t="shared" si="1"/>
        <v>171.89902723400996</v>
      </c>
      <c r="X21" s="3113">
        <f t="shared" si="1"/>
        <v>184.49999999999989</v>
      </c>
    </row>
    <row r="22" spans="1:24" s="401" customFormat="1" ht="11.25" x14ac:dyDescent="0.2">
      <c r="A22" s="1224"/>
      <c r="B22" s="1222"/>
      <c r="C22" s="1222"/>
      <c r="D22" s="3107" t="s">
        <v>261</v>
      </c>
      <c r="E22" s="1784"/>
      <c r="F22" s="1215">
        <v>147.33233900000002</v>
      </c>
      <c r="G22" s="1215">
        <v>165.32744</v>
      </c>
      <c r="H22" s="1215">
        <v>184.84450000000001</v>
      </c>
      <c r="I22" s="1215">
        <v>201.38604999999998</v>
      </c>
      <c r="J22" s="1215">
        <v>220.33414599999998</v>
      </c>
      <c r="K22" s="1215">
        <v>252.29831000000007</v>
      </c>
      <c r="L22" s="1215">
        <v>281.91052255345011</v>
      </c>
      <c r="M22" s="1215">
        <v>302.44255008468997</v>
      </c>
      <c r="N22" s="1215">
        <v>354.97803882381993</v>
      </c>
      <c r="O22" s="1215">
        <v>417.19517872505008</v>
      </c>
      <c r="P22" s="1214">
        <v>495.54861673687003</v>
      </c>
      <c r="Q22" s="1214">
        <v>572.8145204818901</v>
      </c>
      <c r="R22" s="1213">
        <v>625.10016497885999</v>
      </c>
      <c r="S22" s="1213">
        <v>598.70544350239004</v>
      </c>
      <c r="T22" s="1213">
        <v>674.18314589066006</v>
      </c>
      <c r="U22" s="1213">
        <v>742.64971317847994</v>
      </c>
      <c r="V22" s="1213">
        <v>813.82581486336994</v>
      </c>
      <c r="W22" s="1213">
        <v>900.01472045816081</v>
      </c>
      <c r="X22" s="3114">
        <v>986.3</v>
      </c>
    </row>
    <row r="23" spans="1:24" s="401" customFormat="1" ht="11.25" x14ac:dyDescent="0.2">
      <c r="A23" s="1224"/>
      <c r="B23" s="1222"/>
      <c r="C23" s="1222"/>
      <c r="D23" s="967"/>
      <c r="E23" s="420"/>
      <c r="F23" s="1212"/>
      <c r="G23" s="1212">
        <f t="shared" ref="G23:X23" si="2">G22/F22-1</f>
        <v>0.1221395188737211</v>
      </c>
      <c r="H23" s="1212">
        <f t="shared" si="2"/>
        <v>0.11805094181582931</v>
      </c>
      <c r="I23" s="1212">
        <f t="shared" si="2"/>
        <v>8.9489002918669236E-2</v>
      </c>
      <c r="J23" s="1212">
        <f t="shared" si="2"/>
        <v>9.4088423701641721E-2</v>
      </c>
      <c r="K23" s="1212">
        <f t="shared" si="2"/>
        <v>0.1450713136401478</v>
      </c>
      <c r="L23" s="1212">
        <f t="shared" si="2"/>
        <v>0.11736984109584414</v>
      </c>
      <c r="M23" s="1212">
        <f t="shared" si="2"/>
        <v>7.2831717472862323E-2</v>
      </c>
      <c r="N23" s="1212">
        <f t="shared" si="2"/>
        <v>0.1737040265148504</v>
      </c>
      <c r="O23" s="1212">
        <f t="shared" si="2"/>
        <v>0.17527039167656588</v>
      </c>
      <c r="P23" s="1212">
        <f t="shared" si="2"/>
        <v>0.18781002755417342</v>
      </c>
      <c r="Q23" s="1212">
        <f t="shared" si="2"/>
        <v>0.15591992618969863</v>
      </c>
      <c r="R23" s="1212">
        <f t="shared" si="2"/>
        <v>9.1278490030217263E-2</v>
      </c>
      <c r="S23" s="1212">
        <f t="shared" si="2"/>
        <v>-4.2224787250476181E-2</v>
      </c>
      <c r="T23" s="1212">
        <f t="shared" si="2"/>
        <v>0.12606817460474407</v>
      </c>
      <c r="U23" s="1212">
        <f t="shared" si="2"/>
        <v>0.10155484856769759</v>
      </c>
      <c r="V23" s="1212">
        <f t="shared" si="2"/>
        <v>9.5840744865115735E-2</v>
      </c>
      <c r="W23" s="1212">
        <f t="shared" si="2"/>
        <v>0.1059058388425056</v>
      </c>
      <c r="X23" s="3115">
        <f t="shared" si="2"/>
        <v>9.5870964752570842E-2</v>
      </c>
    </row>
    <row r="24" spans="1:24" s="401" customFormat="1" x14ac:dyDescent="0.2">
      <c r="A24" s="1224"/>
      <c r="B24" s="1222"/>
      <c r="C24" s="1222"/>
      <c r="D24" s="967"/>
      <c r="E24" s="420"/>
      <c r="F24" s="1211"/>
      <c r="G24" s="1211"/>
      <c r="H24" s="1211"/>
      <c r="I24" s="1211"/>
      <c r="J24" s="1211"/>
      <c r="K24" s="1211"/>
      <c r="L24" s="1211"/>
      <c r="M24" s="1211"/>
      <c r="N24" s="1211"/>
      <c r="O24" s="1211"/>
      <c r="P24" s="1210"/>
      <c r="Q24" s="1210"/>
      <c r="R24" s="1210"/>
      <c r="S24" s="1209"/>
      <c r="T24" s="1209"/>
      <c r="U24" s="1209"/>
      <c r="W24" s="1785"/>
      <c r="X24" s="1780"/>
    </row>
    <row r="25" spans="1:24" ht="12.75" x14ac:dyDescent="0.2">
      <c r="A25" s="835">
        <v>5</v>
      </c>
      <c r="B25" s="835" t="s">
        <v>77</v>
      </c>
      <c r="C25" s="835"/>
      <c r="V25" s="1786"/>
      <c r="W25" s="1785"/>
    </row>
    <row r="26" spans="1:24" x14ac:dyDescent="0.2">
      <c r="V26" s="1786"/>
      <c r="W26" s="1785"/>
    </row>
    <row r="27" spans="1:24" x14ac:dyDescent="0.2">
      <c r="M27" s="429"/>
      <c r="V27" s="1787"/>
      <c r="W27" s="1786"/>
    </row>
    <row r="28" spans="1:24" x14ac:dyDescent="0.2">
      <c r="M28" s="439"/>
      <c r="V28" s="1786"/>
      <c r="W28" s="1788"/>
    </row>
    <row r="29" spans="1:24" x14ac:dyDescent="0.2">
      <c r="M29" s="439"/>
      <c r="W29" s="1789"/>
    </row>
    <row r="30" spans="1:24" x14ac:dyDescent="0.2">
      <c r="M30" s="439"/>
      <c r="W30" s="1789"/>
    </row>
    <row r="31" spans="1:24" x14ac:dyDescent="0.2">
      <c r="M31" s="439"/>
    </row>
    <row r="32" spans="1:24" x14ac:dyDescent="0.2">
      <c r="M32" s="439"/>
      <c r="W32" s="1790"/>
    </row>
    <row r="33" spans="1:23" x14ac:dyDescent="0.2">
      <c r="M33" s="439"/>
      <c r="W33" s="1790"/>
    </row>
    <row r="34" spans="1:23" x14ac:dyDescent="0.2">
      <c r="M34" s="439"/>
      <c r="W34" s="1790"/>
    </row>
    <row r="35" spans="1:23" x14ac:dyDescent="0.2">
      <c r="M35" s="439"/>
    </row>
    <row r="36" spans="1:23" x14ac:dyDescent="0.2">
      <c r="B36" s="1258"/>
      <c r="M36" s="439"/>
    </row>
    <row r="37" spans="1:23" x14ac:dyDescent="0.2">
      <c r="M37" s="439"/>
    </row>
    <row r="38" spans="1:23" x14ac:dyDescent="0.2">
      <c r="M38" s="439"/>
    </row>
    <row r="39" spans="1:23" x14ac:dyDescent="0.2">
      <c r="M39" s="439"/>
    </row>
    <row r="40" spans="1:23" x14ac:dyDescent="0.2">
      <c r="M40" s="439"/>
    </row>
    <row r="41" spans="1:23" x14ac:dyDescent="0.2">
      <c r="M41" s="439"/>
    </row>
    <row r="42" spans="1:23" x14ac:dyDescent="0.2">
      <c r="M42" s="439"/>
    </row>
    <row r="43" spans="1:23" x14ac:dyDescent="0.2">
      <c r="M43" s="439"/>
    </row>
    <row r="44" spans="1:23" x14ac:dyDescent="0.2">
      <c r="M44" s="439"/>
    </row>
    <row r="45" spans="1:23" x14ac:dyDescent="0.2">
      <c r="M45" s="439"/>
    </row>
    <row r="46" spans="1:23" s="964" customFormat="1" ht="14.25" x14ac:dyDescent="0.2">
      <c r="A46" s="835">
        <v>6</v>
      </c>
      <c r="B46" s="835" t="s">
        <v>78</v>
      </c>
      <c r="C46" s="835"/>
      <c r="D46" s="3615" t="s">
        <v>1192</v>
      </c>
      <c r="E46" s="3616"/>
      <c r="F46" s="3616"/>
      <c r="G46" s="3616"/>
      <c r="H46" s="3616"/>
      <c r="I46" s="3616"/>
      <c r="J46" s="3616"/>
      <c r="K46" s="3616"/>
      <c r="L46" s="3616"/>
      <c r="M46" s="3616"/>
      <c r="N46" s="3616"/>
      <c r="O46" s="3616"/>
      <c r="P46" s="3616"/>
      <c r="Q46" s="3616"/>
      <c r="R46" s="3616"/>
      <c r="S46" s="3616"/>
      <c r="T46" s="3616"/>
      <c r="U46" s="3617"/>
    </row>
    <row r="47" spans="1:23" s="964" customFormat="1" ht="38.25" customHeight="1" x14ac:dyDescent="0.2">
      <c r="A47" s="963">
        <v>7</v>
      </c>
      <c r="B47" s="963" t="s">
        <v>80</v>
      </c>
      <c r="C47" s="963"/>
      <c r="D47" s="3793" t="s">
        <v>1191</v>
      </c>
      <c r="E47" s="3794"/>
      <c r="F47" s="3794"/>
      <c r="G47" s="3794"/>
      <c r="H47" s="3794"/>
      <c r="I47" s="3794"/>
      <c r="J47" s="3794"/>
      <c r="K47" s="3794"/>
      <c r="L47" s="3794"/>
      <c r="M47" s="3794"/>
      <c r="N47" s="3794"/>
      <c r="O47" s="3794"/>
      <c r="P47" s="3794"/>
      <c r="Q47" s="3794"/>
      <c r="R47" s="3794"/>
      <c r="S47" s="3794"/>
      <c r="T47" s="3794"/>
      <c r="U47" s="3795"/>
    </row>
    <row r="48" spans="1:23" s="964" customFormat="1" ht="21.75" customHeight="1" x14ac:dyDescent="0.2">
      <c r="A48" s="835">
        <v>8</v>
      </c>
      <c r="B48" s="835" t="s">
        <v>20</v>
      </c>
      <c r="C48" s="835"/>
      <c r="D48" s="3629" t="s">
        <v>1190</v>
      </c>
      <c r="E48" s="3630"/>
      <c r="F48" s="3630"/>
      <c r="G48" s="3630"/>
      <c r="H48" s="3630"/>
      <c r="I48" s="3630"/>
      <c r="J48" s="3630"/>
      <c r="K48" s="3630"/>
      <c r="L48" s="3630"/>
      <c r="M48" s="3630"/>
      <c r="N48" s="3630"/>
      <c r="O48" s="3630"/>
      <c r="P48" s="3630"/>
      <c r="Q48" s="3630"/>
      <c r="R48" s="3630"/>
      <c r="S48" s="3630"/>
      <c r="T48" s="3630"/>
      <c r="U48" s="3631"/>
    </row>
    <row r="49" spans="1:21" s="964" customFormat="1" ht="50.25" customHeight="1" x14ac:dyDescent="0.2">
      <c r="A49" s="835">
        <v>9</v>
      </c>
      <c r="B49" s="835" t="s">
        <v>22</v>
      </c>
      <c r="C49" s="835"/>
      <c r="D49" s="3629" t="s">
        <v>1189</v>
      </c>
      <c r="E49" s="3630"/>
      <c r="F49" s="3630"/>
      <c r="G49" s="3630"/>
      <c r="H49" s="3630"/>
      <c r="I49" s="3630"/>
      <c r="J49" s="3630"/>
      <c r="K49" s="3630"/>
      <c r="L49" s="3630"/>
      <c r="M49" s="3630"/>
      <c r="N49" s="3630"/>
      <c r="O49" s="3630"/>
      <c r="P49" s="3630"/>
      <c r="Q49" s="3630"/>
      <c r="R49" s="3630"/>
      <c r="S49" s="3630"/>
      <c r="T49" s="3630"/>
      <c r="U49" s="3631"/>
    </row>
  </sheetData>
  <mergeCells count="6">
    <mergeCell ref="D49:U49"/>
    <mergeCell ref="D3:U3"/>
    <mergeCell ref="D4:U4"/>
    <mergeCell ref="D46:U46"/>
    <mergeCell ref="D47:U47"/>
    <mergeCell ref="D48:U48"/>
  </mergeCells>
  <pageMargins left="0.74803149606299213" right="0.74803149606299213" top="0.98425196850393704" bottom="0.98425196850393704" header="0.51181102362204722" footer="0.51181102362204722"/>
  <pageSetup paperSize="9" scale="5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2"/>
  <sheetViews>
    <sheetView showGridLines="0" view="pageBreakPreview" topLeftCell="F19" zoomScaleNormal="100" zoomScaleSheetLayoutView="100" workbookViewId="0">
      <selection activeCell="M11" sqref="M11"/>
    </sheetView>
  </sheetViews>
  <sheetFormatPr defaultColWidth="9.140625" defaultRowHeight="12" x14ac:dyDescent="0.2"/>
  <cols>
    <col min="1" max="1" width="3.7109375" style="1687" customWidth="1"/>
    <col min="2" max="2" width="14.42578125" style="1688" customWidth="1"/>
    <col min="3" max="3" width="3.7109375" style="1688" customWidth="1"/>
    <col min="4" max="4" width="22.140625" style="428" bestFit="1" customWidth="1"/>
    <col min="5" max="5" width="8.28515625" style="428" customWidth="1"/>
    <col min="6" max="10" width="8.28515625" style="1208" customWidth="1"/>
    <col min="11" max="14" width="8.28515625" style="428" customWidth="1"/>
    <col min="15" max="257" width="9.140625" style="428"/>
    <col min="258" max="258" width="3.7109375" style="428" customWidth="1"/>
    <col min="259" max="259" width="14.42578125" style="428" customWidth="1"/>
    <col min="260" max="260" width="3.7109375" style="428" customWidth="1"/>
    <col min="261" max="261" width="22.140625" style="428" bestFit="1" customWidth="1"/>
    <col min="262" max="271" width="8.28515625" style="428" customWidth="1"/>
    <col min="272" max="513" width="9.140625" style="428"/>
    <col min="514" max="514" width="3.7109375" style="428" customWidth="1"/>
    <col min="515" max="515" width="14.42578125" style="428" customWidth="1"/>
    <col min="516" max="516" width="3.7109375" style="428" customWidth="1"/>
    <col min="517" max="517" width="22.140625" style="428" bestFit="1" customWidth="1"/>
    <col min="518" max="527" width="8.28515625" style="428" customWidth="1"/>
    <col min="528" max="769" width="9.140625" style="428"/>
    <col min="770" max="770" width="3.7109375" style="428" customWidth="1"/>
    <col min="771" max="771" width="14.42578125" style="428" customWidth="1"/>
    <col min="772" max="772" width="3.7109375" style="428" customWidth="1"/>
    <col min="773" max="773" width="22.140625" style="428" bestFit="1" customWidth="1"/>
    <col min="774" max="783" width="8.28515625" style="428" customWidth="1"/>
    <col min="784" max="1025" width="9.140625" style="428"/>
    <col min="1026" max="1026" width="3.7109375" style="428" customWidth="1"/>
    <col min="1027" max="1027" width="14.42578125" style="428" customWidth="1"/>
    <col min="1028" max="1028" width="3.7109375" style="428" customWidth="1"/>
    <col min="1029" max="1029" width="22.140625" style="428" bestFit="1" customWidth="1"/>
    <col min="1030" max="1039" width="8.28515625" style="428" customWidth="1"/>
    <col min="1040" max="1281" width="9.140625" style="428"/>
    <col min="1282" max="1282" width="3.7109375" style="428" customWidth="1"/>
    <col min="1283" max="1283" width="14.42578125" style="428" customWidth="1"/>
    <col min="1284" max="1284" width="3.7109375" style="428" customWidth="1"/>
    <col min="1285" max="1285" width="22.140625" style="428" bestFit="1" customWidth="1"/>
    <col min="1286" max="1295" width="8.28515625" style="428" customWidth="1"/>
    <col min="1296" max="1537" width="9.140625" style="428"/>
    <col min="1538" max="1538" width="3.7109375" style="428" customWidth="1"/>
    <col min="1539" max="1539" width="14.42578125" style="428" customWidth="1"/>
    <col min="1540" max="1540" width="3.7109375" style="428" customWidth="1"/>
    <col min="1541" max="1541" width="22.140625" style="428" bestFit="1" customWidth="1"/>
    <col min="1542" max="1551" width="8.28515625" style="428" customWidth="1"/>
    <col min="1552" max="1793" width="9.140625" style="428"/>
    <col min="1794" max="1794" width="3.7109375" style="428" customWidth="1"/>
    <col min="1795" max="1795" width="14.42578125" style="428" customWidth="1"/>
    <col min="1796" max="1796" width="3.7109375" style="428" customWidth="1"/>
    <col min="1797" max="1797" width="22.140625" style="428" bestFit="1" customWidth="1"/>
    <col min="1798" max="1807" width="8.28515625" style="428" customWidth="1"/>
    <col min="1808" max="2049" width="9.140625" style="428"/>
    <col min="2050" max="2050" width="3.7109375" style="428" customWidth="1"/>
    <col min="2051" max="2051" width="14.42578125" style="428" customWidth="1"/>
    <col min="2052" max="2052" width="3.7109375" style="428" customWidth="1"/>
    <col min="2053" max="2053" width="22.140625" style="428" bestFit="1" customWidth="1"/>
    <col min="2054" max="2063" width="8.28515625" style="428" customWidth="1"/>
    <col min="2064" max="2305" width="9.140625" style="428"/>
    <col min="2306" max="2306" width="3.7109375" style="428" customWidth="1"/>
    <col min="2307" max="2307" width="14.42578125" style="428" customWidth="1"/>
    <col min="2308" max="2308" width="3.7109375" style="428" customWidth="1"/>
    <col min="2309" max="2309" width="22.140625" style="428" bestFit="1" customWidth="1"/>
    <col min="2310" max="2319" width="8.28515625" style="428" customWidth="1"/>
    <col min="2320" max="2561" width="9.140625" style="428"/>
    <col min="2562" max="2562" width="3.7109375" style="428" customWidth="1"/>
    <col min="2563" max="2563" width="14.42578125" style="428" customWidth="1"/>
    <col min="2564" max="2564" width="3.7109375" style="428" customWidth="1"/>
    <col min="2565" max="2565" width="22.140625" style="428" bestFit="1" customWidth="1"/>
    <col min="2566" max="2575" width="8.28515625" style="428" customWidth="1"/>
    <col min="2576" max="2817" width="9.140625" style="428"/>
    <col min="2818" max="2818" width="3.7109375" style="428" customWidth="1"/>
    <col min="2819" max="2819" width="14.42578125" style="428" customWidth="1"/>
    <col min="2820" max="2820" width="3.7109375" style="428" customWidth="1"/>
    <col min="2821" max="2821" width="22.140625" style="428" bestFit="1" customWidth="1"/>
    <col min="2822" max="2831" width="8.28515625" style="428" customWidth="1"/>
    <col min="2832" max="3073" width="9.140625" style="428"/>
    <col min="3074" max="3074" width="3.7109375" style="428" customWidth="1"/>
    <col min="3075" max="3075" width="14.42578125" style="428" customWidth="1"/>
    <col min="3076" max="3076" width="3.7109375" style="428" customWidth="1"/>
    <col min="3077" max="3077" width="22.140625" style="428" bestFit="1" customWidth="1"/>
    <col min="3078" max="3087" width="8.28515625" style="428" customWidth="1"/>
    <col min="3088" max="3329" width="9.140625" style="428"/>
    <col min="3330" max="3330" width="3.7109375" style="428" customWidth="1"/>
    <col min="3331" max="3331" width="14.42578125" style="428" customWidth="1"/>
    <col min="3332" max="3332" width="3.7109375" style="428" customWidth="1"/>
    <col min="3333" max="3333" width="22.140625" style="428" bestFit="1" customWidth="1"/>
    <col min="3334" max="3343" width="8.28515625" style="428" customWidth="1"/>
    <col min="3344" max="3585" width="9.140625" style="428"/>
    <col min="3586" max="3586" width="3.7109375" style="428" customWidth="1"/>
    <col min="3587" max="3587" width="14.42578125" style="428" customWidth="1"/>
    <col min="3588" max="3588" width="3.7109375" style="428" customWidth="1"/>
    <col min="3589" max="3589" width="22.140625" style="428" bestFit="1" customWidth="1"/>
    <col min="3590" max="3599" width="8.28515625" style="428" customWidth="1"/>
    <col min="3600" max="3841" width="9.140625" style="428"/>
    <col min="3842" max="3842" width="3.7109375" style="428" customWidth="1"/>
    <col min="3843" max="3843" width="14.42578125" style="428" customWidth="1"/>
    <col min="3844" max="3844" width="3.7109375" style="428" customWidth="1"/>
    <col min="3845" max="3845" width="22.140625" style="428" bestFit="1" customWidth="1"/>
    <col min="3846" max="3855" width="8.28515625" style="428" customWidth="1"/>
    <col min="3856" max="4097" width="9.140625" style="428"/>
    <col min="4098" max="4098" width="3.7109375" style="428" customWidth="1"/>
    <col min="4099" max="4099" width="14.42578125" style="428" customWidth="1"/>
    <col min="4100" max="4100" width="3.7109375" style="428" customWidth="1"/>
    <col min="4101" max="4101" width="22.140625" style="428" bestFit="1" customWidth="1"/>
    <col min="4102" max="4111" width="8.28515625" style="428" customWidth="1"/>
    <col min="4112" max="4353" width="9.140625" style="428"/>
    <col min="4354" max="4354" width="3.7109375" style="428" customWidth="1"/>
    <col min="4355" max="4355" width="14.42578125" style="428" customWidth="1"/>
    <col min="4356" max="4356" width="3.7109375" style="428" customWidth="1"/>
    <col min="4357" max="4357" width="22.140625" style="428" bestFit="1" customWidth="1"/>
    <col min="4358" max="4367" width="8.28515625" style="428" customWidth="1"/>
    <col min="4368" max="4609" width="9.140625" style="428"/>
    <col min="4610" max="4610" width="3.7109375" style="428" customWidth="1"/>
    <col min="4611" max="4611" width="14.42578125" style="428" customWidth="1"/>
    <col min="4612" max="4612" width="3.7109375" style="428" customWidth="1"/>
    <col min="4613" max="4613" width="22.140625" style="428" bestFit="1" customWidth="1"/>
    <col min="4614" max="4623" width="8.28515625" style="428" customWidth="1"/>
    <col min="4624" max="4865" width="9.140625" style="428"/>
    <col min="4866" max="4866" width="3.7109375" style="428" customWidth="1"/>
    <col min="4867" max="4867" width="14.42578125" style="428" customWidth="1"/>
    <col min="4868" max="4868" width="3.7109375" style="428" customWidth="1"/>
    <col min="4869" max="4869" width="22.140625" style="428" bestFit="1" customWidth="1"/>
    <col min="4870" max="4879" width="8.28515625" style="428" customWidth="1"/>
    <col min="4880" max="5121" width="9.140625" style="428"/>
    <col min="5122" max="5122" width="3.7109375" style="428" customWidth="1"/>
    <col min="5123" max="5123" width="14.42578125" style="428" customWidth="1"/>
    <col min="5124" max="5124" width="3.7109375" style="428" customWidth="1"/>
    <col min="5125" max="5125" width="22.140625" style="428" bestFit="1" customWidth="1"/>
    <col min="5126" max="5135" width="8.28515625" style="428" customWidth="1"/>
    <col min="5136" max="5377" width="9.140625" style="428"/>
    <col min="5378" max="5378" width="3.7109375" style="428" customWidth="1"/>
    <col min="5379" max="5379" width="14.42578125" style="428" customWidth="1"/>
    <col min="5380" max="5380" width="3.7109375" style="428" customWidth="1"/>
    <col min="5381" max="5381" width="22.140625" style="428" bestFit="1" customWidth="1"/>
    <col min="5382" max="5391" width="8.28515625" style="428" customWidth="1"/>
    <col min="5392" max="5633" width="9.140625" style="428"/>
    <col min="5634" max="5634" width="3.7109375" style="428" customWidth="1"/>
    <col min="5635" max="5635" width="14.42578125" style="428" customWidth="1"/>
    <col min="5636" max="5636" width="3.7109375" style="428" customWidth="1"/>
    <col min="5637" max="5637" width="22.140625" style="428" bestFit="1" customWidth="1"/>
    <col min="5638" max="5647" width="8.28515625" style="428" customWidth="1"/>
    <col min="5648" max="5889" width="9.140625" style="428"/>
    <col min="5890" max="5890" width="3.7109375" style="428" customWidth="1"/>
    <col min="5891" max="5891" width="14.42578125" style="428" customWidth="1"/>
    <col min="5892" max="5892" width="3.7109375" style="428" customWidth="1"/>
    <col min="5893" max="5893" width="22.140625" style="428" bestFit="1" customWidth="1"/>
    <col min="5894" max="5903" width="8.28515625" style="428" customWidth="1"/>
    <col min="5904" max="6145" width="9.140625" style="428"/>
    <col min="6146" max="6146" width="3.7109375" style="428" customWidth="1"/>
    <col min="6147" max="6147" width="14.42578125" style="428" customWidth="1"/>
    <col min="6148" max="6148" width="3.7109375" style="428" customWidth="1"/>
    <col min="6149" max="6149" width="22.140625" style="428" bestFit="1" customWidth="1"/>
    <col min="6150" max="6159" width="8.28515625" style="428" customWidth="1"/>
    <col min="6160" max="6401" width="9.140625" style="428"/>
    <col min="6402" max="6402" width="3.7109375" style="428" customWidth="1"/>
    <col min="6403" max="6403" width="14.42578125" style="428" customWidth="1"/>
    <col min="6404" max="6404" width="3.7109375" style="428" customWidth="1"/>
    <col min="6405" max="6405" width="22.140625" style="428" bestFit="1" customWidth="1"/>
    <col min="6406" max="6415" width="8.28515625" style="428" customWidth="1"/>
    <col min="6416" max="6657" width="9.140625" style="428"/>
    <col min="6658" max="6658" width="3.7109375" style="428" customWidth="1"/>
    <col min="6659" max="6659" width="14.42578125" style="428" customWidth="1"/>
    <col min="6660" max="6660" width="3.7109375" style="428" customWidth="1"/>
    <col min="6661" max="6661" width="22.140625" style="428" bestFit="1" customWidth="1"/>
    <col min="6662" max="6671" width="8.28515625" style="428" customWidth="1"/>
    <col min="6672" max="6913" width="9.140625" style="428"/>
    <col min="6914" max="6914" width="3.7109375" style="428" customWidth="1"/>
    <col min="6915" max="6915" width="14.42578125" style="428" customWidth="1"/>
    <col min="6916" max="6916" width="3.7109375" style="428" customWidth="1"/>
    <col min="6917" max="6917" width="22.140625" style="428" bestFit="1" customWidth="1"/>
    <col min="6918" max="6927" width="8.28515625" style="428" customWidth="1"/>
    <col min="6928" max="7169" width="9.140625" style="428"/>
    <col min="7170" max="7170" width="3.7109375" style="428" customWidth="1"/>
    <col min="7171" max="7171" width="14.42578125" style="428" customWidth="1"/>
    <col min="7172" max="7172" width="3.7109375" style="428" customWidth="1"/>
    <col min="7173" max="7173" width="22.140625" style="428" bestFit="1" customWidth="1"/>
    <col min="7174" max="7183" width="8.28515625" style="428" customWidth="1"/>
    <col min="7184" max="7425" width="9.140625" style="428"/>
    <col min="7426" max="7426" width="3.7109375" style="428" customWidth="1"/>
    <col min="7427" max="7427" width="14.42578125" style="428" customWidth="1"/>
    <col min="7428" max="7428" width="3.7109375" style="428" customWidth="1"/>
    <col min="7429" max="7429" width="22.140625" style="428" bestFit="1" customWidth="1"/>
    <col min="7430" max="7439" width="8.28515625" style="428" customWidth="1"/>
    <col min="7440" max="7681" width="9.140625" style="428"/>
    <col min="7682" max="7682" width="3.7109375" style="428" customWidth="1"/>
    <col min="7683" max="7683" width="14.42578125" style="428" customWidth="1"/>
    <col min="7684" max="7684" width="3.7109375" style="428" customWidth="1"/>
    <col min="7685" max="7685" width="22.140625" style="428" bestFit="1" customWidth="1"/>
    <col min="7686" max="7695" width="8.28515625" style="428" customWidth="1"/>
    <col min="7696" max="7937" width="9.140625" style="428"/>
    <col min="7938" max="7938" width="3.7109375" style="428" customWidth="1"/>
    <col min="7939" max="7939" width="14.42578125" style="428" customWidth="1"/>
    <col min="7940" max="7940" width="3.7109375" style="428" customWidth="1"/>
    <col min="7941" max="7941" width="22.140625" style="428" bestFit="1" customWidth="1"/>
    <col min="7942" max="7951" width="8.28515625" style="428" customWidth="1"/>
    <col min="7952" max="8193" width="9.140625" style="428"/>
    <col min="8194" max="8194" width="3.7109375" style="428" customWidth="1"/>
    <col min="8195" max="8195" width="14.42578125" style="428" customWidth="1"/>
    <col min="8196" max="8196" width="3.7109375" style="428" customWidth="1"/>
    <col min="8197" max="8197" width="22.140625" style="428" bestFit="1" customWidth="1"/>
    <col min="8198" max="8207" width="8.28515625" style="428" customWidth="1"/>
    <col min="8208" max="8449" width="9.140625" style="428"/>
    <col min="8450" max="8450" width="3.7109375" style="428" customWidth="1"/>
    <col min="8451" max="8451" width="14.42578125" style="428" customWidth="1"/>
    <col min="8452" max="8452" width="3.7109375" style="428" customWidth="1"/>
    <col min="8453" max="8453" width="22.140625" style="428" bestFit="1" customWidth="1"/>
    <col min="8454" max="8463" width="8.28515625" style="428" customWidth="1"/>
    <col min="8464" max="8705" width="9.140625" style="428"/>
    <col min="8706" max="8706" width="3.7109375" style="428" customWidth="1"/>
    <col min="8707" max="8707" width="14.42578125" style="428" customWidth="1"/>
    <col min="8708" max="8708" width="3.7109375" style="428" customWidth="1"/>
    <col min="8709" max="8709" width="22.140625" style="428" bestFit="1" customWidth="1"/>
    <col min="8710" max="8719" width="8.28515625" style="428" customWidth="1"/>
    <col min="8720" max="8961" width="9.140625" style="428"/>
    <col min="8962" max="8962" width="3.7109375" style="428" customWidth="1"/>
    <col min="8963" max="8963" width="14.42578125" style="428" customWidth="1"/>
    <col min="8964" max="8964" width="3.7109375" style="428" customWidth="1"/>
    <col min="8965" max="8965" width="22.140625" style="428" bestFit="1" customWidth="1"/>
    <col min="8966" max="8975" width="8.28515625" style="428" customWidth="1"/>
    <col min="8976" max="9217" width="9.140625" style="428"/>
    <col min="9218" max="9218" width="3.7109375" style="428" customWidth="1"/>
    <col min="9219" max="9219" width="14.42578125" style="428" customWidth="1"/>
    <col min="9220" max="9220" width="3.7109375" style="428" customWidth="1"/>
    <col min="9221" max="9221" width="22.140625" style="428" bestFit="1" customWidth="1"/>
    <col min="9222" max="9231" width="8.28515625" style="428" customWidth="1"/>
    <col min="9232" max="9473" width="9.140625" style="428"/>
    <col min="9474" max="9474" width="3.7109375" style="428" customWidth="1"/>
    <col min="9475" max="9475" width="14.42578125" style="428" customWidth="1"/>
    <col min="9476" max="9476" width="3.7109375" style="428" customWidth="1"/>
    <col min="9477" max="9477" width="22.140625" style="428" bestFit="1" customWidth="1"/>
    <col min="9478" max="9487" width="8.28515625" style="428" customWidth="1"/>
    <col min="9488" max="9729" width="9.140625" style="428"/>
    <col min="9730" max="9730" width="3.7109375" style="428" customWidth="1"/>
    <col min="9731" max="9731" width="14.42578125" style="428" customWidth="1"/>
    <col min="9732" max="9732" width="3.7109375" style="428" customWidth="1"/>
    <col min="9733" max="9733" width="22.140625" style="428" bestFit="1" customWidth="1"/>
    <col min="9734" max="9743" width="8.28515625" style="428" customWidth="1"/>
    <col min="9744" max="9985" width="9.140625" style="428"/>
    <col min="9986" max="9986" width="3.7109375" style="428" customWidth="1"/>
    <col min="9987" max="9987" width="14.42578125" style="428" customWidth="1"/>
    <col min="9988" max="9988" width="3.7109375" style="428" customWidth="1"/>
    <col min="9989" max="9989" width="22.140625" style="428" bestFit="1" customWidth="1"/>
    <col min="9990" max="9999" width="8.28515625" style="428" customWidth="1"/>
    <col min="10000" max="10241" width="9.140625" style="428"/>
    <col min="10242" max="10242" width="3.7109375" style="428" customWidth="1"/>
    <col min="10243" max="10243" width="14.42578125" style="428" customWidth="1"/>
    <col min="10244" max="10244" width="3.7109375" style="428" customWidth="1"/>
    <col min="10245" max="10245" width="22.140625" style="428" bestFit="1" customWidth="1"/>
    <col min="10246" max="10255" width="8.28515625" style="428" customWidth="1"/>
    <col min="10256" max="10497" width="9.140625" style="428"/>
    <col min="10498" max="10498" width="3.7109375" style="428" customWidth="1"/>
    <col min="10499" max="10499" width="14.42578125" style="428" customWidth="1"/>
    <col min="10500" max="10500" width="3.7109375" style="428" customWidth="1"/>
    <col min="10501" max="10501" width="22.140625" style="428" bestFit="1" customWidth="1"/>
    <col min="10502" max="10511" width="8.28515625" style="428" customWidth="1"/>
    <col min="10512" max="10753" width="9.140625" style="428"/>
    <col min="10754" max="10754" width="3.7109375" style="428" customWidth="1"/>
    <col min="10755" max="10755" width="14.42578125" style="428" customWidth="1"/>
    <col min="10756" max="10756" width="3.7109375" style="428" customWidth="1"/>
    <col min="10757" max="10757" width="22.140625" style="428" bestFit="1" customWidth="1"/>
    <col min="10758" max="10767" width="8.28515625" style="428" customWidth="1"/>
    <col min="10768" max="11009" width="9.140625" style="428"/>
    <col min="11010" max="11010" width="3.7109375" style="428" customWidth="1"/>
    <col min="11011" max="11011" width="14.42578125" style="428" customWidth="1"/>
    <col min="11012" max="11012" width="3.7109375" style="428" customWidth="1"/>
    <col min="11013" max="11013" width="22.140625" style="428" bestFit="1" customWidth="1"/>
    <col min="11014" max="11023" width="8.28515625" style="428" customWidth="1"/>
    <col min="11024" max="11265" width="9.140625" style="428"/>
    <col min="11266" max="11266" width="3.7109375" style="428" customWidth="1"/>
    <col min="11267" max="11267" width="14.42578125" style="428" customWidth="1"/>
    <col min="11268" max="11268" width="3.7109375" style="428" customWidth="1"/>
    <col min="11269" max="11269" width="22.140625" style="428" bestFit="1" customWidth="1"/>
    <col min="11270" max="11279" width="8.28515625" style="428" customWidth="1"/>
    <col min="11280" max="11521" width="9.140625" style="428"/>
    <col min="11522" max="11522" width="3.7109375" style="428" customWidth="1"/>
    <col min="11523" max="11523" width="14.42578125" style="428" customWidth="1"/>
    <col min="11524" max="11524" width="3.7109375" style="428" customWidth="1"/>
    <col min="11525" max="11525" width="22.140625" style="428" bestFit="1" customWidth="1"/>
    <col min="11526" max="11535" width="8.28515625" style="428" customWidth="1"/>
    <col min="11536" max="11777" width="9.140625" style="428"/>
    <col min="11778" max="11778" width="3.7109375" style="428" customWidth="1"/>
    <col min="11779" max="11779" width="14.42578125" style="428" customWidth="1"/>
    <col min="11780" max="11780" width="3.7109375" style="428" customWidth="1"/>
    <col min="11781" max="11781" width="22.140625" style="428" bestFit="1" customWidth="1"/>
    <col min="11782" max="11791" width="8.28515625" style="428" customWidth="1"/>
    <col min="11792" max="12033" width="9.140625" style="428"/>
    <col min="12034" max="12034" width="3.7109375" style="428" customWidth="1"/>
    <col min="12035" max="12035" width="14.42578125" style="428" customWidth="1"/>
    <col min="12036" max="12036" width="3.7109375" style="428" customWidth="1"/>
    <col min="12037" max="12037" width="22.140625" style="428" bestFit="1" customWidth="1"/>
    <col min="12038" max="12047" width="8.28515625" style="428" customWidth="1"/>
    <col min="12048" max="12289" width="9.140625" style="428"/>
    <col min="12290" max="12290" width="3.7109375" style="428" customWidth="1"/>
    <col min="12291" max="12291" width="14.42578125" style="428" customWidth="1"/>
    <col min="12292" max="12292" width="3.7109375" style="428" customWidth="1"/>
    <col min="12293" max="12293" width="22.140625" style="428" bestFit="1" customWidth="1"/>
    <col min="12294" max="12303" width="8.28515625" style="428" customWidth="1"/>
    <col min="12304" max="12545" width="9.140625" style="428"/>
    <col min="12546" max="12546" width="3.7109375" style="428" customWidth="1"/>
    <col min="12547" max="12547" width="14.42578125" style="428" customWidth="1"/>
    <col min="12548" max="12548" width="3.7109375" style="428" customWidth="1"/>
    <col min="12549" max="12549" width="22.140625" style="428" bestFit="1" customWidth="1"/>
    <col min="12550" max="12559" width="8.28515625" style="428" customWidth="1"/>
    <col min="12560" max="12801" width="9.140625" style="428"/>
    <col min="12802" max="12802" width="3.7109375" style="428" customWidth="1"/>
    <col min="12803" max="12803" width="14.42578125" style="428" customWidth="1"/>
    <col min="12804" max="12804" width="3.7109375" style="428" customWidth="1"/>
    <col min="12805" max="12805" width="22.140625" style="428" bestFit="1" customWidth="1"/>
    <col min="12806" max="12815" width="8.28515625" style="428" customWidth="1"/>
    <col min="12816" max="13057" width="9.140625" style="428"/>
    <col min="13058" max="13058" width="3.7109375" style="428" customWidth="1"/>
    <col min="13059" max="13059" width="14.42578125" style="428" customWidth="1"/>
    <col min="13060" max="13060" width="3.7109375" style="428" customWidth="1"/>
    <col min="13061" max="13061" width="22.140625" style="428" bestFit="1" customWidth="1"/>
    <col min="13062" max="13071" width="8.28515625" style="428" customWidth="1"/>
    <col min="13072" max="13313" width="9.140625" style="428"/>
    <col min="13314" max="13314" width="3.7109375" style="428" customWidth="1"/>
    <col min="13315" max="13315" width="14.42578125" style="428" customWidth="1"/>
    <col min="13316" max="13316" width="3.7109375" style="428" customWidth="1"/>
    <col min="13317" max="13317" width="22.140625" style="428" bestFit="1" customWidth="1"/>
    <col min="13318" max="13327" width="8.28515625" style="428" customWidth="1"/>
    <col min="13328" max="13569" width="9.140625" style="428"/>
    <col min="13570" max="13570" width="3.7109375" style="428" customWidth="1"/>
    <col min="13571" max="13571" width="14.42578125" style="428" customWidth="1"/>
    <col min="13572" max="13572" width="3.7109375" style="428" customWidth="1"/>
    <col min="13573" max="13573" width="22.140625" style="428" bestFit="1" customWidth="1"/>
    <col min="13574" max="13583" width="8.28515625" style="428" customWidth="1"/>
    <col min="13584" max="13825" width="9.140625" style="428"/>
    <col min="13826" max="13826" width="3.7109375" style="428" customWidth="1"/>
    <col min="13827" max="13827" width="14.42578125" style="428" customWidth="1"/>
    <col min="13828" max="13828" width="3.7109375" style="428" customWidth="1"/>
    <col min="13829" max="13829" width="22.140625" style="428" bestFit="1" customWidth="1"/>
    <col min="13830" max="13839" width="8.28515625" style="428" customWidth="1"/>
    <col min="13840" max="14081" width="9.140625" style="428"/>
    <col min="14082" max="14082" width="3.7109375" style="428" customWidth="1"/>
    <col min="14083" max="14083" width="14.42578125" style="428" customWidth="1"/>
    <col min="14084" max="14084" width="3.7109375" style="428" customWidth="1"/>
    <col min="14085" max="14085" width="22.140625" style="428" bestFit="1" customWidth="1"/>
    <col min="14086" max="14095" width="8.28515625" style="428" customWidth="1"/>
    <col min="14096" max="14337" width="9.140625" style="428"/>
    <col min="14338" max="14338" width="3.7109375" style="428" customWidth="1"/>
    <col min="14339" max="14339" width="14.42578125" style="428" customWidth="1"/>
    <col min="14340" max="14340" width="3.7109375" style="428" customWidth="1"/>
    <col min="14341" max="14341" width="22.140625" style="428" bestFit="1" customWidth="1"/>
    <col min="14342" max="14351" width="8.28515625" style="428" customWidth="1"/>
    <col min="14352" max="14593" width="9.140625" style="428"/>
    <col min="14594" max="14594" width="3.7109375" style="428" customWidth="1"/>
    <col min="14595" max="14595" width="14.42578125" style="428" customWidth="1"/>
    <col min="14596" max="14596" width="3.7109375" style="428" customWidth="1"/>
    <col min="14597" max="14597" width="22.140625" style="428" bestFit="1" customWidth="1"/>
    <col min="14598" max="14607" width="8.28515625" style="428" customWidth="1"/>
    <col min="14608" max="14849" width="9.140625" style="428"/>
    <col min="14850" max="14850" width="3.7109375" style="428" customWidth="1"/>
    <col min="14851" max="14851" width="14.42578125" style="428" customWidth="1"/>
    <col min="14852" max="14852" width="3.7109375" style="428" customWidth="1"/>
    <col min="14853" max="14853" width="22.140625" style="428" bestFit="1" customWidth="1"/>
    <col min="14854" max="14863" width="8.28515625" style="428" customWidth="1"/>
    <col min="14864" max="15105" width="9.140625" style="428"/>
    <col min="15106" max="15106" width="3.7109375" style="428" customWidth="1"/>
    <col min="15107" max="15107" width="14.42578125" style="428" customWidth="1"/>
    <col min="15108" max="15108" width="3.7109375" style="428" customWidth="1"/>
    <col min="15109" max="15109" width="22.140625" style="428" bestFit="1" customWidth="1"/>
    <col min="15110" max="15119" width="8.28515625" style="428" customWidth="1"/>
    <col min="15120" max="15361" width="9.140625" style="428"/>
    <col min="15362" max="15362" width="3.7109375" style="428" customWidth="1"/>
    <col min="15363" max="15363" width="14.42578125" style="428" customWidth="1"/>
    <col min="15364" max="15364" width="3.7109375" style="428" customWidth="1"/>
    <col min="15365" max="15365" width="22.140625" style="428" bestFit="1" customWidth="1"/>
    <col min="15366" max="15375" width="8.28515625" style="428" customWidth="1"/>
    <col min="15376" max="15617" width="9.140625" style="428"/>
    <col min="15618" max="15618" width="3.7109375" style="428" customWidth="1"/>
    <col min="15619" max="15619" width="14.42578125" style="428" customWidth="1"/>
    <col min="15620" max="15620" width="3.7109375" style="428" customWidth="1"/>
    <col min="15621" max="15621" width="22.140625" style="428" bestFit="1" customWidth="1"/>
    <col min="15622" max="15631" width="8.28515625" style="428" customWidth="1"/>
    <col min="15632" max="15873" width="9.140625" style="428"/>
    <col min="15874" max="15874" width="3.7109375" style="428" customWidth="1"/>
    <col min="15875" max="15875" width="14.42578125" style="428" customWidth="1"/>
    <col min="15876" max="15876" width="3.7109375" style="428" customWidth="1"/>
    <col min="15877" max="15877" width="22.140625" style="428" bestFit="1" customWidth="1"/>
    <col min="15878" max="15887" width="8.28515625" style="428" customWidth="1"/>
    <col min="15888" max="16129" width="9.140625" style="428"/>
    <col min="16130" max="16130" width="3.7109375" style="428" customWidth="1"/>
    <col min="16131" max="16131" width="14.42578125" style="428" customWidth="1"/>
    <col min="16132" max="16132" width="3.7109375" style="428" customWidth="1"/>
    <col min="16133" max="16133" width="22.140625" style="428" bestFit="1" customWidth="1"/>
    <col min="16134" max="16143" width="8.28515625" style="428" customWidth="1"/>
    <col min="16144" max="16384" width="9.140625" style="428"/>
  </cols>
  <sheetData>
    <row r="1" spans="1:22" s="964" customFormat="1" ht="15" x14ac:dyDescent="0.2">
      <c r="A1" s="965"/>
      <c r="B1" s="1277"/>
      <c r="C1" s="1277"/>
      <c r="F1" s="1761"/>
      <c r="G1" s="1761"/>
      <c r="H1" s="1761"/>
      <c r="I1" s="1761"/>
      <c r="J1" s="1761"/>
    </row>
    <row r="2" spans="1:22" s="964" customFormat="1" ht="15" customHeight="1" x14ac:dyDescent="0.2">
      <c r="A2" s="835">
        <v>1</v>
      </c>
      <c r="B2" s="835" t="s">
        <v>24</v>
      </c>
      <c r="C2" s="835">
        <f>1+'Tax Admin'!C2</f>
        <v>81</v>
      </c>
      <c r="D2" s="3629" t="s">
        <v>1222</v>
      </c>
      <c r="E2" s="3630"/>
      <c r="F2" s="3630"/>
      <c r="G2" s="3630"/>
      <c r="H2" s="3630"/>
      <c r="I2" s="3630"/>
      <c r="J2" s="3630"/>
      <c r="K2" s="3630"/>
      <c r="L2" s="3630"/>
      <c r="M2" s="3630"/>
      <c r="N2" s="3630"/>
      <c r="O2" s="3630"/>
      <c r="P2" s="3630"/>
      <c r="Q2" s="3630"/>
      <c r="R2" s="3630"/>
      <c r="S2" s="3631"/>
      <c r="T2" s="1762"/>
      <c r="U2" s="1762"/>
      <c r="V2" s="1762"/>
    </row>
    <row r="3" spans="1:22" s="964" customFormat="1" ht="14.25" customHeight="1" x14ac:dyDescent="0.2">
      <c r="A3" s="835">
        <v>2</v>
      </c>
      <c r="B3" s="835" t="s">
        <v>26</v>
      </c>
      <c r="C3" s="835"/>
      <c r="D3" s="3615" t="s">
        <v>1206</v>
      </c>
      <c r="E3" s="3616"/>
      <c r="F3" s="3616"/>
      <c r="G3" s="3616"/>
      <c r="H3" s="3616"/>
      <c r="I3" s="3616"/>
      <c r="J3" s="3616"/>
      <c r="K3" s="3616"/>
      <c r="L3" s="3616"/>
      <c r="M3" s="3616"/>
      <c r="N3" s="3616"/>
      <c r="O3" s="3616"/>
      <c r="P3" s="3616"/>
      <c r="Q3" s="3616"/>
      <c r="R3" s="3616"/>
      <c r="S3" s="3617"/>
    </row>
    <row r="4" spans="1:22" s="964" customFormat="1" ht="14.25" customHeight="1" x14ac:dyDescent="0.2">
      <c r="A4" s="835">
        <v>3</v>
      </c>
      <c r="B4" s="835" t="s">
        <v>28</v>
      </c>
      <c r="C4" s="835"/>
      <c r="D4" s="3615" t="s">
        <v>1221</v>
      </c>
      <c r="E4" s="3616"/>
      <c r="F4" s="3616"/>
      <c r="G4" s="3616"/>
      <c r="H4" s="3616"/>
      <c r="I4" s="3616"/>
      <c r="J4" s="3616"/>
      <c r="K4" s="3616"/>
      <c r="L4" s="3616"/>
      <c r="M4" s="3616"/>
      <c r="N4" s="3616"/>
      <c r="O4" s="3616"/>
      <c r="P4" s="3616"/>
      <c r="Q4" s="3616"/>
      <c r="R4" s="3616"/>
      <c r="S4" s="3617"/>
    </row>
    <row r="5" spans="1:22" ht="12.75" x14ac:dyDescent="0.2">
      <c r="C5" s="418"/>
    </row>
    <row r="6" spans="1:22" s="401" customFormat="1" ht="15.75" customHeight="1" x14ac:dyDescent="0.2">
      <c r="A6" s="835">
        <v>4</v>
      </c>
      <c r="B6" s="418" t="s">
        <v>1</v>
      </c>
      <c r="C6" s="1222"/>
      <c r="D6" s="1098" t="s">
        <v>103</v>
      </c>
      <c r="E6" s="1098" t="s">
        <v>1220</v>
      </c>
      <c r="F6" s="820"/>
      <c r="G6" s="1763"/>
      <c r="H6" s="820"/>
      <c r="I6" s="820"/>
      <c r="J6" s="420"/>
      <c r="K6" s="432"/>
      <c r="L6" s="432"/>
      <c r="M6" s="432"/>
    </row>
    <row r="7" spans="1:22" s="401" customFormat="1" ht="15.75" customHeight="1" x14ac:dyDescent="0.2">
      <c r="A7" s="1224"/>
      <c r="B7" s="1222"/>
      <c r="C7" s="1222"/>
      <c r="D7" s="3094" t="s">
        <v>1219</v>
      </c>
      <c r="E7" s="1437">
        <v>36526</v>
      </c>
      <c r="F7" s="770" t="s">
        <v>132</v>
      </c>
      <c r="G7" s="770" t="s">
        <v>133</v>
      </c>
      <c r="H7" s="770" t="s">
        <v>134</v>
      </c>
      <c r="I7" s="770" t="s">
        <v>135</v>
      </c>
      <c r="J7" s="800" t="s">
        <v>136</v>
      </c>
      <c r="K7" s="800" t="s">
        <v>137</v>
      </c>
      <c r="L7" s="800" t="s">
        <v>138</v>
      </c>
      <c r="M7" s="800" t="s">
        <v>139</v>
      </c>
      <c r="N7" s="1515" t="s">
        <v>140</v>
      </c>
      <c r="O7" s="799" t="s">
        <v>141</v>
      </c>
      <c r="P7" s="799" t="s">
        <v>142</v>
      </c>
      <c r="Q7" s="799" t="s">
        <v>143</v>
      </c>
      <c r="R7" s="799" t="s">
        <v>144</v>
      </c>
      <c r="S7" s="799" t="s">
        <v>145</v>
      </c>
      <c r="T7" s="2997" t="s">
        <v>334</v>
      </c>
    </row>
    <row r="8" spans="1:22" s="401" customFormat="1" ht="15.75" customHeight="1" x14ac:dyDescent="0.2">
      <c r="A8" s="1224"/>
      <c r="B8" s="1222"/>
      <c r="C8" s="1222"/>
      <c r="D8" s="2948" t="s">
        <v>1218</v>
      </c>
      <c r="E8" s="420">
        <v>36</v>
      </c>
      <c r="F8" s="420">
        <v>36</v>
      </c>
      <c r="G8" s="420">
        <v>36</v>
      </c>
      <c r="H8" s="420">
        <v>34</v>
      </c>
      <c r="I8" s="420">
        <v>34</v>
      </c>
      <c r="J8" s="420">
        <v>34</v>
      </c>
      <c r="K8" s="420">
        <v>31</v>
      </c>
      <c r="L8" s="420">
        <v>31</v>
      </c>
      <c r="M8" s="420">
        <v>34</v>
      </c>
      <c r="N8" s="420">
        <v>34</v>
      </c>
      <c r="O8" s="420">
        <v>39</v>
      </c>
      <c r="P8" s="420">
        <v>40</v>
      </c>
      <c r="Q8" s="420">
        <v>40</v>
      </c>
      <c r="R8" s="420">
        <v>41</v>
      </c>
      <c r="S8" s="420">
        <v>43</v>
      </c>
      <c r="T8" s="2787">
        <v>42</v>
      </c>
    </row>
    <row r="9" spans="1:22" s="401" customFormat="1" ht="15.75" customHeight="1" x14ac:dyDescent="0.2">
      <c r="A9" s="1224"/>
      <c r="B9" s="1222"/>
      <c r="C9" s="1222"/>
      <c r="D9" s="2948" t="s">
        <v>1211</v>
      </c>
      <c r="E9" s="1239">
        <v>7</v>
      </c>
      <c r="F9" s="1239">
        <v>8</v>
      </c>
      <c r="G9" s="1239">
        <v>8</v>
      </c>
      <c r="H9" s="1239">
        <v>11</v>
      </c>
      <c r="I9" s="1239">
        <v>7</v>
      </c>
      <c r="J9" s="1239">
        <v>11</v>
      </c>
      <c r="K9" s="1239">
        <v>12</v>
      </c>
      <c r="L9" s="1239">
        <v>12</v>
      </c>
      <c r="M9" s="1239">
        <f>'[49]AGSA Data - 2008-09 Gen Report'!I18</f>
        <v>12</v>
      </c>
      <c r="N9" s="1239">
        <v>11</v>
      </c>
      <c r="O9" s="1239">
        <v>10</v>
      </c>
      <c r="P9" s="1239">
        <v>7</v>
      </c>
      <c r="Q9" s="1239">
        <v>6</v>
      </c>
      <c r="R9" s="1239">
        <v>7</v>
      </c>
      <c r="S9" s="1239">
        <v>6</v>
      </c>
      <c r="T9" s="2787">
        <v>3</v>
      </c>
    </row>
    <row r="10" spans="1:22" s="1766" customFormat="1" ht="15.75" customHeight="1" x14ac:dyDescent="0.2">
      <c r="A10" s="1764"/>
      <c r="B10" s="1765"/>
      <c r="C10" s="1765"/>
      <c r="D10" s="2949" t="s">
        <v>1210</v>
      </c>
      <c r="E10" s="1234">
        <f t="shared" ref="E10:T10" si="0">E9/E8</f>
        <v>0.19444444444444445</v>
      </c>
      <c r="F10" s="1234">
        <f t="shared" si="0"/>
        <v>0.22222222222222221</v>
      </c>
      <c r="G10" s="1234">
        <f t="shared" si="0"/>
        <v>0.22222222222222221</v>
      </c>
      <c r="H10" s="1234">
        <f t="shared" si="0"/>
        <v>0.3235294117647059</v>
      </c>
      <c r="I10" s="1234">
        <f t="shared" si="0"/>
        <v>0.20588235294117646</v>
      </c>
      <c r="J10" s="1234">
        <f t="shared" si="0"/>
        <v>0.3235294117647059</v>
      </c>
      <c r="K10" s="1234">
        <f t="shared" si="0"/>
        <v>0.38709677419354838</v>
      </c>
      <c r="L10" s="1234">
        <f t="shared" si="0"/>
        <v>0.38709677419354838</v>
      </c>
      <c r="M10" s="1234">
        <f t="shared" si="0"/>
        <v>0.35294117647058826</v>
      </c>
      <c r="N10" s="1234">
        <f t="shared" si="0"/>
        <v>0.3235294117647059</v>
      </c>
      <c r="O10" s="1234">
        <f t="shared" si="0"/>
        <v>0.25641025641025639</v>
      </c>
      <c r="P10" s="1234">
        <f t="shared" si="0"/>
        <v>0.17499999999999999</v>
      </c>
      <c r="Q10" s="1234">
        <f t="shared" si="0"/>
        <v>0.15</v>
      </c>
      <c r="R10" s="1234">
        <f t="shared" si="0"/>
        <v>0.17073170731707318</v>
      </c>
      <c r="S10" s="1234">
        <f t="shared" si="0"/>
        <v>0.13953488372093023</v>
      </c>
      <c r="T10" s="3116">
        <f t="shared" si="0"/>
        <v>7.1428571428571425E-2</v>
      </c>
    </row>
    <row r="11" spans="1:22" s="401" customFormat="1" ht="15.75" customHeight="1" x14ac:dyDescent="0.2">
      <c r="A11" s="1224"/>
      <c r="B11" s="1222"/>
      <c r="C11" s="1222"/>
      <c r="D11" s="2950" t="s">
        <v>1217</v>
      </c>
      <c r="E11" s="631"/>
      <c r="F11" s="797"/>
      <c r="G11" s="797"/>
      <c r="H11" s="797"/>
      <c r="I11" s="797"/>
      <c r="J11" s="797"/>
      <c r="K11" s="797"/>
      <c r="L11" s="797"/>
      <c r="M11" s="797"/>
      <c r="N11" s="797"/>
      <c r="O11" s="797"/>
      <c r="P11" s="797"/>
      <c r="Q11" s="797"/>
      <c r="R11" s="797"/>
      <c r="S11" s="797"/>
      <c r="T11" s="2787"/>
      <c r="U11" s="1508"/>
    </row>
    <row r="12" spans="1:22" s="401" customFormat="1" ht="15.75" customHeight="1" x14ac:dyDescent="0.2">
      <c r="A12" s="1224"/>
      <c r="B12" s="1222"/>
      <c r="C12" s="1222"/>
      <c r="D12" s="2948" t="s">
        <v>1216</v>
      </c>
      <c r="E12" s="432">
        <v>117</v>
      </c>
      <c r="F12" s="420">
        <v>116</v>
      </c>
      <c r="G12" s="420">
        <v>116</v>
      </c>
      <c r="H12" s="420">
        <v>115</v>
      </c>
      <c r="I12" s="420">
        <v>117</v>
      </c>
      <c r="J12" s="420">
        <v>117</v>
      </c>
      <c r="K12" s="420">
        <v>105</v>
      </c>
      <c r="L12" s="420">
        <v>111</v>
      </c>
      <c r="M12" s="420">
        <v>121</v>
      </c>
      <c r="N12" s="420">
        <v>123</v>
      </c>
      <c r="O12" s="420">
        <v>121</v>
      </c>
      <c r="P12" s="420">
        <v>121</v>
      </c>
      <c r="Q12" s="420">
        <v>123</v>
      </c>
      <c r="R12" s="420">
        <v>124</v>
      </c>
      <c r="S12" s="420">
        <v>124</v>
      </c>
      <c r="T12" s="2787">
        <v>123</v>
      </c>
    </row>
    <row r="13" spans="1:22" s="401" customFormat="1" ht="15.75" customHeight="1" x14ac:dyDescent="0.2">
      <c r="A13" s="1224"/>
      <c r="B13" s="1222"/>
      <c r="C13" s="1222"/>
      <c r="D13" s="2948" t="s">
        <v>1211</v>
      </c>
      <c r="E13" s="1245">
        <v>95</v>
      </c>
      <c r="F13" s="1239">
        <v>62</v>
      </c>
      <c r="G13" s="1239">
        <v>36</v>
      </c>
      <c r="H13" s="1239">
        <v>36</v>
      </c>
      <c r="I13" s="1239">
        <v>46</v>
      </c>
      <c r="J13" s="1239">
        <v>50</v>
      </c>
      <c r="K13" s="1239">
        <v>57</v>
      </c>
      <c r="L13" s="1239">
        <v>44</v>
      </c>
      <c r="M13" s="1239">
        <v>37</v>
      </c>
      <c r="N13" s="1239">
        <v>34</v>
      </c>
      <c r="O13" s="1239">
        <v>36</v>
      </c>
      <c r="P13" s="1239">
        <v>39</v>
      </c>
      <c r="Q13" s="1239">
        <v>33</v>
      </c>
      <c r="R13" s="1239">
        <v>28</v>
      </c>
      <c r="S13" s="1239">
        <v>24</v>
      </c>
      <c r="T13" s="2787">
        <v>26</v>
      </c>
    </row>
    <row r="14" spans="1:22" s="1766" customFormat="1" ht="15.75" customHeight="1" x14ac:dyDescent="0.2">
      <c r="A14" s="1764"/>
      <c r="B14" s="1765"/>
      <c r="C14" s="1765"/>
      <c r="D14" s="2949" t="s">
        <v>1210</v>
      </c>
      <c r="E14" s="1244">
        <f t="shared" ref="E14:T14" si="1">E13/E12</f>
        <v>0.81196581196581197</v>
      </c>
      <c r="F14" s="1244">
        <f t="shared" si="1"/>
        <v>0.53448275862068961</v>
      </c>
      <c r="G14" s="1244">
        <f t="shared" si="1"/>
        <v>0.31034482758620691</v>
      </c>
      <c r="H14" s="1244">
        <f t="shared" si="1"/>
        <v>0.31304347826086959</v>
      </c>
      <c r="I14" s="1244">
        <f t="shared" si="1"/>
        <v>0.39316239316239315</v>
      </c>
      <c r="J14" s="1244">
        <f t="shared" si="1"/>
        <v>0.42735042735042733</v>
      </c>
      <c r="K14" s="1244">
        <f t="shared" si="1"/>
        <v>0.54285714285714282</v>
      </c>
      <c r="L14" s="1244">
        <f t="shared" si="1"/>
        <v>0.3963963963963964</v>
      </c>
      <c r="M14" s="1244">
        <f t="shared" si="1"/>
        <v>0.30578512396694213</v>
      </c>
      <c r="N14" s="1244">
        <f t="shared" si="1"/>
        <v>0.27642276422764228</v>
      </c>
      <c r="O14" s="1244">
        <f t="shared" si="1"/>
        <v>0.2975206611570248</v>
      </c>
      <c r="P14" s="1244">
        <f t="shared" si="1"/>
        <v>0.32231404958677684</v>
      </c>
      <c r="Q14" s="1234">
        <f t="shared" si="1"/>
        <v>0.26829268292682928</v>
      </c>
      <c r="R14" s="1234">
        <f t="shared" si="1"/>
        <v>0.22580645161290322</v>
      </c>
      <c r="S14" s="1234">
        <f t="shared" si="1"/>
        <v>0.19354838709677419</v>
      </c>
      <c r="T14" s="3116">
        <f t="shared" si="1"/>
        <v>0.21138211382113822</v>
      </c>
    </row>
    <row r="15" spans="1:22" s="401" customFormat="1" ht="15.75" customHeight="1" x14ac:dyDescent="0.2">
      <c r="A15" s="1224"/>
      <c r="B15" s="1222"/>
      <c r="C15" s="1222"/>
      <c r="D15" s="2950" t="s">
        <v>1215</v>
      </c>
      <c r="E15" s="1242"/>
      <c r="F15" s="1241"/>
      <c r="G15" s="1241"/>
      <c r="H15" s="1241"/>
      <c r="I15" s="1241"/>
      <c r="J15" s="1241"/>
      <c r="K15" s="1241"/>
      <c r="L15" s="1241"/>
      <c r="M15" s="1241"/>
      <c r="N15" s="1241"/>
      <c r="O15" s="1241"/>
      <c r="P15" s="1241"/>
      <c r="Q15" s="1241"/>
      <c r="R15" s="1241"/>
      <c r="S15" s="1241"/>
      <c r="T15" s="2787"/>
    </row>
    <row r="16" spans="1:22" s="401" customFormat="1" ht="15.75" customHeight="1" x14ac:dyDescent="0.2">
      <c r="A16" s="1224"/>
      <c r="B16" s="1222"/>
      <c r="C16" s="1222"/>
      <c r="D16" s="2948" t="s">
        <v>1214</v>
      </c>
      <c r="E16" s="420">
        <v>543</v>
      </c>
      <c r="F16" s="420">
        <v>175</v>
      </c>
      <c r="G16" s="420">
        <v>128</v>
      </c>
      <c r="H16" s="420">
        <v>95</v>
      </c>
      <c r="I16" s="420">
        <v>126</v>
      </c>
      <c r="J16" s="784">
        <v>270</v>
      </c>
      <c r="K16" s="784">
        <v>280</v>
      </c>
      <c r="L16" s="784">
        <v>283</v>
      </c>
      <c r="M16" s="784">
        <v>283</v>
      </c>
      <c r="N16" s="784">
        <v>283</v>
      </c>
      <c r="O16" s="784">
        <v>283</v>
      </c>
      <c r="P16" s="784">
        <v>278</v>
      </c>
      <c r="Q16" s="784">
        <v>278</v>
      </c>
      <c r="R16" s="784">
        <v>278</v>
      </c>
      <c r="S16" s="784">
        <v>275</v>
      </c>
      <c r="T16" s="2787"/>
    </row>
    <row r="17" spans="1:20" s="401" customFormat="1" ht="15.75" customHeight="1" x14ac:dyDescent="0.2">
      <c r="A17" s="1224"/>
      <c r="B17" s="1222"/>
      <c r="C17" s="1222"/>
      <c r="D17" s="2948" t="s">
        <v>1211</v>
      </c>
      <c r="E17" s="1239">
        <v>414</v>
      </c>
      <c r="F17" s="1239">
        <v>131</v>
      </c>
      <c r="G17" s="1239">
        <v>77</v>
      </c>
      <c r="H17" s="1239">
        <v>58</v>
      </c>
      <c r="I17" s="1239">
        <v>72</v>
      </c>
      <c r="J17" s="1243">
        <v>225</v>
      </c>
      <c r="K17" s="1243">
        <v>223</v>
      </c>
      <c r="L17" s="1243">
        <v>187</v>
      </c>
      <c r="M17" s="1243">
        <v>166</v>
      </c>
      <c r="N17" s="1243">
        <v>153</v>
      </c>
      <c r="O17" s="1243">
        <v>151</v>
      </c>
      <c r="P17" s="1243">
        <v>161</v>
      </c>
      <c r="Q17" s="1243">
        <v>157</v>
      </c>
      <c r="R17" s="1243">
        <v>128</v>
      </c>
      <c r="S17" s="1243">
        <v>111</v>
      </c>
      <c r="T17" s="2787"/>
    </row>
    <row r="18" spans="1:20" s="401" customFormat="1" ht="15.75" customHeight="1" x14ac:dyDescent="0.2">
      <c r="A18" s="1224"/>
      <c r="B18" s="1222"/>
      <c r="C18" s="1222"/>
      <c r="D18" s="2949" t="s">
        <v>1210</v>
      </c>
      <c r="E18" s="1234">
        <f t="shared" ref="E18:Q18" si="2">E17/E16</f>
        <v>0.76243093922651939</v>
      </c>
      <c r="F18" s="1234">
        <f t="shared" si="2"/>
        <v>0.74857142857142855</v>
      </c>
      <c r="G18" s="1234">
        <f t="shared" si="2"/>
        <v>0.6015625</v>
      </c>
      <c r="H18" s="1234">
        <f t="shared" si="2"/>
        <v>0.61052631578947369</v>
      </c>
      <c r="I18" s="1234">
        <f t="shared" si="2"/>
        <v>0.5714285714285714</v>
      </c>
      <c r="J18" s="1234">
        <f t="shared" si="2"/>
        <v>0.83333333333333337</v>
      </c>
      <c r="K18" s="1234">
        <f t="shared" si="2"/>
        <v>0.79642857142857137</v>
      </c>
      <c r="L18" s="1234">
        <f t="shared" si="2"/>
        <v>0.66077738515901063</v>
      </c>
      <c r="M18" s="1234">
        <f t="shared" si="2"/>
        <v>0.58657243816254412</v>
      </c>
      <c r="N18" s="1234">
        <f t="shared" si="2"/>
        <v>0.54063604240282681</v>
      </c>
      <c r="O18" s="1234">
        <f t="shared" si="2"/>
        <v>0.53356890459363959</v>
      </c>
      <c r="P18" s="1234">
        <f t="shared" si="2"/>
        <v>0.57913669064748197</v>
      </c>
      <c r="Q18" s="1234">
        <f t="shared" si="2"/>
        <v>0.56474820143884896</v>
      </c>
      <c r="R18" s="1234">
        <v>0.46</v>
      </c>
      <c r="S18" s="1234">
        <v>0.40400000000000003</v>
      </c>
      <c r="T18" s="3116"/>
    </row>
    <row r="19" spans="1:20" s="401" customFormat="1" ht="15" customHeight="1" x14ac:dyDescent="0.2">
      <c r="A19" s="1224"/>
      <c r="B19" s="1222"/>
      <c r="C19" s="1222"/>
      <c r="D19" s="2950" t="s">
        <v>1213</v>
      </c>
      <c r="E19" s="1242"/>
      <c r="F19" s="1241"/>
      <c r="G19" s="1241"/>
      <c r="H19" s="1241"/>
      <c r="I19" s="1241"/>
      <c r="J19" s="1241"/>
      <c r="K19" s="1241"/>
      <c r="L19" s="1241"/>
      <c r="M19" s="1241"/>
      <c r="N19" s="1241"/>
      <c r="O19" s="1241"/>
      <c r="P19" s="1241"/>
      <c r="Q19" s="1241"/>
      <c r="R19" s="1241"/>
      <c r="S19" s="1241"/>
      <c r="T19" s="2787"/>
    </row>
    <row r="20" spans="1:20" s="401" customFormat="1" ht="15.75" customHeight="1" x14ac:dyDescent="0.2">
      <c r="A20" s="1224"/>
      <c r="B20" s="1222"/>
      <c r="C20" s="1222"/>
      <c r="D20" s="2948" t="s">
        <v>1212</v>
      </c>
      <c r="E20" s="778"/>
      <c r="F20" s="420">
        <v>136</v>
      </c>
      <c r="G20" s="420">
        <v>136</v>
      </c>
      <c r="H20" s="420">
        <v>186</v>
      </c>
      <c r="I20" s="420">
        <v>158</v>
      </c>
      <c r="J20" s="420">
        <v>177</v>
      </c>
      <c r="K20" s="420">
        <v>292</v>
      </c>
      <c r="L20" s="420">
        <v>315</v>
      </c>
      <c r="M20" s="420">
        <v>345</v>
      </c>
      <c r="N20" s="420">
        <v>359</v>
      </c>
      <c r="O20" s="420">
        <v>367</v>
      </c>
      <c r="P20" s="420">
        <v>368</v>
      </c>
      <c r="Q20" s="420">
        <v>307</v>
      </c>
      <c r="R20" s="420">
        <v>301</v>
      </c>
      <c r="S20" s="420">
        <v>291</v>
      </c>
      <c r="T20" s="2787">
        <v>292</v>
      </c>
    </row>
    <row r="21" spans="1:20" s="401" customFormat="1" ht="15.75" customHeight="1" x14ac:dyDescent="0.2">
      <c r="A21" s="1224"/>
      <c r="B21" s="1222"/>
      <c r="C21" s="1222"/>
      <c r="D21" s="2948" t="s">
        <v>1211</v>
      </c>
      <c r="E21" s="1240"/>
      <c r="F21" s="1239">
        <v>63</v>
      </c>
      <c r="G21" s="1239">
        <v>53</v>
      </c>
      <c r="H21" s="1239">
        <v>56</v>
      </c>
      <c r="I21" s="1239">
        <v>20</v>
      </c>
      <c r="J21" s="1239">
        <v>47</v>
      </c>
      <c r="K21" s="1239">
        <v>84</v>
      </c>
      <c r="L21" s="1239">
        <v>71</v>
      </c>
      <c r="M21" s="1239">
        <v>78</v>
      </c>
      <c r="N21" s="1239">
        <v>58</v>
      </c>
      <c r="O21" s="1239">
        <v>57</v>
      </c>
      <c r="P21" s="1239">
        <v>61</v>
      </c>
      <c r="Q21" s="1239">
        <v>64</v>
      </c>
      <c r="R21" s="1239">
        <v>66</v>
      </c>
      <c r="S21" s="1239">
        <v>62</v>
      </c>
      <c r="T21" s="2787">
        <v>62</v>
      </c>
    </row>
    <row r="22" spans="1:20" s="401" customFormat="1" ht="15.75" customHeight="1" x14ac:dyDescent="0.2">
      <c r="A22" s="1224"/>
      <c r="B22" s="1222" t="s">
        <v>166</v>
      </c>
      <c r="C22" s="1222"/>
      <c r="D22" s="2205" t="s">
        <v>1210</v>
      </c>
      <c r="E22" s="1233"/>
      <c r="F22" s="795">
        <f t="shared" ref="F22:T22" si="3">F21/F20</f>
        <v>0.46323529411764708</v>
      </c>
      <c r="G22" s="795">
        <f t="shared" si="3"/>
        <v>0.38970588235294118</v>
      </c>
      <c r="H22" s="795">
        <f t="shared" si="3"/>
        <v>0.30107526881720431</v>
      </c>
      <c r="I22" s="795">
        <f t="shared" si="3"/>
        <v>0.12658227848101267</v>
      </c>
      <c r="J22" s="795">
        <f t="shared" si="3"/>
        <v>0.2655367231638418</v>
      </c>
      <c r="K22" s="795">
        <f t="shared" si="3"/>
        <v>0.28767123287671231</v>
      </c>
      <c r="L22" s="795">
        <f t="shared" si="3"/>
        <v>0.2253968253968254</v>
      </c>
      <c r="M22" s="795">
        <f t="shared" si="3"/>
        <v>0.22608695652173913</v>
      </c>
      <c r="N22" s="795">
        <f t="shared" si="3"/>
        <v>0.16155988857938719</v>
      </c>
      <c r="O22" s="795">
        <f t="shared" si="3"/>
        <v>0.15531335149863759</v>
      </c>
      <c r="P22" s="795">
        <f t="shared" si="3"/>
        <v>0.16576086956521738</v>
      </c>
      <c r="Q22" s="795">
        <f t="shared" si="3"/>
        <v>0.20846905537459284</v>
      </c>
      <c r="R22" s="795">
        <f t="shared" si="3"/>
        <v>0.21926910299003322</v>
      </c>
      <c r="S22" s="795">
        <f t="shared" si="3"/>
        <v>0.21305841924398625</v>
      </c>
      <c r="T22" s="2798">
        <f t="shared" si="3"/>
        <v>0.21232876712328766</v>
      </c>
    </row>
    <row r="23" spans="1:20" s="401" customFormat="1" ht="15.75" customHeight="1" x14ac:dyDescent="0.2">
      <c r="A23" s="1224"/>
      <c r="B23" s="1222"/>
      <c r="C23" s="1222"/>
      <c r="D23" s="432"/>
      <c r="E23" s="901"/>
      <c r="F23" s="1238"/>
      <c r="G23" s="1238"/>
      <c r="H23" s="1238"/>
      <c r="I23" s="1238"/>
      <c r="J23" s="1238"/>
      <c r="K23" s="1238"/>
      <c r="L23" s="1238"/>
      <c r="M23" s="1238"/>
      <c r="N23" s="1238"/>
      <c r="O23" s="1238"/>
      <c r="P23" s="1238"/>
      <c r="Q23" s="1238"/>
      <c r="R23" s="1767"/>
      <c r="S23" s="1767"/>
    </row>
    <row r="24" spans="1:20" s="401" customFormat="1" ht="15.75" customHeight="1" x14ac:dyDescent="0.2">
      <c r="A24" s="1224"/>
      <c r="B24" s="1222"/>
      <c r="C24" s="1222"/>
      <c r="D24" s="432"/>
      <c r="E24" s="901"/>
      <c r="F24" s="1238"/>
      <c r="G24" s="1238"/>
      <c r="H24" s="1238"/>
      <c r="I24" s="1238"/>
      <c r="J24" s="1238"/>
      <c r="K24" s="1238"/>
      <c r="L24" s="1238"/>
      <c r="M24" s="1238"/>
    </row>
    <row r="25" spans="1:20" s="401" customFormat="1" ht="15.75" customHeight="1" x14ac:dyDescent="0.2">
      <c r="A25" s="1224"/>
      <c r="B25" s="1222"/>
      <c r="C25" s="1222"/>
      <c r="D25" s="432"/>
      <c r="E25" s="901"/>
      <c r="F25" s="1238"/>
      <c r="G25" s="1238"/>
      <c r="H25" s="1238"/>
      <c r="I25" s="1238"/>
      <c r="J25" s="1238"/>
      <c r="K25" s="1238"/>
      <c r="L25" s="1238"/>
      <c r="M25" s="1238"/>
    </row>
    <row r="26" spans="1:20" s="401" customFormat="1" ht="15.75" customHeight="1" x14ac:dyDescent="0.2">
      <c r="A26" s="1224"/>
      <c r="B26" s="1222"/>
      <c r="C26" s="1222"/>
      <c r="D26" s="432"/>
      <c r="E26" s="901"/>
      <c r="F26" s="1238"/>
      <c r="G26" s="1238"/>
      <c r="H26" s="1238"/>
      <c r="I26" s="1238"/>
      <c r="J26" s="1238"/>
      <c r="K26" s="1238"/>
      <c r="L26" s="1238"/>
      <c r="M26" s="1238"/>
    </row>
    <row r="27" spans="1:20" s="401" customFormat="1" ht="15.75" customHeight="1" x14ac:dyDescent="0.2">
      <c r="A27" s="1224"/>
      <c r="B27" s="1222"/>
      <c r="C27" s="1222"/>
      <c r="D27" s="432"/>
      <c r="E27" s="901"/>
      <c r="F27" s="1238"/>
      <c r="G27" s="1238"/>
      <c r="H27" s="1238"/>
      <c r="I27" s="1238"/>
      <c r="J27" s="1238"/>
      <c r="K27" s="1238"/>
      <c r="L27" s="1238"/>
      <c r="M27" s="1238"/>
    </row>
    <row r="28" spans="1:20" s="401" customFormat="1" ht="15.75" customHeight="1" x14ac:dyDescent="0.2">
      <c r="A28" s="1224"/>
      <c r="B28" s="1222"/>
      <c r="C28" s="1222"/>
      <c r="D28" s="432"/>
      <c r="E28" s="901"/>
      <c r="F28" s="1238"/>
      <c r="G28" s="1238"/>
      <c r="H28" s="1238"/>
      <c r="I28" s="1238"/>
      <c r="J28" s="1238"/>
      <c r="K28" s="1238"/>
      <c r="L28" s="1238"/>
      <c r="M28" s="1238"/>
    </row>
    <row r="29" spans="1:20" s="401" customFormat="1" ht="15.75" customHeight="1" x14ac:dyDescent="0.2">
      <c r="A29" s="1224"/>
      <c r="B29" s="1222"/>
      <c r="C29" s="1222"/>
      <c r="D29" s="432"/>
      <c r="E29" s="901"/>
      <c r="F29" s="1238"/>
      <c r="G29" s="1238"/>
      <c r="H29" s="1238"/>
      <c r="I29" s="1238"/>
      <c r="J29" s="1238"/>
      <c r="K29" s="1238"/>
      <c r="L29" s="1238"/>
      <c r="M29" s="1238"/>
    </row>
    <row r="30" spans="1:20" s="401" customFormat="1" ht="15.75" customHeight="1" x14ac:dyDescent="0.2">
      <c r="A30" s="1224"/>
      <c r="B30" s="1222"/>
      <c r="C30" s="1222"/>
      <c r="D30" s="432"/>
      <c r="E30" s="901"/>
      <c r="F30" s="1238"/>
      <c r="G30" s="1238"/>
      <c r="H30" s="1238"/>
      <c r="I30" s="1238"/>
      <c r="J30" s="1238"/>
      <c r="K30" s="1238"/>
      <c r="L30" s="1238"/>
      <c r="M30" s="1238"/>
    </row>
    <row r="31" spans="1:20" s="401" customFormat="1" ht="15.75" customHeight="1" x14ac:dyDescent="0.2">
      <c r="A31" s="1224"/>
      <c r="B31" s="1222"/>
      <c r="C31" s="1222"/>
      <c r="D31" s="432"/>
      <c r="E31" s="901"/>
      <c r="F31" s="1238"/>
      <c r="G31" s="1238"/>
      <c r="H31" s="1238"/>
      <c r="I31" s="1238"/>
      <c r="J31" s="1238"/>
      <c r="K31" s="1238"/>
      <c r="L31" s="1238"/>
      <c r="M31" s="1238"/>
    </row>
    <row r="32" spans="1:20" s="401" customFormat="1" ht="15.75" customHeight="1" x14ac:dyDescent="0.2">
      <c r="A32" s="1224"/>
      <c r="B32" s="1222"/>
      <c r="C32" s="1222"/>
      <c r="D32" s="432"/>
      <c r="E32" s="901"/>
      <c r="F32" s="1238"/>
      <c r="G32" s="1238"/>
      <c r="H32" s="1238"/>
      <c r="I32" s="1238"/>
      <c r="J32" s="1238"/>
      <c r="K32" s="1238"/>
      <c r="L32" s="1238"/>
      <c r="M32" s="1238"/>
    </row>
    <row r="33" spans="1:19" s="401" customFormat="1" ht="15.75" customHeight="1" x14ac:dyDescent="0.2">
      <c r="A33" s="1224"/>
      <c r="B33" s="1222"/>
      <c r="C33" s="1222"/>
      <c r="D33" s="432"/>
      <c r="E33" s="901"/>
      <c r="F33" s="1238"/>
      <c r="G33" s="1238"/>
      <c r="H33" s="1238"/>
      <c r="I33" s="1238"/>
      <c r="J33" s="1238"/>
      <c r="K33" s="1238"/>
      <c r="L33" s="1238"/>
      <c r="M33" s="1238"/>
    </row>
    <row r="34" spans="1:19" s="401" customFormat="1" ht="15.75" customHeight="1" x14ac:dyDescent="0.2">
      <c r="A34" s="1224"/>
      <c r="B34" s="1222"/>
      <c r="C34" s="1222"/>
      <c r="D34" s="432"/>
      <c r="E34" s="901"/>
      <c r="F34" s="1238"/>
      <c r="G34" s="1238"/>
      <c r="H34" s="1238"/>
      <c r="I34" s="1238"/>
      <c r="J34" s="1238"/>
      <c r="K34" s="1238"/>
      <c r="L34" s="1238"/>
      <c r="M34" s="1238"/>
    </row>
    <row r="35" spans="1:19" s="401" customFormat="1" ht="15.75" customHeight="1" x14ac:dyDescent="0.2">
      <c r="A35" s="1224"/>
      <c r="B35" s="1222"/>
      <c r="C35" s="1222"/>
      <c r="D35" s="432"/>
      <c r="E35" s="901"/>
      <c r="F35" s="1238"/>
      <c r="G35" s="1238"/>
      <c r="H35" s="1238"/>
      <c r="I35" s="1238"/>
      <c r="J35" s="1238"/>
      <c r="K35" s="1238"/>
      <c r="L35" s="1238"/>
      <c r="M35" s="1238"/>
    </row>
    <row r="36" spans="1:19" ht="11.25" customHeight="1" x14ac:dyDescent="0.2">
      <c r="D36" s="432"/>
      <c r="E36" s="901"/>
      <c r="F36" s="1238"/>
      <c r="G36" s="1238"/>
      <c r="H36" s="1238"/>
      <c r="I36" s="1238"/>
      <c r="J36" s="1238"/>
      <c r="K36" s="1237"/>
      <c r="L36" s="1237"/>
      <c r="M36" s="1237"/>
    </row>
    <row r="37" spans="1:19" s="964" customFormat="1" ht="14.25" x14ac:dyDescent="0.2">
      <c r="A37" s="835"/>
      <c r="B37" s="835"/>
      <c r="C37" s="835"/>
      <c r="D37" s="1768"/>
      <c r="E37" s="628"/>
      <c r="F37" s="1769"/>
      <c r="G37" s="1769"/>
      <c r="H37" s="1769"/>
      <c r="I37" s="1769"/>
      <c r="J37" s="1769"/>
      <c r="K37" s="628"/>
      <c r="L37" s="628"/>
      <c r="M37" s="628"/>
      <c r="N37" s="628"/>
    </row>
    <row r="38" spans="1:19" s="964" customFormat="1" ht="14.25" x14ac:dyDescent="0.2">
      <c r="A38" s="835"/>
      <c r="B38" s="835"/>
      <c r="C38" s="835"/>
      <c r="D38" s="1768"/>
      <c r="E38" s="628"/>
      <c r="F38" s="1769"/>
      <c r="G38" s="1769"/>
      <c r="H38" s="1769"/>
      <c r="I38" s="1769"/>
      <c r="J38" s="1769"/>
      <c r="K38" s="628"/>
      <c r="L38" s="628"/>
      <c r="M38" s="628"/>
      <c r="N38" s="628"/>
    </row>
    <row r="39" spans="1:19" s="964" customFormat="1" ht="15" customHeight="1" x14ac:dyDescent="0.2">
      <c r="A39" s="835">
        <v>5</v>
      </c>
      <c r="B39" s="835" t="s">
        <v>78</v>
      </c>
      <c r="C39" s="835"/>
      <c r="D39" s="3615" t="s">
        <v>1209</v>
      </c>
      <c r="E39" s="3616"/>
      <c r="F39" s="3616"/>
      <c r="G39" s="3616"/>
      <c r="H39" s="3616"/>
      <c r="I39" s="3616"/>
      <c r="J39" s="3616"/>
      <c r="K39" s="3616"/>
      <c r="L39" s="3616"/>
      <c r="M39" s="3616"/>
      <c r="N39" s="3616"/>
      <c r="O39" s="3616"/>
      <c r="P39" s="3616"/>
      <c r="Q39" s="3616"/>
      <c r="R39" s="3616"/>
      <c r="S39" s="3617"/>
    </row>
    <row r="40" spans="1:19" s="964" customFormat="1" ht="90" customHeight="1" x14ac:dyDescent="0.2">
      <c r="A40" s="963">
        <v>6</v>
      </c>
      <c r="B40" s="963" t="s">
        <v>80</v>
      </c>
      <c r="C40" s="963"/>
      <c r="D40" s="3793" t="s">
        <v>1208</v>
      </c>
      <c r="E40" s="3794"/>
      <c r="F40" s="3794"/>
      <c r="G40" s="3794"/>
      <c r="H40" s="3794"/>
      <c r="I40" s="3794"/>
      <c r="J40" s="3794"/>
      <c r="K40" s="3794"/>
      <c r="L40" s="3794"/>
      <c r="M40" s="3794"/>
      <c r="N40" s="3794"/>
      <c r="O40" s="3794"/>
      <c r="P40" s="3794"/>
      <c r="Q40" s="3794"/>
      <c r="R40" s="3794"/>
      <c r="S40" s="3795"/>
    </row>
    <row r="41" spans="1:19" s="964" customFormat="1" ht="14.25" customHeight="1" x14ac:dyDescent="0.2">
      <c r="A41" s="835">
        <v>7</v>
      </c>
      <c r="B41" s="835" t="s">
        <v>20</v>
      </c>
      <c r="C41" s="835"/>
      <c r="D41" s="3629" t="s">
        <v>1207</v>
      </c>
      <c r="E41" s="3630"/>
      <c r="F41" s="3630"/>
      <c r="G41" s="3630"/>
      <c r="H41" s="3630"/>
      <c r="I41" s="3630"/>
      <c r="J41" s="3630"/>
      <c r="K41" s="3630"/>
      <c r="L41" s="3630"/>
      <c r="M41" s="3630"/>
      <c r="N41" s="3630"/>
      <c r="O41" s="3630"/>
      <c r="P41" s="3630"/>
      <c r="Q41" s="3630"/>
      <c r="R41" s="3630"/>
      <c r="S41" s="3631"/>
    </row>
    <row r="42" spans="1:19" s="964" customFormat="1" ht="15" customHeight="1" x14ac:dyDescent="0.2">
      <c r="A42" s="835"/>
      <c r="B42" s="835"/>
      <c r="C42" s="835"/>
      <c r="D42" s="3629"/>
      <c r="E42" s="3630"/>
      <c r="F42" s="3630"/>
      <c r="G42" s="3630"/>
      <c r="H42" s="3630"/>
      <c r="I42" s="3630"/>
      <c r="J42" s="3630"/>
      <c r="K42" s="3630"/>
      <c r="L42" s="3630"/>
      <c r="M42" s="3630"/>
      <c r="N42" s="3630"/>
      <c r="O42" s="3630"/>
      <c r="P42" s="3630"/>
      <c r="Q42" s="3630"/>
      <c r="R42" s="3630"/>
      <c r="S42" s="3631"/>
    </row>
    <row r="43" spans="1:19" x14ac:dyDescent="0.2">
      <c r="A43" s="1770"/>
    </row>
    <row r="44" spans="1:19" x14ac:dyDescent="0.2">
      <c r="A44" s="1770"/>
    </row>
    <row r="46" spans="1:19" ht="12.75" x14ac:dyDescent="0.2">
      <c r="D46" s="1098"/>
      <c r="E46" s="1098"/>
      <c r="F46" s="820"/>
      <c r="G46" s="1763"/>
      <c r="H46" s="820"/>
      <c r="I46" s="820"/>
      <c r="J46" s="420"/>
      <c r="K46" s="432"/>
      <c r="L46" s="432"/>
      <c r="M46" s="432"/>
    </row>
    <row r="47" spans="1:19" x14ac:dyDescent="0.2">
      <c r="D47" s="438"/>
      <c r="E47" s="438"/>
      <c r="F47" s="770"/>
      <c r="G47" s="770"/>
      <c r="H47" s="770"/>
      <c r="I47" s="770"/>
      <c r="J47" s="800"/>
      <c r="K47" s="800"/>
      <c r="L47" s="800"/>
      <c r="M47" s="800"/>
    </row>
    <row r="48" spans="1:19" x14ac:dyDescent="0.2">
      <c r="D48" s="434"/>
      <c r="E48" s="1236"/>
      <c r="F48" s="1234"/>
      <c r="G48" s="1234"/>
      <c r="H48" s="1234"/>
      <c r="I48" s="1234"/>
      <c r="J48" s="1234"/>
      <c r="K48" s="1234"/>
      <c r="L48" s="1234"/>
      <c r="M48" s="1234"/>
    </row>
    <row r="49" spans="4:16" x14ac:dyDescent="0.2">
      <c r="D49" s="434"/>
      <c r="E49" s="1235"/>
      <c r="F49" s="1234"/>
      <c r="G49" s="1234"/>
      <c r="H49" s="1234"/>
      <c r="I49" s="1234"/>
      <c r="J49" s="1234"/>
      <c r="K49" s="1234"/>
      <c r="L49" s="1234"/>
      <c r="M49" s="1234"/>
    </row>
    <row r="50" spans="4:16" x14ac:dyDescent="0.2">
      <c r="D50" s="434"/>
      <c r="E50" s="1234"/>
      <c r="F50" s="1234"/>
      <c r="G50" s="1234"/>
      <c r="H50" s="1234"/>
      <c r="I50" s="1234"/>
      <c r="J50" s="1234"/>
      <c r="K50" s="1234"/>
      <c r="L50" s="1234"/>
      <c r="M50" s="1234"/>
    </row>
    <row r="51" spans="4:16" x14ac:dyDescent="0.2">
      <c r="D51" s="436"/>
      <c r="E51" s="1233"/>
      <c r="F51" s="795"/>
      <c r="G51" s="795"/>
      <c r="H51" s="795"/>
      <c r="I51" s="795"/>
      <c r="J51" s="795"/>
      <c r="K51" s="795"/>
      <c r="L51" s="795"/>
      <c r="M51" s="795"/>
    </row>
    <row r="52" spans="4:16" x14ac:dyDescent="0.2">
      <c r="O52" s="1771"/>
      <c r="P52" s="1771"/>
    </row>
  </sheetData>
  <mergeCells count="7">
    <mergeCell ref="D42:S42"/>
    <mergeCell ref="D2:S2"/>
    <mergeCell ref="D3:S3"/>
    <mergeCell ref="D4:S4"/>
    <mergeCell ref="D39:S39"/>
    <mergeCell ref="D40:S40"/>
    <mergeCell ref="D41:S41"/>
  </mergeCells>
  <pageMargins left="0.74803149606299213" right="0.74803149606299213" top="0.98425196850393704" bottom="0.98425196850393704" header="0.51181102362204722" footer="0.51181102362204722"/>
  <pageSetup paperSize="9" scale="6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38"/>
  <sheetViews>
    <sheetView showGridLines="0" view="pageBreakPreview" topLeftCell="A10" zoomScaleNormal="100" zoomScaleSheetLayoutView="100" workbookViewId="0">
      <selection activeCell="D34" sqref="D34:W34"/>
    </sheetView>
  </sheetViews>
  <sheetFormatPr defaultColWidth="9.140625" defaultRowHeight="12" x14ac:dyDescent="0.2"/>
  <cols>
    <col min="1" max="1" width="3.7109375" style="1687" customWidth="1"/>
    <col min="2" max="2" width="14.42578125" style="1688" customWidth="1"/>
    <col min="3" max="3" width="3.7109375" style="1688" customWidth="1"/>
    <col min="4" max="4" width="14.7109375" style="428" customWidth="1"/>
    <col min="5" max="23" width="7" style="428" customWidth="1"/>
    <col min="24" max="258" width="9.140625" style="428"/>
    <col min="259" max="259" width="3.7109375" style="428" customWidth="1"/>
    <col min="260" max="260" width="14.42578125" style="428" customWidth="1"/>
    <col min="261" max="261" width="3.7109375" style="428" customWidth="1"/>
    <col min="262" max="262" width="14.7109375" style="428" customWidth="1"/>
    <col min="263" max="276" width="7" style="428" customWidth="1"/>
    <col min="277" max="278" width="13.85546875" style="428" customWidth="1"/>
    <col min="279" max="514" width="9.140625" style="428"/>
    <col min="515" max="515" width="3.7109375" style="428" customWidth="1"/>
    <col min="516" max="516" width="14.42578125" style="428" customWidth="1"/>
    <col min="517" max="517" width="3.7109375" style="428" customWidth="1"/>
    <col min="518" max="518" width="14.7109375" style="428" customWidth="1"/>
    <col min="519" max="532" width="7" style="428" customWidth="1"/>
    <col min="533" max="534" width="13.85546875" style="428" customWidth="1"/>
    <col min="535" max="770" width="9.140625" style="428"/>
    <col min="771" max="771" width="3.7109375" style="428" customWidth="1"/>
    <col min="772" max="772" width="14.42578125" style="428" customWidth="1"/>
    <col min="773" max="773" width="3.7109375" style="428" customWidth="1"/>
    <col min="774" max="774" width="14.7109375" style="428" customWidth="1"/>
    <col min="775" max="788" width="7" style="428" customWidth="1"/>
    <col min="789" max="790" width="13.85546875" style="428" customWidth="1"/>
    <col min="791" max="1026" width="9.140625" style="428"/>
    <col min="1027" max="1027" width="3.7109375" style="428" customWidth="1"/>
    <col min="1028" max="1028" width="14.42578125" style="428" customWidth="1"/>
    <col min="1029" max="1029" width="3.7109375" style="428" customWidth="1"/>
    <col min="1030" max="1030" width="14.7109375" style="428" customWidth="1"/>
    <col min="1031" max="1044" width="7" style="428" customWidth="1"/>
    <col min="1045" max="1046" width="13.85546875" style="428" customWidth="1"/>
    <col min="1047" max="1282" width="9.140625" style="428"/>
    <col min="1283" max="1283" width="3.7109375" style="428" customWidth="1"/>
    <col min="1284" max="1284" width="14.42578125" style="428" customWidth="1"/>
    <col min="1285" max="1285" width="3.7109375" style="428" customWidth="1"/>
    <col min="1286" max="1286" width="14.7109375" style="428" customWidth="1"/>
    <col min="1287" max="1300" width="7" style="428" customWidth="1"/>
    <col min="1301" max="1302" width="13.85546875" style="428" customWidth="1"/>
    <col min="1303" max="1538" width="9.140625" style="428"/>
    <col min="1539" max="1539" width="3.7109375" style="428" customWidth="1"/>
    <col min="1540" max="1540" width="14.42578125" style="428" customWidth="1"/>
    <col min="1541" max="1541" width="3.7109375" style="428" customWidth="1"/>
    <col min="1542" max="1542" width="14.7109375" style="428" customWidth="1"/>
    <col min="1543" max="1556" width="7" style="428" customWidth="1"/>
    <col min="1557" max="1558" width="13.85546875" style="428" customWidth="1"/>
    <col min="1559" max="1794" width="9.140625" style="428"/>
    <col min="1795" max="1795" width="3.7109375" style="428" customWidth="1"/>
    <col min="1796" max="1796" width="14.42578125" style="428" customWidth="1"/>
    <col min="1797" max="1797" width="3.7109375" style="428" customWidth="1"/>
    <col min="1798" max="1798" width="14.7109375" style="428" customWidth="1"/>
    <col min="1799" max="1812" width="7" style="428" customWidth="1"/>
    <col min="1813" max="1814" width="13.85546875" style="428" customWidth="1"/>
    <col min="1815" max="2050" width="9.140625" style="428"/>
    <col min="2051" max="2051" width="3.7109375" style="428" customWidth="1"/>
    <col min="2052" max="2052" width="14.42578125" style="428" customWidth="1"/>
    <col min="2053" max="2053" width="3.7109375" style="428" customWidth="1"/>
    <col min="2054" max="2054" width="14.7109375" style="428" customWidth="1"/>
    <col min="2055" max="2068" width="7" style="428" customWidth="1"/>
    <col min="2069" max="2070" width="13.85546875" style="428" customWidth="1"/>
    <col min="2071" max="2306" width="9.140625" style="428"/>
    <col min="2307" max="2307" width="3.7109375" style="428" customWidth="1"/>
    <col min="2308" max="2308" width="14.42578125" style="428" customWidth="1"/>
    <col min="2309" max="2309" width="3.7109375" style="428" customWidth="1"/>
    <col min="2310" max="2310" width="14.7109375" style="428" customWidth="1"/>
    <col min="2311" max="2324" width="7" style="428" customWidth="1"/>
    <col min="2325" max="2326" width="13.85546875" style="428" customWidth="1"/>
    <col min="2327" max="2562" width="9.140625" style="428"/>
    <col min="2563" max="2563" width="3.7109375" style="428" customWidth="1"/>
    <col min="2564" max="2564" width="14.42578125" style="428" customWidth="1"/>
    <col min="2565" max="2565" width="3.7109375" style="428" customWidth="1"/>
    <col min="2566" max="2566" width="14.7109375" style="428" customWidth="1"/>
    <col min="2567" max="2580" width="7" style="428" customWidth="1"/>
    <col min="2581" max="2582" width="13.85546875" style="428" customWidth="1"/>
    <col min="2583" max="2818" width="9.140625" style="428"/>
    <col min="2819" max="2819" width="3.7109375" style="428" customWidth="1"/>
    <col min="2820" max="2820" width="14.42578125" style="428" customWidth="1"/>
    <col min="2821" max="2821" width="3.7109375" style="428" customWidth="1"/>
    <col min="2822" max="2822" width="14.7109375" style="428" customWidth="1"/>
    <col min="2823" max="2836" width="7" style="428" customWidth="1"/>
    <col min="2837" max="2838" width="13.85546875" style="428" customWidth="1"/>
    <col min="2839" max="3074" width="9.140625" style="428"/>
    <col min="3075" max="3075" width="3.7109375" style="428" customWidth="1"/>
    <col min="3076" max="3076" width="14.42578125" style="428" customWidth="1"/>
    <col min="3077" max="3077" width="3.7109375" style="428" customWidth="1"/>
    <col min="3078" max="3078" width="14.7109375" style="428" customWidth="1"/>
    <col min="3079" max="3092" width="7" style="428" customWidth="1"/>
    <col min="3093" max="3094" width="13.85546875" style="428" customWidth="1"/>
    <col min="3095" max="3330" width="9.140625" style="428"/>
    <col min="3331" max="3331" width="3.7109375" style="428" customWidth="1"/>
    <col min="3332" max="3332" width="14.42578125" style="428" customWidth="1"/>
    <col min="3333" max="3333" width="3.7109375" style="428" customWidth="1"/>
    <col min="3334" max="3334" width="14.7109375" style="428" customWidth="1"/>
    <col min="3335" max="3348" width="7" style="428" customWidth="1"/>
    <col min="3349" max="3350" width="13.85546875" style="428" customWidth="1"/>
    <col min="3351" max="3586" width="9.140625" style="428"/>
    <col min="3587" max="3587" width="3.7109375" style="428" customWidth="1"/>
    <col min="3588" max="3588" width="14.42578125" style="428" customWidth="1"/>
    <col min="3589" max="3589" width="3.7109375" style="428" customWidth="1"/>
    <col min="3590" max="3590" width="14.7109375" style="428" customWidth="1"/>
    <col min="3591" max="3604" width="7" style="428" customWidth="1"/>
    <col min="3605" max="3606" width="13.85546875" style="428" customWidth="1"/>
    <col min="3607" max="3842" width="9.140625" style="428"/>
    <col min="3843" max="3843" width="3.7109375" style="428" customWidth="1"/>
    <col min="3844" max="3844" width="14.42578125" style="428" customWidth="1"/>
    <col min="3845" max="3845" width="3.7109375" style="428" customWidth="1"/>
    <col min="3846" max="3846" width="14.7109375" style="428" customWidth="1"/>
    <col min="3847" max="3860" width="7" style="428" customWidth="1"/>
    <col min="3861" max="3862" width="13.85546875" style="428" customWidth="1"/>
    <col min="3863" max="4098" width="9.140625" style="428"/>
    <col min="4099" max="4099" width="3.7109375" style="428" customWidth="1"/>
    <col min="4100" max="4100" width="14.42578125" style="428" customWidth="1"/>
    <col min="4101" max="4101" width="3.7109375" style="428" customWidth="1"/>
    <col min="4102" max="4102" width="14.7109375" style="428" customWidth="1"/>
    <col min="4103" max="4116" width="7" style="428" customWidth="1"/>
    <col min="4117" max="4118" width="13.85546875" style="428" customWidth="1"/>
    <col min="4119" max="4354" width="9.140625" style="428"/>
    <col min="4355" max="4355" width="3.7109375" style="428" customWidth="1"/>
    <col min="4356" max="4356" width="14.42578125" style="428" customWidth="1"/>
    <col min="4357" max="4357" width="3.7109375" style="428" customWidth="1"/>
    <col min="4358" max="4358" width="14.7109375" style="428" customWidth="1"/>
    <col min="4359" max="4372" width="7" style="428" customWidth="1"/>
    <col min="4373" max="4374" width="13.85546875" style="428" customWidth="1"/>
    <col min="4375" max="4610" width="9.140625" style="428"/>
    <col min="4611" max="4611" width="3.7109375" style="428" customWidth="1"/>
    <col min="4612" max="4612" width="14.42578125" style="428" customWidth="1"/>
    <col min="4613" max="4613" width="3.7109375" style="428" customWidth="1"/>
    <col min="4614" max="4614" width="14.7109375" style="428" customWidth="1"/>
    <col min="4615" max="4628" width="7" style="428" customWidth="1"/>
    <col min="4629" max="4630" width="13.85546875" style="428" customWidth="1"/>
    <col min="4631" max="4866" width="9.140625" style="428"/>
    <col min="4867" max="4867" width="3.7109375" style="428" customWidth="1"/>
    <col min="4868" max="4868" width="14.42578125" style="428" customWidth="1"/>
    <col min="4869" max="4869" width="3.7109375" style="428" customWidth="1"/>
    <col min="4870" max="4870" width="14.7109375" style="428" customWidth="1"/>
    <col min="4871" max="4884" width="7" style="428" customWidth="1"/>
    <col min="4885" max="4886" width="13.85546875" style="428" customWidth="1"/>
    <col min="4887" max="5122" width="9.140625" style="428"/>
    <col min="5123" max="5123" width="3.7109375" style="428" customWidth="1"/>
    <col min="5124" max="5124" width="14.42578125" style="428" customWidth="1"/>
    <col min="5125" max="5125" width="3.7109375" style="428" customWidth="1"/>
    <col min="5126" max="5126" width="14.7109375" style="428" customWidth="1"/>
    <col min="5127" max="5140" width="7" style="428" customWidth="1"/>
    <col min="5141" max="5142" width="13.85546875" style="428" customWidth="1"/>
    <col min="5143" max="5378" width="9.140625" style="428"/>
    <col min="5379" max="5379" width="3.7109375" style="428" customWidth="1"/>
    <col min="5380" max="5380" width="14.42578125" style="428" customWidth="1"/>
    <col min="5381" max="5381" width="3.7109375" style="428" customWidth="1"/>
    <col min="5382" max="5382" width="14.7109375" style="428" customWidth="1"/>
    <col min="5383" max="5396" width="7" style="428" customWidth="1"/>
    <col min="5397" max="5398" width="13.85546875" style="428" customWidth="1"/>
    <col min="5399" max="5634" width="9.140625" style="428"/>
    <col min="5635" max="5635" width="3.7109375" style="428" customWidth="1"/>
    <col min="5636" max="5636" width="14.42578125" style="428" customWidth="1"/>
    <col min="5637" max="5637" width="3.7109375" style="428" customWidth="1"/>
    <col min="5638" max="5638" width="14.7109375" style="428" customWidth="1"/>
    <col min="5639" max="5652" width="7" style="428" customWidth="1"/>
    <col min="5653" max="5654" width="13.85546875" style="428" customWidth="1"/>
    <col min="5655" max="5890" width="9.140625" style="428"/>
    <col min="5891" max="5891" width="3.7109375" style="428" customWidth="1"/>
    <col min="5892" max="5892" width="14.42578125" style="428" customWidth="1"/>
    <col min="5893" max="5893" width="3.7109375" style="428" customWidth="1"/>
    <col min="5894" max="5894" width="14.7109375" style="428" customWidth="1"/>
    <col min="5895" max="5908" width="7" style="428" customWidth="1"/>
    <col min="5909" max="5910" width="13.85546875" style="428" customWidth="1"/>
    <col min="5911" max="6146" width="9.140625" style="428"/>
    <col min="6147" max="6147" width="3.7109375" style="428" customWidth="1"/>
    <col min="6148" max="6148" width="14.42578125" style="428" customWidth="1"/>
    <col min="6149" max="6149" width="3.7109375" style="428" customWidth="1"/>
    <col min="6150" max="6150" width="14.7109375" style="428" customWidth="1"/>
    <col min="6151" max="6164" width="7" style="428" customWidth="1"/>
    <col min="6165" max="6166" width="13.85546875" style="428" customWidth="1"/>
    <col min="6167" max="6402" width="9.140625" style="428"/>
    <col min="6403" max="6403" width="3.7109375" style="428" customWidth="1"/>
    <col min="6404" max="6404" width="14.42578125" style="428" customWidth="1"/>
    <col min="6405" max="6405" width="3.7109375" style="428" customWidth="1"/>
    <col min="6406" max="6406" width="14.7109375" style="428" customWidth="1"/>
    <col min="6407" max="6420" width="7" style="428" customWidth="1"/>
    <col min="6421" max="6422" width="13.85546875" style="428" customWidth="1"/>
    <col min="6423" max="6658" width="9.140625" style="428"/>
    <col min="6659" max="6659" width="3.7109375" style="428" customWidth="1"/>
    <col min="6660" max="6660" width="14.42578125" style="428" customWidth="1"/>
    <col min="6661" max="6661" width="3.7109375" style="428" customWidth="1"/>
    <col min="6662" max="6662" width="14.7109375" style="428" customWidth="1"/>
    <col min="6663" max="6676" width="7" style="428" customWidth="1"/>
    <col min="6677" max="6678" width="13.85546875" style="428" customWidth="1"/>
    <col min="6679" max="6914" width="9.140625" style="428"/>
    <col min="6915" max="6915" width="3.7109375" style="428" customWidth="1"/>
    <col min="6916" max="6916" width="14.42578125" style="428" customWidth="1"/>
    <col min="6917" max="6917" width="3.7109375" style="428" customWidth="1"/>
    <col min="6918" max="6918" width="14.7109375" style="428" customWidth="1"/>
    <col min="6919" max="6932" width="7" style="428" customWidth="1"/>
    <col min="6933" max="6934" width="13.85546875" style="428" customWidth="1"/>
    <col min="6935" max="7170" width="9.140625" style="428"/>
    <col min="7171" max="7171" width="3.7109375" style="428" customWidth="1"/>
    <col min="7172" max="7172" width="14.42578125" style="428" customWidth="1"/>
    <col min="7173" max="7173" width="3.7109375" style="428" customWidth="1"/>
    <col min="7174" max="7174" width="14.7109375" style="428" customWidth="1"/>
    <col min="7175" max="7188" width="7" style="428" customWidth="1"/>
    <col min="7189" max="7190" width="13.85546875" style="428" customWidth="1"/>
    <col min="7191" max="7426" width="9.140625" style="428"/>
    <col min="7427" max="7427" width="3.7109375" style="428" customWidth="1"/>
    <col min="7428" max="7428" width="14.42578125" style="428" customWidth="1"/>
    <col min="7429" max="7429" width="3.7109375" style="428" customWidth="1"/>
    <col min="7430" max="7430" width="14.7109375" style="428" customWidth="1"/>
    <col min="7431" max="7444" width="7" style="428" customWidth="1"/>
    <col min="7445" max="7446" width="13.85546875" style="428" customWidth="1"/>
    <col min="7447" max="7682" width="9.140625" style="428"/>
    <col min="7683" max="7683" width="3.7109375" style="428" customWidth="1"/>
    <col min="7684" max="7684" width="14.42578125" style="428" customWidth="1"/>
    <col min="7685" max="7685" width="3.7109375" style="428" customWidth="1"/>
    <col min="7686" max="7686" width="14.7109375" style="428" customWidth="1"/>
    <col min="7687" max="7700" width="7" style="428" customWidth="1"/>
    <col min="7701" max="7702" width="13.85546875" style="428" customWidth="1"/>
    <col min="7703" max="7938" width="9.140625" style="428"/>
    <col min="7939" max="7939" width="3.7109375" style="428" customWidth="1"/>
    <col min="7940" max="7940" width="14.42578125" style="428" customWidth="1"/>
    <col min="7941" max="7941" width="3.7109375" style="428" customWidth="1"/>
    <col min="7942" max="7942" width="14.7109375" style="428" customWidth="1"/>
    <col min="7943" max="7956" width="7" style="428" customWidth="1"/>
    <col min="7957" max="7958" width="13.85546875" style="428" customWidth="1"/>
    <col min="7959" max="8194" width="9.140625" style="428"/>
    <col min="8195" max="8195" width="3.7109375" style="428" customWidth="1"/>
    <col min="8196" max="8196" width="14.42578125" style="428" customWidth="1"/>
    <col min="8197" max="8197" width="3.7109375" style="428" customWidth="1"/>
    <col min="8198" max="8198" width="14.7109375" style="428" customWidth="1"/>
    <col min="8199" max="8212" width="7" style="428" customWidth="1"/>
    <col min="8213" max="8214" width="13.85546875" style="428" customWidth="1"/>
    <col min="8215" max="8450" width="9.140625" style="428"/>
    <col min="8451" max="8451" width="3.7109375" style="428" customWidth="1"/>
    <col min="8452" max="8452" width="14.42578125" style="428" customWidth="1"/>
    <col min="8453" max="8453" width="3.7109375" style="428" customWidth="1"/>
    <col min="8454" max="8454" width="14.7109375" style="428" customWidth="1"/>
    <col min="8455" max="8468" width="7" style="428" customWidth="1"/>
    <col min="8469" max="8470" width="13.85546875" style="428" customWidth="1"/>
    <col min="8471" max="8706" width="9.140625" style="428"/>
    <col min="8707" max="8707" width="3.7109375" style="428" customWidth="1"/>
    <col min="8708" max="8708" width="14.42578125" style="428" customWidth="1"/>
    <col min="8709" max="8709" width="3.7109375" style="428" customWidth="1"/>
    <col min="8710" max="8710" width="14.7109375" style="428" customWidth="1"/>
    <col min="8711" max="8724" width="7" style="428" customWidth="1"/>
    <col min="8725" max="8726" width="13.85546875" style="428" customWidth="1"/>
    <col min="8727" max="8962" width="9.140625" style="428"/>
    <col min="8963" max="8963" width="3.7109375" style="428" customWidth="1"/>
    <col min="8964" max="8964" width="14.42578125" style="428" customWidth="1"/>
    <col min="8965" max="8965" width="3.7109375" style="428" customWidth="1"/>
    <col min="8966" max="8966" width="14.7109375" style="428" customWidth="1"/>
    <col min="8967" max="8980" width="7" style="428" customWidth="1"/>
    <col min="8981" max="8982" width="13.85546875" style="428" customWidth="1"/>
    <col min="8983" max="9218" width="9.140625" style="428"/>
    <col min="9219" max="9219" width="3.7109375" style="428" customWidth="1"/>
    <col min="9220" max="9220" width="14.42578125" style="428" customWidth="1"/>
    <col min="9221" max="9221" width="3.7109375" style="428" customWidth="1"/>
    <col min="9222" max="9222" width="14.7109375" style="428" customWidth="1"/>
    <col min="9223" max="9236" width="7" style="428" customWidth="1"/>
    <col min="9237" max="9238" width="13.85546875" style="428" customWidth="1"/>
    <col min="9239" max="9474" width="9.140625" style="428"/>
    <col min="9475" max="9475" width="3.7109375" style="428" customWidth="1"/>
    <col min="9476" max="9476" width="14.42578125" style="428" customWidth="1"/>
    <col min="9477" max="9477" width="3.7109375" style="428" customWidth="1"/>
    <col min="9478" max="9478" width="14.7109375" style="428" customWidth="1"/>
    <col min="9479" max="9492" width="7" style="428" customWidth="1"/>
    <col min="9493" max="9494" width="13.85546875" style="428" customWidth="1"/>
    <col min="9495" max="9730" width="9.140625" style="428"/>
    <col min="9731" max="9731" width="3.7109375" style="428" customWidth="1"/>
    <col min="9732" max="9732" width="14.42578125" style="428" customWidth="1"/>
    <col min="9733" max="9733" width="3.7109375" style="428" customWidth="1"/>
    <col min="9734" max="9734" width="14.7109375" style="428" customWidth="1"/>
    <col min="9735" max="9748" width="7" style="428" customWidth="1"/>
    <col min="9749" max="9750" width="13.85546875" style="428" customWidth="1"/>
    <col min="9751" max="9986" width="9.140625" style="428"/>
    <col min="9987" max="9987" width="3.7109375" style="428" customWidth="1"/>
    <col min="9988" max="9988" width="14.42578125" style="428" customWidth="1"/>
    <col min="9989" max="9989" width="3.7109375" style="428" customWidth="1"/>
    <col min="9990" max="9990" width="14.7109375" style="428" customWidth="1"/>
    <col min="9991" max="10004" width="7" style="428" customWidth="1"/>
    <col min="10005" max="10006" width="13.85546875" style="428" customWidth="1"/>
    <col min="10007" max="10242" width="9.140625" style="428"/>
    <col min="10243" max="10243" width="3.7109375" style="428" customWidth="1"/>
    <col min="10244" max="10244" width="14.42578125" style="428" customWidth="1"/>
    <col min="10245" max="10245" width="3.7109375" style="428" customWidth="1"/>
    <col min="10246" max="10246" width="14.7109375" style="428" customWidth="1"/>
    <col min="10247" max="10260" width="7" style="428" customWidth="1"/>
    <col min="10261" max="10262" width="13.85546875" style="428" customWidth="1"/>
    <col min="10263" max="10498" width="9.140625" style="428"/>
    <col min="10499" max="10499" width="3.7109375" style="428" customWidth="1"/>
    <col min="10500" max="10500" width="14.42578125" style="428" customWidth="1"/>
    <col min="10501" max="10501" width="3.7109375" style="428" customWidth="1"/>
    <col min="10502" max="10502" width="14.7109375" style="428" customWidth="1"/>
    <col min="10503" max="10516" width="7" style="428" customWidth="1"/>
    <col min="10517" max="10518" width="13.85546875" style="428" customWidth="1"/>
    <col min="10519" max="10754" width="9.140625" style="428"/>
    <col min="10755" max="10755" width="3.7109375" style="428" customWidth="1"/>
    <col min="10756" max="10756" width="14.42578125" style="428" customWidth="1"/>
    <col min="10757" max="10757" width="3.7109375" style="428" customWidth="1"/>
    <col min="10758" max="10758" width="14.7109375" style="428" customWidth="1"/>
    <col min="10759" max="10772" width="7" style="428" customWidth="1"/>
    <col min="10773" max="10774" width="13.85546875" style="428" customWidth="1"/>
    <col min="10775" max="11010" width="9.140625" style="428"/>
    <col min="11011" max="11011" width="3.7109375" style="428" customWidth="1"/>
    <col min="11012" max="11012" width="14.42578125" style="428" customWidth="1"/>
    <col min="11013" max="11013" width="3.7109375" style="428" customWidth="1"/>
    <col min="11014" max="11014" width="14.7109375" style="428" customWidth="1"/>
    <col min="11015" max="11028" width="7" style="428" customWidth="1"/>
    <col min="11029" max="11030" width="13.85546875" style="428" customWidth="1"/>
    <col min="11031" max="11266" width="9.140625" style="428"/>
    <col min="11267" max="11267" width="3.7109375" style="428" customWidth="1"/>
    <col min="11268" max="11268" width="14.42578125" style="428" customWidth="1"/>
    <col min="11269" max="11269" width="3.7109375" style="428" customWidth="1"/>
    <col min="11270" max="11270" width="14.7109375" style="428" customWidth="1"/>
    <col min="11271" max="11284" width="7" style="428" customWidth="1"/>
    <col min="11285" max="11286" width="13.85546875" style="428" customWidth="1"/>
    <col min="11287" max="11522" width="9.140625" style="428"/>
    <col min="11523" max="11523" width="3.7109375" style="428" customWidth="1"/>
    <col min="11524" max="11524" width="14.42578125" style="428" customWidth="1"/>
    <col min="11525" max="11525" width="3.7109375" style="428" customWidth="1"/>
    <col min="11526" max="11526" width="14.7109375" style="428" customWidth="1"/>
    <col min="11527" max="11540" width="7" style="428" customWidth="1"/>
    <col min="11541" max="11542" width="13.85546875" style="428" customWidth="1"/>
    <col min="11543" max="11778" width="9.140625" style="428"/>
    <col min="11779" max="11779" width="3.7109375" style="428" customWidth="1"/>
    <col min="11780" max="11780" width="14.42578125" style="428" customWidth="1"/>
    <col min="11781" max="11781" width="3.7109375" style="428" customWidth="1"/>
    <col min="11782" max="11782" width="14.7109375" style="428" customWidth="1"/>
    <col min="11783" max="11796" width="7" style="428" customWidth="1"/>
    <col min="11797" max="11798" width="13.85546875" style="428" customWidth="1"/>
    <col min="11799" max="12034" width="9.140625" style="428"/>
    <col min="12035" max="12035" width="3.7109375" style="428" customWidth="1"/>
    <col min="12036" max="12036" width="14.42578125" style="428" customWidth="1"/>
    <col min="12037" max="12037" width="3.7109375" style="428" customWidth="1"/>
    <col min="12038" max="12038" width="14.7109375" style="428" customWidth="1"/>
    <col min="12039" max="12052" width="7" style="428" customWidth="1"/>
    <col min="12053" max="12054" width="13.85546875" style="428" customWidth="1"/>
    <col min="12055" max="12290" width="9.140625" style="428"/>
    <col min="12291" max="12291" width="3.7109375" style="428" customWidth="1"/>
    <col min="12292" max="12292" width="14.42578125" style="428" customWidth="1"/>
    <col min="12293" max="12293" width="3.7109375" style="428" customWidth="1"/>
    <col min="12294" max="12294" width="14.7109375" style="428" customWidth="1"/>
    <col min="12295" max="12308" width="7" style="428" customWidth="1"/>
    <col min="12309" max="12310" width="13.85546875" style="428" customWidth="1"/>
    <col min="12311" max="12546" width="9.140625" style="428"/>
    <col min="12547" max="12547" width="3.7109375" style="428" customWidth="1"/>
    <col min="12548" max="12548" width="14.42578125" style="428" customWidth="1"/>
    <col min="12549" max="12549" width="3.7109375" style="428" customWidth="1"/>
    <col min="12550" max="12550" width="14.7109375" style="428" customWidth="1"/>
    <col min="12551" max="12564" width="7" style="428" customWidth="1"/>
    <col min="12565" max="12566" width="13.85546875" style="428" customWidth="1"/>
    <col min="12567" max="12802" width="9.140625" style="428"/>
    <col min="12803" max="12803" width="3.7109375" style="428" customWidth="1"/>
    <col min="12804" max="12804" width="14.42578125" style="428" customWidth="1"/>
    <col min="12805" max="12805" width="3.7109375" style="428" customWidth="1"/>
    <col min="12806" max="12806" width="14.7109375" style="428" customWidth="1"/>
    <col min="12807" max="12820" width="7" style="428" customWidth="1"/>
    <col min="12821" max="12822" width="13.85546875" style="428" customWidth="1"/>
    <col min="12823" max="13058" width="9.140625" style="428"/>
    <col min="13059" max="13059" width="3.7109375" style="428" customWidth="1"/>
    <col min="13060" max="13060" width="14.42578125" style="428" customWidth="1"/>
    <col min="13061" max="13061" width="3.7109375" style="428" customWidth="1"/>
    <col min="13062" max="13062" width="14.7109375" style="428" customWidth="1"/>
    <col min="13063" max="13076" width="7" style="428" customWidth="1"/>
    <col min="13077" max="13078" width="13.85546875" style="428" customWidth="1"/>
    <col min="13079" max="13314" width="9.140625" style="428"/>
    <col min="13315" max="13315" width="3.7109375" style="428" customWidth="1"/>
    <col min="13316" max="13316" width="14.42578125" style="428" customWidth="1"/>
    <col min="13317" max="13317" width="3.7109375" style="428" customWidth="1"/>
    <col min="13318" max="13318" width="14.7109375" style="428" customWidth="1"/>
    <col min="13319" max="13332" width="7" style="428" customWidth="1"/>
    <col min="13333" max="13334" width="13.85546875" style="428" customWidth="1"/>
    <col min="13335" max="13570" width="9.140625" style="428"/>
    <col min="13571" max="13571" width="3.7109375" style="428" customWidth="1"/>
    <col min="13572" max="13572" width="14.42578125" style="428" customWidth="1"/>
    <col min="13573" max="13573" width="3.7109375" style="428" customWidth="1"/>
    <col min="13574" max="13574" width="14.7109375" style="428" customWidth="1"/>
    <col min="13575" max="13588" width="7" style="428" customWidth="1"/>
    <col min="13589" max="13590" width="13.85546875" style="428" customWidth="1"/>
    <col min="13591" max="13826" width="9.140625" style="428"/>
    <col min="13827" max="13827" width="3.7109375" style="428" customWidth="1"/>
    <col min="13828" max="13828" width="14.42578125" style="428" customWidth="1"/>
    <col min="13829" max="13829" width="3.7109375" style="428" customWidth="1"/>
    <col min="13830" max="13830" width="14.7109375" style="428" customWidth="1"/>
    <col min="13831" max="13844" width="7" style="428" customWidth="1"/>
    <col min="13845" max="13846" width="13.85546875" style="428" customWidth="1"/>
    <col min="13847" max="14082" width="9.140625" style="428"/>
    <col min="14083" max="14083" width="3.7109375" style="428" customWidth="1"/>
    <col min="14084" max="14084" width="14.42578125" style="428" customWidth="1"/>
    <col min="14085" max="14085" width="3.7109375" style="428" customWidth="1"/>
    <col min="14086" max="14086" width="14.7109375" style="428" customWidth="1"/>
    <col min="14087" max="14100" width="7" style="428" customWidth="1"/>
    <col min="14101" max="14102" width="13.85546875" style="428" customWidth="1"/>
    <col min="14103" max="14338" width="9.140625" style="428"/>
    <col min="14339" max="14339" width="3.7109375" style="428" customWidth="1"/>
    <col min="14340" max="14340" width="14.42578125" style="428" customWidth="1"/>
    <col min="14341" max="14341" width="3.7109375" style="428" customWidth="1"/>
    <col min="14342" max="14342" width="14.7109375" style="428" customWidth="1"/>
    <col min="14343" max="14356" width="7" style="428" customWidth="1"/>
    <col min="14357" max="14358" width="13.85546875" style="428" customWidth="1"/>
    <col min="14359" max="14594" width="9.140625" style="428"/>
    <col min="14595" max="14595" width="3.7109375" style="428" customWidth="1"/>
    <col min="14596" max="14596" width="14.42578125" style="428" customWidth="1"/>
    <col min="14597" max="14597" width="3.7109375" style="428" customWidth="1"/>
    <col min="14598" max="14598" width="14.7109375" style="428" customWidth="1"/>
    <col min="14599" max="14612" width="7" style="428" customWidth="1"/>
    <col min="14613" max="14614" width="13.85546875" style="428" customWidth="1"/>
    <col min="14615" max="14850" width="9.140625" style="428"/>
    <col min="14851" max="14851" width="3.7109375" style="428" customWidth="1"/>
    <col min="14852" max="14852" width="14.42578125" style="428" customWidth="1"/>
    <col min="14853" max="14853" width="3.7109375" style="428" customWidth="1"/>
    <col min="14854" max="14854" width="14.7109375" style="428" customWidth="1"/>
    <col min="14855" max="14868" width="7" style="428" customWidth="1"/>
    <col min="14869" max="14870" width="13.85546875" style="428" customWidth="1"/>
    <col min="14871" max="15106" width="9.140625" style="428"/>
    <col min="15107" max="15107" width="3.7109375" style="428" customWidth="1"/>
    <col min="15108" max="15108" width="14.42578125" style="428" customWidth="1"/>
    <col min="15109" max="15109" width="3.7109375" style="428" customWidth="1"/>
    <col min="15110" max="15110" width="14.7109375" style="428" customWidth="1"/>
    <col min="15111" max="15124" width="7" style="428" customWidth="1"/>
    <col min="15125" max="15126" width="13.85546875" style="428" customWidth="1"/>
    <col min="15127" max="15362" width="9.140625" style="428"/>
    <col min="15363" max="15363" width="3.7109375" style="428" customWidth="1"/>
    <col min="15364" max="15364" width="14.42578125" style="428" customWidth="1"/>
    <col min="15365" max="15365" width="3.7109375" style="428" customWidth="1"/>
    <col min="15366" max="15366" width="14.7109375" style="428" customWidth="1"/>
    <col min="15367" max="15380" width="7" style="428" customWidth="1"/>
    <col min="15381" max="15382" width="13.85546875" style="428" customWidth="1"/>
    <col min="15383" max="15618" width="9.140625" style="428"/>
    <col min="15619" max="15619" width="3.7109375" style="428" customWidth="1"/>
    <col min="15620" max="15620" width="14.42578125" style="428" customWidth="1"/>
    <col min="15621" max="15621" width="3.7109375" style="428" customWidth="1"/>
    <col min="15622" max="15622" width="14.7109375" style="428" customWidth="1"/>
    <col min="15623" max="15636" width="7" style="428" customWidth="1"/>
    <col min="15637" max="15638" width="13.85546875" style="428" customWidth="1"/>
    <col min="15639" max="15874" width="9.140625" style="428"/>
    <col min="15875" max="15875" width="3.7109375" style="428" customWidth="1"/>
    <col min="15876" max="15876" width="14.42578125" style="428" customWidth="1"/>
    <col min="15877" max="15877" width="3.7109375" style="428" customWidth="1"/>
    <col min="15878" max="15878" width="14.7109375" style="428" customWidth="1"/>
    <col min="15879" max="15892" width="7" style="428" customWidth="1"/>
    <col min="15893" max="15894" width="13.85546875" style="428" customWidth="1"/>
    <col min="15895" max="16130" width="9.140625" style="428"/>
    <col min="16131" max="16131" width="3.7109375" style="428" customWidth="1"/>
    <col min="16132" max="16132" width="14.42578125" style="428" customWidth="1"/>
    <col min="16133" max="16133" width="3.7109375" style="428" customWidth="1"/>
    <col min="16134" max="16134" width="14.7109375" style="428" customWidth="1"/>
    <col min="16135" max="16148" width="7" style="428" customWidth="1"/>
    <col min="16149" max="16150" width="13.85546875" style="428" customWidth="1"/>
    <col min="16151" max="16384" width="9.140625" style="428"/>
  </cols>
  <sheetData>
    <row r="1" spans="1:24" s="964" customFormat="1" ht="15" x14ac:dyDescent="0.2">
      <c r="A1" s="965"/>
      <c r="B1" s="1277"/>
      <c r="C1" s="1277"/>
    </row>
    <row r="2" spans="1:24" s="964" customFormat="1" ht="14.25" customHeight="1" x14ac:dyDescent="0.2">
      <c r="A2" s="835">
        <v>1</v>
      </c>
      <c r="B2" s="835" t="s">
        <v>24</v>
      </c>
      <c r="C2" s="835">
        <f>1+'Qualified Audits'!C2</f>
        <v>82</v>
      </c>
      <c r="D2" s="3615" t="s">
        <v>1232</v>
      </c>
      <c r="E2" s="3616"/>
      <c r="F2" s="3616"/>
      <c r="G2" s="3616"/>
      <c r="H2" s="3616"/>
      <c r="I2" s="3616"/>
      <c r="J2" s="3616"/>
      <c r="K2" s="3616"/>
      <c r="L2" s="3616"/>
      <c r="M2" s="3616"/>
      <c r="N2" s="3616"/>
      <c r="O2" s="3616"/>
      <c r="P2" s="3616"/>
      <c r="Q2" s="3616"/>
      <c r="R2" s="3616"/>
      <c r="S2" s="3616"/>
      <c r="T2" s="3616"/>
      <c r="U2" s="3616"/>
      <c r="V2" s="3616"/>
      <c r="W2" s="3617"/>
    </row>
    <row r="3" spans="1:24" s="964" customFormat="1" ht="14.25" customHeight="1" x14ac:dyDescent="0.2">
      <c r="A3" s="835">
        <v>2</v>
      </c>
      <c r="B3" s="835" t="s">
        <v>26</v>
      </c>
      <c r="C3" s="835"/>
      <c r="D3" s="3615" t="s">
        <v>1231</v>
      </c>
      <c r="E3" s="3616"/>
      <c r="F3" s="3616"/>
      <c r="G3" s="3616"/>
      <c r="H3" s="3616"/>
      <c r="I3" s="3616"/>
      <c r="J3" s="3616"/>
      <c r="K3" s="3616"/>
      <c r="L3" s="3616"/>
      <c r="M3" s="3616"/>
      <c r="N3" s="3616"/>
      <c r="O3" s="3616"/>
      <c r="P3" s="3616"/>
      <c r="Q3" s="3616"/>
      <c r="R3" s="3616"/>
      <c r="S3" s="3616"/>
      <c r="T3" s="3616"/>
      <c r="U3" s="3616"/>
      <c r="V3" s="3616"/>
      <c r="W3" s="3617"/>
    </row>
    <row r="4" spans="1:24" s="964" customFormat="1" ht="14.25" customHeight="1" x14ac:dyDescent="0.2">
      <c r="A4" s="835">
        <v>3</v>
      </c>
      <c r="B4" s="835" t="s">
        <v>28</v>
      </c>
      <c r="C4" s="835"/>
      <c r="D4" s="3615" t="s">
        <v>1230</v>
      </c>
      <c r="E4" s="3616"/>
      <c r="F4" s="3616"/>
      <c r="G4" s="3616"/>
      <c r="H4" s="3616"/>
      <c r="I4" s="3616"/>
      <c r="J4" s="3616"/>
      <c r="K4" s="3616"/>
      <c r="L4" s="3616"/>
      <c r="M4" s="3616"/>
      <c r="N4" s="3616"/>
      <c r="O4" s="3616"/>
      <c r="P4" s="3616"/>
      <c r="Q4" s="3616"/>
      <c r="R4" s="3616"/>
      <c r="S4" s="3616"/>
      <c r="T4" s="3616"/>
      <c r="U4" s="3616"/>
      <c r="V4" s="3616"/>
      <c r="W4" s="3617"/>
      <c r="X4" s="401"/>
    </row>
    <row r="5" spans="1:24" ht="12.75" x14ac:dyDescent="0.2">
      <c r="C5" s="418"/>
    </row>
    <row r="6" spans="1:24" s="401" customFormat="1" ht="17.25" customHeight="1" x14ac:dyDescent="0.2">
      <c r="A6" s="835">
        <v>4</v>
      </c>
      <c r="B6" s="418" t="s">
        <v>1</v>
      </c>
      <c r="C6" s="1222"/>
      <c r="D6" s="424" t="s">
        <v>31</v>
      </c>
      <c r="E6" s="424" t="s">
        <v>1229</v>
      </c>
      <c r="F6" s="424"/>
      <c r="G6" s="424"/>
      <c r="H6" s="1253"/>
      <c r="I6" s="1253"/>
      <c r="J6" s="424"/>
      <c r="K6" s="424"/>
      <c r="L6" s="424"/>
      <c r="M6" s="432"/>
      <c r="N6" s="432"/>
      <c r="O6" s="432"/>
      <c r="P6" s="432"/>
      <c r="Q6" s="432"/>
      <c r="R6" s="432"/>
      <c r="S6" s="432"/>
      <c r="T6" s="432"/>
      <c r="U6" s="432"/>
    </row>
    <row r="7" spans="1:24" s="401" customFormat="1" ht="19.5" customHeight="1" x14ac:dyDescent="0.2">
      <c r="A7" s="1224"/>
      <c r="B7" s="1222"/>
      <c r="C7" s="1222"/>
      <c r="D7" s="3117"/>
      <c r="E7" s="1755">
        <v>1997</v>
      </c>
      <c r="F7" s="1755">
        <v>1998</v>
      </c>
      <c r="G7" s="1755">
        <v>1999</v>
      </c>
      <c r="H7" s="1755">
        <v>2000</v>
      </c>
      <c r="I7" s="1755">
        <v>2001</v>
      </c>
      <c r="J7" s="1755">
        <v>2002</v>
      </c>
      <c r="K7" s="1755">
        <v>2003</v>
      </c>
      <c r="L7" s="1755">
        <v>2004</v>
      </c>
      <c r="M7" s="1755">
        <v>2005</v>
      </c>
      <c r="N7" s="1755">
        <v>2006</v>
      </c>
      <c r="O7" s="1755">
        <v>2007</v>
      </c>
      <c r="P7" s="1755">
        <v>2008</v>
      </c>
      <c r="Q7" s="1755">
        <v>2009</v>
      </c>
      <c r="R7" s="1756">
        <v>2010</v>
      </c>
      <c r="S7" s="1756">
        <v>2011</v>
      </c>
      <c r="T7" s="1756">
        <v>2012</v>
      </c>
      <c r="U7" s="1756">
        <v>2013</v>
      </c>
      <c r="V7" s="1756">
        <v>2014</v>
      </c>
      <c r="W7" s="3120">
        <v>2015</v>
      </c>
    </row>
    <row r="8" spans="1:24" s="401" customFormat="1" ht="20.25" customHeight="1" x14ac:dyDescent="0.2">
      <c r="A8" s="1224"/>
      <c r="B8" s="1222"/>
      <c r="C8" s="1222"/>
      <c r="D8" s="3118" t="s">
        <v>1228</v>
      </c>
      <c r="E8" s="1757">
        <v>33</v>
      </c>
      <c r="F8" s="1757">
        <v>32</v>
      </c>
      <c r="G8" s="1757">
        <v>34</v>
      </c>
      <c r="H8" s="1757">
        <v>34</v>
      </c>
      <c r="I8" s="1757">
        <v>38</v>
      </c>
      <c r="J8" s="1757">
        <v>36</v>
      </c>
      <c r="K8" s="1757">
        <v>48</v>
      </c>
      <c r="L8" s="1757">
        <v>44</v>
      </c>
      <c r="M8" s="1757">
        <v>46</v>
      </c>
      <c r="N8" s="1757">
        <v>51</v>
      </c>
      <c r="O8" s="1757">
        <v>43</v>
      </c>
      <c r="P8" s="1757">
        <v>54</v>
      </c>
      <c r="Q8" s="1757">
        <v>55</v>
      </c>
      <c r="R8" s="1758">
        <v>54</v>
      </c>
      <c r="S8" s="1758">
        <v>64</v>
      </c>
      <c r="T8" s="1758">
        <v>69</v>
      </c>
      <c r="U8" s="1758">
        <v>72</v>
      </c>
      <c r="V8" s="401">
        <v>67</v>
      </c>
      <c r="W8" s="2787">
        <v>61</v>
      </c>
    </row>
    <row r="9" spans="1:24" s="432" customFormat="1" ht="25.5" customHeight="1" x14ac:dyDescent="0.2">
      <c r="A9" s="914"/>
      <c r="B9" s="824"/>
      <c r="C9" s="824"/>
      <c r="D9" s="3118" t="s">
        <v>1227</v>
      </c>
      <c r="E9" s="1757">
        <v>49</v>
      </c>
      <c r="F9" s="1757">
        <v>52</v>
      </c>
      <c r="G9" s="1757">
        <v>50</v>
      </c>
      <c r="H9" s="1757">
        <v>50</v>
      </c>
      <c r="I9" s="1757">
        <v>48</v>
      </c>
      <c r="J9" s="1757">
        <v>48</v>
      </c>
      <c r="K9" s="1757">
        <v>44</v>
      </c>
      <c r="L9" s="1757">
        <v>46</v>
      </c>
      <c r="M9" s="1757">
        <v>45</v>
      </c>
      <c r="N9" s="1757">
        <v>46</v>
      </c>
      <c r="O9" s="1757">
        <v>51</v>
      </c>
      <c r="P9" s="1757">
        <v>49</v>
      </c>
      <c r="Q9" s="1757">
        <v>47</v>
      </c>
      <c r="R9" s="1758">
        <v>45</v>
      </c>
      <c r="S9" s="1758">
        <v>41</v>
      </c>
      <c r="T9" s="1758">
        <v>43</v>
      </c>
      <c r="U9" s="1758">
        <v>42</v>
      </c>
      <c r="V9" s="1758">
        <v>44</v>
      </c>
      <c r="W9" s="3121">
        <v>44</v>
      </c>
    </row>
    <row r="10" spans="1:24" s="401" customFormat="1" ht="14.25" customHeight="1" x14ac:dyDescent="0.2">
      <c r="A10" s="1224"/>
      <c r="B10" s="1222"/>
      <c r="C10" s="1222"/>
      <c r="D10" s="3119" t="s">
        <v>342</v>
      </c>
      <c r="E10" s="1759"/>
      <c r="F10" s="1759">
        <v>85</v>
      </c>
      <c r="G10" s="1759">
        <v>99</v>
      </c>
      <c r="H10" s="1759">
        <v>90</v>
      </c>
      <c r="I10" s="1759">
        <v>91</v>
      </c>
      <c r="J10" s="1759">
        <v>102</v>
      </c>
      <c r="K10" s="1759">
        <v>133</v>
      </c>
      <c r="L10" s="1759">
        <v>146</v>
      </c>
      <c r="M10" s="1759">
        <v>159</v>
      </c>
      <c r="N10" s="1759">
        <v>163</v>
      </c>
      <c r="O10" s="1759">
        <v>180</v>
      </c>
      <c r="P10" s="1759">
        <v>180</v>
      </c>
      <c r="Q10" s="1759">
        <v>180</v>
      </c>
      <c r="R10" s="1760">
        <v>178</v>
      </c>
      <c r="S10" s="1760">
        <v>183</v>
      </c>
      <c r="T10" s="1760">
        <v>176</v>
      </c>
      <c r="U10" s="1760">
        <v>177</v>
      </c>
      <c r="V10" s="1760">
        <v>175</v>
      </c>
      <c r="W10" s="3122">
        <v>168</v>
      </c>
    </row>
    <row r="11" spans="1:24" s="401" customFormat="1" ht="14.25" customHeight="1" x14ac:dyDescent="0.2">
      <c r="A11" s="1224">
        <v>5</v>
      </c>
      <c r="B11" s="418" t="s">
        <v>77</v>
      </c>
      <c r="C11" s="1222"/>
      <c r="D11" s="798"/>
      <c r="E11" s="1247"/>
      <c r="F11" s="1247"/>
      <c r="G11" s="1247"/>
      <c r="H11" s="1247"/>
      <c r="I11" s="1247"/>
      <c r="J11" s="1247"/>
      <c r="K11" s="1247"/>
      <c r="L11" s="1247"/>
      <c r="M11" s="1247"/>
      <c r="N11" s="1247"/>
      <c r="O11" s="1247"/>
      <c r="P11" s="1247"/>
      <c r="Q11" s="1247"/>
      <c r="R11" s="1247"/>
      <c r="S11" s="1247"/>
      <c r="T11" s="1247"/>
    </row>
    <row r="12" spans="1:24" x14ac:dyDescent="0.2">
      <c r="M12" s="439"/>
    </row>
    <row r="13" spans="1:24" x14ac:dyDescent="0.2">
      <c r="M13" s="439"/>
    </row>
    <row r="14" spans="1:24" x14ac:dyDescent="0.2">
      <c r="M14" s="439"/>
    </row>
    <row r="15" spans="1:24" x14ac:dyDescent="0.2">
      <c r="M15" s="439"/>
    </row>
    <row r="16" spans="1:24" x14ac:dyDescent="0.2">
      <c r="M16" s="439"/>
      <c r="W16" s="428" t="s">
        <v>326</v>
      </c>
    </row>
    <row r="17" spans="13:13" x14ac:dyDescent="0.2">
      <c r="M17" s="439"/>
    </row>
    <row r="18" spans="13:13" x14ac:dyDescent="0.2">
      <c r="M18" s="439"/>
    </row>
    <row r="19" spans="13:13" x14ac:dyDescent="0.2">
      <c r="M19" s="1246"/>
    </row>
    <row r="20" spans="13:13" x14ac:dyDescent="0.2">
      <c r="M20" s="439"/>
    </row>
    <row r="34" spans="1:23" s="964" customFormat="1" ht="14.25" x14ac:dyDescent="0.2">
      <c r="A34" s="835">
        <v>6</v>
      </c>
      <c r="B34" s="835" t="s">
        <v>78</v>
      </c>
      <c r="C34" s="835"/>
      <c r="D34" s="3615" t="s">
        <v>1226</v>
      </c>
      <c r="E34" s="3616"/>
      <c r="F34" s="3616"/>
      <c r="G34" s="3616"/>
      <c r="H34" s="3616"/>
      <c r="I34" s="3616"/>
      <c r="J34" s="3616"/>
      <c r="K34" s="3616"/>
      <c r="L34" s="3616"/>
      <c r="M34" s="3616"/>
      <c r="N34" s="3616"/>
      <c r="O34" s="3616"/>
      <c r="P34" s="3616"/>
      <c r="Q34" s="3616"/>
      <c r="R34" s="3616"/>
      <c r="S34" s="3616"/>
      <c r="T34" s="3616"/>
      <c r="U34" s="3616"/>
      <c r="V34" s="3616"/>
      <c r="W34" s="3617"/>
    </row>
    <row r="35" spans="1:23" s="964" customFormat="1" ht="27" customHeight="1" x14ac:dyDescent="0.2">
      <c r="A35" s="963">
        <v>7</v>
      </c>
      <c r="B35" s="963" t="s">
        <v>80</v>
      </c>
      <c r="C35" s="963"/>
      <c r="D35" s="3958" t="s">
        <v>1225</v>
      </c>
      <c r="E35" s="3959"/>
      <c r="F35" s="3959"/>
      <c r="G35" s="3959"/>
      <c r="H35" s="3959"/>
      <c r="I35" s="3959"/>
      <c r="J35" s="3959"/>
      <c r="K35" s="3959"/>
      <c r="L35" s="3959"/>
      <c r="M35" s="3959"/>
      <c r="N35" s="3959"/>
      <c r="O35" s="3959"/>
      <c r="P35" s="3959"/>
      <c r="Q35" s="3959"/>
      <c r="R35" s="3959"/>
      <c r="S35" s="3959"/>
      <c r="T35" s="3959"/>
      <c r="U35" s="3959"/>
      <c r="V35" s="3959"/>
      <c r="W35" s="3960"/>
    </row>
    <row r="36" spans="1:23" s="964" customFormat="1" ht="30" customHeight="1" x14ac:dyDescent="0.2">
      <c r="A36" s="835">
        <v>8</v>
      </c>
      <c r="B36" s="835" t="s">
        <v>22</v>
      </c>
      <c r="C36" s="835"/>
      <c r="D36" s="3629" t="s">
        <v>1224</v>
      </c>
      <c r="E36" s="3630"/>
      <c r="F36" s="3630"/>
      <c r="G36" s="3630"/>
      <c r="H36" s="3630"/>
      <c r="I36" s="3630"/>
      <c r="J36" s="3630"/>
      <c r="K36" s="3630"/>
      <c r="L36" s="3630"/>
      <c r="M36" s="3630"/>
      <c r="N36" s="3630"/>
      <c r="O36" s="3630"/>
      <c r="P36" s="3630"/>
      <c r="Q36" s="3630"/>
      <c r="R36" s="3630"/>
      <c r="S36" s="3630"/>
      <c r="T36" s="3630"/>
      <c r="U36" s="3630"/>
      <c r="V36" s="3630"/>
      <c r="W36" s="3631"/>
    </row>
    <row r="37" spans="1:23" s="964" customFormat="1" ht="14.25" x14ac:dyDescent="0.2">
      <c r="A37" s="835">
        <v>9</v>
      </c>
      <c r="B37" s="835" t="s">
        <v>20</v>
      </c>
      <c r="C37" s="835"/>
      <c r="D37" s="3615" t="s">
        <v>1223</v>
      </c>
      <c r="E37" s="3616"/>
      <c r="F37" s="3616"/>
      <c r="G37" s="3616"/>
      <c r="H37" s="3616"/>
      <c r="I37" s="3616"/>
      <c r="J37" s="3616"/>
      <c r="K37" s="3616"/>
      <c r="L37" s="3616"/>
      <c r="M37" s="3616"/>
      <c r="N37" s="3616"/>
      <c r="O37" s="3616"/>
      <c r="P37" s="3616"/>
      <c r="Q37" s="3616"/>
      <c r="R37" s="3616"/>
      <c r="S37" s="3616"/>
      <c r="T37" s="3616"/>
      <c r="U37" s="3616"/>
      <c r="V37" s="3616"/>
      <c r="W37" s="3617"/>
    </row>
    <row r="38" spans="1:23" s="1094" customFormat="1" ht="15" x14ac:dyDescent="0.25">
      <c r="A38" s="1718"/>
      <c r="B38" s="1258"/>
      <c r="C38" s="1258"/>
      <c r="D38" s="3957"/>
      <c r="E38" s="3957"/>
      <c r="F38" s="3957"/>
      <c r="G38" s="3957"/>
      <c r="H38" s="3957"/>
      <c r="I38" s="3957"/>
      <c r="J38" s="3957"/>
      <c r="K38" s="3957"/>
      <c r="L38" s="3957"/>
      <c r="M38" s="3957"/>
      <c r="N38" s="3957"/>
      <c r="O38" s="3957"/>
      <c r="P38" s="3957"/>
      <c r="Q38" s="3957"/>
      <c r="R38" s="3957"/>
      <c r="S38" s="3957"/>
      <c r="T38" s="3957"/>
      <c r="U38" s="416"/>
      <c r="V38" s="1697"/>
    </row>
  </sheetData>
  <mergeCells count="8">
    <mergeCell ref="D36:W36"/>
    <mergeCell ref="D38:T38"/>
    <mergeCell ref="D2:W2"/>
    <mergeCell ref="D3:W3"/>
    <mergeCell ref="D4:W4"/>
    <mergeCell ref="D34:W34"/>
    <mergeCell ref="D35:W35"/>
    <mergeCell ref="D37:W37"/>
  </mergeCells>
  <hyperlinks>
    <hyperlink ref="D37" r:id="rId1" display="www.transparency.org"/>
  </hyperlinks>
  <pageMargins left="0.74803149606299213" right="0.74803149606299213" top="0.98425196850393704" bottom="0.98425196850393704" header="0.51181102362204722" footer="0.51181102362204722"/>
  <pageSetup paperSize="9" scale="72" orientation="landscape" r:id="rId2"/>
  <headerFooter alignWithMargins="0">
    <oddHeader>&amp;C&amp;"-,Bold"DEVELOPMENT INDICATORS 2014</oddHeader>
    <oddFooter>&amp;LDepartment of Planning, Monitoring and Evaluation (DPME). &amp;CPage &amp;P of &amp;N&amp;R&amp;D</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F176"/>
  <sheetViews>
    <sheetView showGridLines="0" view="pageBreakPreview" topLeftCell="E1" zoomScaleNormal="100" zoomScaleSheetLayoutView="100" workbookViewId="0">
      <selection activeCell="Z8" sqref="Z8:Z10"/>
    </sheetView>
  </sheetViews>
  <sheetFormatPr defaultColWidth="9.140625" defaultRowHeight="15" x14ac:dyDescent="0.25"/>
  <cols>
    <col min="1" max="1" width="3.7109375" style="113" customWidth="1"/>
    <col min="2" max="2" width="12.7109375" style="110" customWidth="1"/>
    <col min="3" max="3" width="3.7109375" style="111" customWidth="1"/>
    <col min="4" max="4" width="12.5703125" style="51" customWidth="1"/>
    <col min="5" max="24" width="6.7109375" style="51" customWidth="1"/>
    <col min="25" max="25" width="6.5703125" style="51" customWidth="1"/>
    <col min="26" max="26" width="9.140625" style="51"/>
    <col min="27" max="27" width="9.85546875" style="51" bestFit="1" customWidth="1"/>
    <col min="28" max="30" width="9.140625" style="51"/>
    <col min="31" max="31" width="9.85546875" style="51" bestFit="1" customWidth="1"/>
    <col min="32" max="33" width="9.140625" style="51"/>
    <col min="34" max="34" width="10.85546875" style="51" customWidth="1"/>
    <col min="35" max="35" width="9.85546875" style="51" bestFit="1" customWidth="1"/>
    <col min="36" max="37" width="9.140625" style="51"/>
    <col min="38" max="38" width="10.5703125" style="51" customWidth="1"/>
    <col min="39" max="39" width="9.85546875" style="51" bestFit="1" customWidth="1"/>
    <col min="40" max="41" width="9.140625" style="51"/>
    <col min="42" max="42" width="10.5703125" style="51" customWidth="1"/>
    <col min="43" max="43" width="9.85546875" style="51" bestFit="1" customWidth="1"/>
    <col min="44" max="45" width="9.140625" style="51"/>
    <col min="46" max="46" width="10" style="51" customWidth="1"/>
    <col min="47" max="47" width="9.85546875" style="51" bestFit="1" customWidth="1"/>
    <col min="48" max="50" width="9.140625" style="51"/>
    <col min="51" max="51" width="9.85546875" style="51" bestFit="1" customWidth="1"/>
    <col min="52" max="52" width="9.7109375" style="51" customWidth="1"/>
    <col min="53" max="53" width="9.140625" style="51"/>
    <col min="54" max="54" width="9.85546875" style="51" customWidth="1"/>
    <col min="55" max="55" width="9.85546875" style="51" bestFit="1" customWidth="1"/>
    <col min="56" max="56" width="9.28515625" style="51" customWidth="1"/>
    <col min="57" max="57" width="9.140625" style="51"/>
    <col min="58" max="58" width="11.5703125" style="51" customWidth="1"/>
    <col min="59" max="16384" width="9.140625" style="51"/>
  </cols>
  <sheetData>
    <row r="1" spans="1:56" x14ac:dyDescent="0.25">
      <c r="D1" s="112"/>
      <c r="E1" s="112"/>
      <c r="F1" s="112"/>
      <c r="G1" s="112"/>
      <c r="H1" s="112"/>
      <c r="I1" s="112"/>
      <c r="J1" s="112"/>
      <c r="K1" s="112"/>
      <c r="L1" s="112"/>
      <c r="M1" s="112"/>
      <c r="N1" s="112"/>
      <c r="O1" s="112"/>
      <c r="P1" s="122"/>
      <c r="Q1" s="122"/>
      <c r="R1" s="122"/>
      <c r="S1" s="122"/>
      <c r="T1" s="122"/>
      <c r="U1" s="122"/>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row>
    <row r="2" spans="1:56" ht="15" customHeight="1" x14ac:dyDescent="0.25">
      <c r="A2" s="113">
        <v>1</v>
      </c>
      <c r="B2" s="114" t="s">
        <v>24</v>
      </c>
      <c r="C2" s="113">
        <f>'[3]G debt'!C2+1</f>
        <v>7</v>
      </c>
      <c r="D2" s="3544" t="s">
        <v>159</v>
      </c>
      <c r="E2" s="3545"/>
      <c r="F2" s="3545"/>
      <c r="G2" s="3545"/>
      <c r="H2" s="3545"/>
      <c r="I2" s="3545"/>
      <c r="J2" s="3545"/>
      <c r="K2" s="3545"/>
      <c r="L2" s="3545"/>
      <c r="M2" s="3545"/>
      <c r="N2" s="3545"/>
      <c r="O2" s="3545"/>
      <c r="P2" s="3545"/>
      <c r="Q2" s="3545"/>
      <c r="R2" s="3545"/>
      <c r="S2" s="3545"/>
      <c r="T2" s="3545"/>
      <c r="U2" s="3545"/>
      <c r="V2" s="3545"/>
      <c r="W2" s="3545"/>
      <c r="X2" s="3545"/>
      <c r="Y2" s="3545"/>
      <c r="Z2" s="3546"/>
      <c r="AA2" s="54"/>
      <c r="AB2" s="54"/>
      <c r="AC2" s="54"/>
      <c r="AD2" s="54"/>
      <c r="AE2" s="54"/>
      <c r="AF2" s="54"/>
      <c r="AG2" s="54"/>
      <c r="AH2" s="54"/>
      <c r="AI2" s="54"/>
      <c r="AJ2" s="54"/>
      <c r="AK2" s="54"/>
      <c r="AL2" s="54"/>
      <c r="AM2" s="54"/>
      <c r="AN2" s="54"/>
      <c r="AO2" s="54"/>
      <c r="AP2" s="54"/>
      <c r="AQ2" s="54"/>
      <c r="AR2" s="59"/>
      <c r="AS2" s="59"/>
      <c r="AT2" s="59"/>
      <c r="AU2" s="59"/>
      <c r="AV2" s="59"/>
      <c r="AW2" s="59"/>
      <c r="AX2" s="59"/>
      <c r="AY2" s="59"/>
      <c r="AZ2" s="59"/>
      <c r="BA2" s="59"/>
      <c r="BB2" s="59"/>
      <c r="BC2" s="59"/>
      <c r="BD2" s="59"/>
    </row>
    <row r="3" spans="1:56" ht="15" customHeight="1" x14ac:dyDescent="0.25">
      <c r="A3" s="113">
        <v>2</v>
      </c>
      <c r="B3" s="114" t="s">
        <v>26</v>
      </c>
      <c r="C3" s="113"/>
      <c r="D3" s="3562" t="s">
        <v>160</v>
      </c>
      <c r="E3" s="3563"/>
      <c r="F3" s="3563"/>
      <c r="G3" s="3563"/>
      <c r="H3" s="3563"/>
      <c r="I3" s="3563"/>
      <c r="J3" s="3563"/>
      <c r="K3" s="3563"/>
      <c r="L3" s="3563"/>
      <c r="M3" s="3563"/>
      <c r="N3" s="3563"/>
      <c r="O3" s="3563"/>
      <c r="P3" s="3563"/>
      <c r="Q3" s="3563"/>
      <c r="R3" s="3563"/>
      <c r="S3" s="3563"/>
      <c r="T3" s="3563"/>
      <c r="U3" s="3563"/>
      <c r="V3" s="3563"/>
      <c r="W3" s="3563"/>
      <c r="X3" s="3563"/>
      <c r="Y3" s="3563"/>
      <c r="Z3" s="3564"/>
      <c r="AA3" s="54"/>
      <c r="AB3" s="54"/>
      <c r="AC3" s="54"/>
      <c r="AD3" s="54"/>
      <c r="AE3" s="54"/>
      <c r="AF3" s="54"/>
      <c r="AG3" s="54"/>
      <c r="AH3" s="54"/>
      <c r="AI3" s="54"/>
      <c r="AJ3" s="54"/>
      <c r="AK3" s="54"/>
      <c r="AL3" s="54"/>
      <c r="AM3" s="54"/>
      <c r="AN3" s="54"/>
      <c r="AO3" s="54"/>
      <c r="AP3" s="54"/>
      <c r="AQ3" s="54"/>
      <c r="AR3" s="59"/>
      <c r="AS3" s="59"/>
      <c r="AT3" s="59"/>
      <c r="AU3" s="59"/>
      <c r="AV3" s="59"/>
      <c r="AW3" s="59"/>
      <c r="AX3" s="59"/>
      <c r="AY3" s="59"/>
      <c r="AZ3" s="59"/>
      <c r="BA3" s="59"/>
      <c r="BB3" s="59"/>
      <c r="BC3" s="59"/>
      <c r="BD3" s="59"/>
    </row>
    <row r="4" spans="1:56" ht="15" customHeight="1" x14ac:dyDescent="0.25">
      <c r="A4" s="113">
        <v>3</v>
      </c>
      <c r="B4" s="114" t="s">
        <v>28</v>
      </c>
      <c r="C4" s="113"/>
      <c r="D4" s="3562" t="s">
        <v>161</v>
      </c>
      <c r="E4" s="3563"/>
      <c r="F4" s="3563"/>
      <c r="G4" s="3563"/>
      <c r="H4" s="3563"/>
      <c r="I4" s="3563"/>
      <c r="J4" s="3563"/>
      <c r="K4" s="3563"/>
      <c r="L4" s="3563"/>
      <c r="M4" s="3563"/>
      <c r="N4" s="3563"/>
      <c r="O4" s="3563"/>
      <c r="P4" s="3563"/>
      <c r="Q4" s="3563"/>
      <c r="R4" s="3563"/>
      <c r="S4" s="3563"/>
      <c r="T4" s="3563"/>
      <c r="U4" s="3563"/>
      <c r="V4" s="3563"/>
      <c r="W4" s="3563"/>
      <c r="X4" s="3563"/>
      <c r="Y4" s="3563"/>
      <c r="Z4" s="3564"/>
      <c r="AA4" s="224"/>
      <c r="AB4" s="224"/>
      <c r="AC4" s="224"/>
      <c r="AD4" s="224"/>
      <c r="AE4" s="224"/>
      <c r="AF4" s="224"/>
      <c r="AG4" s="224"/>
      <c r="AH4" s="224"/>
      <c r="AI4" s="224"/>
      <c r="AJ4" s="224"/>
      <c r="AK4" s="224"/>
      <c r="AL4" s="224"/>
      <c r="AM4" s="224"/>
      <c r="AN4" s="224"/>
      <c r="AO4" s="224"/>
      <c r="AP4" s="224"/>
      <c r="AQ4" s="224"/>
      <c r="AR4" s="59"/>
      <c r="AS4" s="59"/>
      <c r="AT4" s="59"/>
      <c r="AU4" s="59"/>
      <c r="AV4" s="59"/>
      <c r="AW4" s="59"/>
      <c r="AX4" s="59"/>
      <c r="AY4" s="59"/>
      <c r="AZ4" s="59"/>
      <c r="BA4" s="59"/>
      <c r="BB4" s="59"/>
      <c r="BC4" s="59"/>
      <c r="BD4" s="59"/>
    </row>
    <row r="5" spans="1:56" ht="13.5" customHeight="1" x14ac:dyDescent="0.25">
      <c r="B5" s="114"/>
      <c r="C5" s="113"/>
      <c r="D5" s="138"/>
      <c r="E5" s="138"/>
      <c r="F5" s="138"/>
      <c r="G5" s="138"/>
      <c r="H5" s="138"/>
      <c r="I5" s="138"/>
      <c r="J5" s="138"/>
      <c r="K5" s="138"/>
      <c r="L5" s="138"/>
      <c r="M5" s="138"/>
      <c r="N5" s="138"/>
      <c r="O5" s="225"/>
      <c r="P5" s="226"/>
      <c r="Q5" s="226"/>
      <c r="R5" s="226"/>
      <c r="S5" s="226"/>
      <c r="T5" s="226"/>
      <c r="U5" s="226"/>
      <c r="V5" s="54"/>
      <c r="W5" s="54"/>
      <c r="X5" s="54"/>
      <c r="Y5" s="54"/>
      <c r="Z5" s="54"/>
      <c r="AA5" s="54"/>
      <c r="AB5" s="54"/>
      <c r="AC5" s="54"/>
      <c r="AD5" s="54"/>
      <c r="AE5" s="54"/>
      <c r="AF5" s="54"/>
      <c r="AG5" s="54"/>
      <c r="AH5" s="54"/>
      <c r="AI5" s="54"/>
      <c r="AJ5" s="54"/>
      <c r="AK5" s="54"/>
      <c r="AL5" s="54"/>
      <c r="AM5" s="54"/>
      <c r="AN5" s="54"/>
      <c r="AO5" s="54"/>
      <c r="AP5" s="54"/>
      <c r="AQ5" s="54"/>
      <c r="AR5" s="59"/>
      <c r="AS5" s="59"/>
      <c r="AT5" s="59"/>
      <c r="AU5" s="59"/>
      <c r="AV5" s="59"/>
      <c r="AW5" s="59"/>
      <c r="AX5" s="59"/>
      <c r="AY5" s="59"/>
      <c r="AZ5" s="59"/>
      <c r="BA5" s="59"/>
      <c r="BB5" s="59"/>
      <c r="BC5" s="59"/>
      <c r="BD5" s="59"/>
    </row>
    <row r="6" spans="1:56" x14ac:dyDescent="0.25">
      <c r="A6" s="113">
        <v>4</v>
      </c>
      <c r="B6" s="118" t="s">
        <v>1</v>
      </c>
      <c r="C6" s="115"/>
      <c r="D6" s="112"/>
      <c r="E6" s="112"/>
      <c r="F6" s="112"/>
      <c r="G6" s="112"/>
      <c r="H6" s="112"/>
      <c r="I6" s="112"/>
      <c r="J6" s="112"/>
      <c r="K6" s="112"/>
      <c r="L6" s="112"/>
      <c r="M6" s="112"/>
      <c r="N6" s="112"/>
      <c r="O6" s="112"/>
      <c r="P6" s="122"/>
      <c r="Q6" s="133"/>
      <c r="R6" s="122"/>
      <c r="S6" s="122"/>
      <c r="T6" s="122"/>
      <c r="U6" s="122"/>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row>
    <row r="7" spans="1:56" x14ac:dyDescent="0.25">
      <c r="C7" s="115"/>
      <c r="D7" s="120" t="s">
        <v>103</v>
      </c>
      <c r="E7" s="120" t="s">
        <v>162</v>
      </c>
      <c r="F7" s="120"/>
      <c r="G7" s="120"/>
      <c r="H7" s="120"/>
      <c r="I7" s="120"/>
      <c r="J7" s="120"/>
      <c r="K7" s="120"/>
      <c r="L7" s="120"/>
      <c r="M7" s="121"/>
      <c r="N7" s="121"/>
      <c r="O7" s="121"/>
      <c r="P7" s="121"/>
      <c r="Q7" s="121"/>
      <c r="R7" s="122"/>
      <c r="S7" s="122"/>
      <c r="T7" s="122"/>
      <c r="U7" s="122"/>
      <c r="V7" s="122"/>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row>
    <row r="8" spans="1:56" x14ac:dyDescent="0.25">
      <c r="D8" s="2975"/>
      <c r="E8" s="199" t="s">
        <v>33</v>
      </c>
      <c r="F8" s="199" t="s">
        <v>34</v>
      </c>
      <c r="G8" s="199" t="s">
        <v>35</v>
      </c>
      <c r="H8" s="199" t="s">
        <v>36</v>
      </c>
      <c r="I8" s="199" t="s">
        <v>37</v>
      </c>
      <c r="J8" s="199" t="s">
        <v>38</v>
      </c>
      <c r="K8" s="199" t="s">
        <v>39</v>
      </c>
      <c r="L8" s="199" t="s">
        <v>40</v>
      </c>
      <c r="M8" s="199" t="s">
        <v>41</v>
      </c>
      <c r="N8" s="199" t="s">
        <v>42</v>
      </c>
      <c r="O8" s="199" t="s">
        <v>43</v>
      </c>
      <c r="P8" s="199" t="s">
        <v>44</v>
      </c>
      <c r="Q8" s="199" t="s">
        <v>45</v>
      </c>
      <c r="R8" s="199" t="s">
        <v>46</v>
      </c>
      <c r="S8" s="199" t="s">
        <v>47</v>
      </c>
      <c r="T8" s="199" t="s">
        <v>48</v>
      </c>
      <c r="U8" s="199" t="s">
        <v>49</v>
      </c>
      <c r="V8" s="199" t="s">
        <v>50</v>
      </c>
      <c r="W8" s="199" t="s">
        <v>51</v>
      </c>
      <c r="X8" s="2748">
        <v>2013</v>
      </c>
      <c r="Y8" s="2748">
        <v>2014</v>
      </c>
      <c r="Z8" s="3181">
        <v>2015</v>
      </c>
    </row>
    <row r="9" spans="1:56" x14ac:dyDescent="0.25">
      <c r="D9" s="2976" t="s">
        <v>163</v>
      </c>
      <c r="E9" s="177">
        <f>+E10-'Inflation '!$E$8</f>
        <v>6.6833333333332998</v>
      </c>
      <c r="F9" s="177">
        <f>+F10-'Inflation '!F8</f>
        <v>9.1958333333333009</v>
      </c>
      <c r="G9" s="177">
        <f>+G10-'Inflation '!G8</f>
        <v>12.195833333333301</v>
      </c>
      <c r="H9" s="177">
        <f>+H10-'Inflation '!H8</f>
        <v>11.4</v>
      </c>
      <c r="I9" s="177">
        <f>+I10-'Inflation '!I8</f>
        <v>14.941666666666698</v>
      </c>
      <c r="J9" s="177">
        <f>+J10-'Inflation '!J8</f>
        <v>12.741666666666667</v>
      </c>
      <c r="K9" s="177">
        <f>+K10-'Inflation '!K8</f>
        <v>9.1750000000000007</v>
      </c>
      <c r="L9" s="177">
        <f>+L10-'Inflation '!L8</f>
        <v>8.0458333333333023</v>
      </c>
      <c r="M9" s="177">
        <f>+M10-'Inflation '!M8</f>
        <v>6.6</v>
      </c>
      <c r="N9" s="177">
        <f>+N10-'Inflation '!N8</f>
        <v>8.9916666666666352</v>
      </c>
      <c r="O9" s="177">
        <f>+O10-'Inflation '!O8</f>
        <v>9.9000000000000341</v>
      </c>
      <c r="P9" s="177">
        <f>+P10-'Inflation '!P8</f>
        <v>7.2249999999999996</v>
      </c>
      <c r="Q9" s="177">
        <f>+Q10-'Inflation '!Q8</f>
        <v>6.5701017340088459</v>
      </c>
      <c r="R9" s="177">
        <f>+R10-'Inflation '!R8</f>
        <v>6.0916666666666996</v>
      </c>
      <c r="S9" s="177">
        <f>+S10-'Inflation '!S8</f>
        <v>3.5999999999999996</v>
      </c>
      <c r="T9" s="177">
        <f>+T10-'Inflation '!T8</f>
        <v>5.0499999999999652</v>
      </c>
      <c r="U9" s="177">
        <f>+U10-'Inflation '!U8</f>
        <v>5.5759173483131228</v>
      </c>
      <c r="V9" s="177">
        <f>+V10-'Inflation '!V8</f>
        <v>3.999527365535541</v>
      </c>
      <c r="W9" s="177">
        <f>+W10-'Inflation '!W8</f>
        <v>3.0964169967591415</v>
      </c>
      <c r="X9" s="177">
        <f>+X10-'Inflation '!X8</f>
        <v>2.7484662576687171</v>
      </c>
      <c r="Y9" s="177">
        <f>+Y10-'Inflation '!Y8</f>
        <v>3</v>
      </c>
      <c r="Z9" s="3182">
        <v>4.833333333333333</v>
      </c>
    </row>
    <row r="10" spans="1:56" x14ac:dyDescent="0.25">
      <c r="D10" s="3161" t="s">
        <v>164</v>
      </c>
      <c r="E10" s="2749">
        <v>15.5833333333333</v>
      </c>
      <c r="F10" s="2749">
        <v>17.8958333333333</v>
      </c>
      <c r="G10" s="2749">
        <v>19.5208333333333</v>
      </c>
      <c r="H10" s="2749">
        <v>20</v>
      </c>
      <c r="I10" s="2749">
        <v>21.7916666666667</v>
      </c>
      <c r="J10" s="2749">
        <v>18</v>
      </c>
      <c r="K10" s="2749">
        <v>14.5</v>
      </c>
      <c r="L10" s="2749">
        <v>13.7708333333333</v>
      </c>
      <c r="M10" s="2749">
        <v>15.75</v>
      </c>
      <c r="N10" s="2749">
        <v>14.9583333333333</v>
      </c>
      <c r="O10" s="2749">
        <v>11.2916666666667</v>
      </c>
      <c r="P10" s="2749">
        <v>10.625</v>
      </c>
      <c r="Q10" s="2749">
        <v>11.1666666666667</v>
      </c>
      <c r="R10" s="2749">
        <v>13.1666666666667</v>
      </c>
      <c r="S10" s="2749">
        <v>15.125</v>
      </c>
      <c r="T10" s="2749">
        <v>11.7083333333333</v>
      </c>
      <c r="U10" s="2749">
        <v>9.8333333333333304</v>
      </c>
      <c r="V10" s="2749">
        <v>9</v>
      </c>
      <c r="W10" s="2749">
        <v>8.75</v>
      </c>
      <c r="X10" s="2750">
        <v>8.5</v>
      </c>
      <c r="Y10" s="2750">
        <v>9.1</v>
      </c>
      <c r="Z10" s="3183">
        <v>9.4166666666666661</v>
      </c>
    </row>
    <row r="11" spans="1:56" x14ac:dyDescent="0.25">
      <c r="C11" s="115"/>
      <c r="D11" s="112"/>
      <c r="E11" s="117"/>
      <c r="F11" s="117"/>
      <c r="G11" s="117"/>
      <c r="H11" s="117"/>
      <c r="I11" s="117"/>
      <c r="J11" s="117"/>
      <c r="K11" s="117"/>
      <c r="L11" s="117"/>
      <c r="M11" s="117"/>
      <c r="N11" s="117"/>
      <c r="O11" s="117"/>
      <c r="P11" s="116"/>
      <c r="Q11" s="117"/>
      <c r="R11" s="112"/>
      <c r="S11" s="112"/>
      <c r="T11" s="112"/>
      <c r="U11" s="112"/>
      <c r="W11" s="134"/>
      <c r="X11" s="218"/>
    </row>
    <row r="12" spans="1:56" x14ac:dyDescent="0.25">
      <c r="A12" s="113">
        <v>5</v>
      </c>
      <c r="B12" s="114" t="s">
        <v>77</v>
      </c>
      <c r="C12" s="113"/>
      <c r="D12" s="112"/>
      <c r="E12" s="117"/>
      <c r="F12" s="117"/>
      <c r="G12" s="117"/>
      <c r="H12" s="117"/>
      <c r="I12" s="117"/>
      <c r="J12" s="117"/>
      <c r="K12" s="117"/>
      <c r="L12" s="117"/>
      <c r="M12" s="117"/>
      <c r="N12" s="117"/>
      <c r="O12" s="117"/>
      <c r="P12" s="117"/>
      <c r="Q12" s="117"/>
      <c r="R12" s="228"/>
      <c r="S12" s="228"/>
      <c r="T12" s="228"/>
      <c r="U12" s="228"/>
      <c r="W12" s="134"/>
      <c r="X12" s="218"/>
      <c r="Y12" s="96"/>
    </row>
    <row r="13" spans="1:56" x14ac:dyDescent="0.25">
      <c r="D13" s="112"/>
      <c r="E13" s="117"/>
      <c r="F13" s="117"/>
      <c r="G13" s="117"/>
      <c r="H13" s="117"/>
      <c r="I13" s="117"/>
      <c r="J13" s="117"/>
      <c r="K13" s="117"/>
      <c r="L13" s="117"/>
      <c r="M13" s="117"/>
      <c r="N13" s="117"/>
      <c r="O13" s="117"/>
      <c r="P13" s="117"/>
      <c r="Q13" s="117"/>
      <c r="R13" s="228"/>
      <c r="S13" s="228"/>
      <c r="T13" s="228"/>
      <c r="U13" s="228"/>
      <c r="W13" s="134"/>
      <c r="X13" s="152"/>
    </row>
    <row r="14" spans="1:56" x14ac:dyDescent="0.25">
      <c r="D14" s="112"/>
      <c r="E14" s="117"/>
      <c r="F14" s="117"/>
      <c r="G14" s="117"/>
      <c r="H14" s="117"/>
      <c r="I14" s="117"/>
      <c r="J14" s="117"/>
      <c r="K14" s="117"/>
      <c r="L14" s="117"/>
      <c r="M14" s="117"/>
      <c r="N14" s="117"/>
      <c r="O14" s="117"/>
      <c r="P14" s="112"/>
      <c r="Q14" s="117"/>
      <c r="R14" s="228"/>
      <c r="S14" s="228"/>
      <c r="T14" s="228"/>
      <c r="U14" s="228"/>
      <c r="W14" s="134"/>
    </row>
    <row r="15" spans="1:56" x14ac:dyDescent="0.25">
      <c r="D15" s="112"/>
      <c r="E15" s="117"/>
      <c r="F15" s="117"/>
      <c r="G15" s="117"/>
      <c r="H15" s="117"/>
      <c r="I15" s="117"/>
      <c r="J15" s="117"/>
      <c r="K15" s="117"/>
      <c r="L15" s="117"/>
      <c r="M15" s="112"/>
      <c r="N15" s="117"/>
      <c r="O15" s="117"/>
      <c r="P15" s="117"/>
      <c r="Q15" s="117"/>
      <c r="R15" s="228"/>
      <c r="S15" s="228"/>
      <c r="T15" s="228"/>
      <c r="U15" s="228"/>
      <c r="W15" s="134"/>
      <c r="Z15" s="229" t="s">
        <v>165</v>
      </c>
    </row>
    <row r="16" spans="1:56" x14ac:dyDescent="0.25">
      <c r="D16" s="112"/>
      <c r="E16" s="117"/>
      <c r="F16" s="117"/>
      <c r="G16" s="117"/>
      <c r="H16" s="117"/>
      <c r="I16" s="117"/>
      <c r="J16" s="117"/>
      <c r="K16" s="117"/>
      <c r="L16" s="117"/>
      <c r="M16" s="112"/>
      <c r="N16" s="117"/>
      <c r="O16" s="117"/>
      <c r="P16" s="116"/>
      <c r="Q16" s="117"/>
      <c r="R16" s="228"/>
      <c r="S16" s="228"/>
      <c r="T16" s="228"/>
      <c r="U16" s="228"/>
      <c r="W16" s="134"/>
    </row>
    <row r="17" spans="4:24" x14ac:dyDescent="0.25">
      <c r="D17" s="112"/>
      <c r="E17" s="117"/>
      <c r="F17" s="117"/>
      <c r="G17" s="117"/>
      <c r="H17" s="117"/>
      <c r="I17" s="117"/>
      <c r="J17" s="117"/>
      <c r="K17" s="117"/>
      <c r="L17" s="117"/>
      <c r="M17" s="112"/>
      <c r="N17" s="117"/>
      <c r="O17" s="117"/>
      <c r="P17" s="116"/>
      <c r="Q17" s="117"/>
      <c r="R17" s="228"/>
      <c r="S17" s="228"/>
      <c r="T17" s="228"/>
      <c r="U17" s="228"/>
      <c r="W17" s="134"/>
      <c r="X17" s="51" t="s">
        <v>166</v>
      </c>
    </row>
    <row r="18" spans="4:24" x14ac:dyDescent="0.25">
      <c r="D18" s="112"/>
      <c r="E18" s="117"/>
      <c r="F18" s="117"/>
      <c r="G18" s="117"/>
      <c r="H18" s="117"/>
      <c r="I18" s="117"/>
      <c r="J18" s="117"/>
      <c r="K18" s="117"/>
      <c r="L18" s="117"/>
      <c r="M18" s="112"/>
      <c r="N18" s="117"/>
      <c r="O18" s="117"/>
      <c r="P18" s="117"/>
      <c r="Q18" s="117"/>
      <c r="R18" s="228"/>
      <c r="S18" s="228"/>
      <c r="T18" s="228"/>
      <c r="U18" s="228"/>
      <c r="W18" s="134"/>
    </row>
    <row r="19" spans="4:24" x14ac:dyDescent="0.25">
      <c r="D19" s="112"/>
      <c r="E19" s="117"/>
      <c r="F19" s="117"/>
      <c r="G19" s="117"/>
      <c r="H19" s="117"/>
      <c r="I19" s="117"/>
      <c r="J19" s="117"/>
      <c r="K19" s="117"/>
      <c r="L19" s="117"/>
      <c r="M19" s="117"/>
      <c r="N19" s="117"/>
      <c r="O19" s="117"/>
      <c r="P19" s="117"/>
      <c r="Q19" s="117"/>
      <c r="R19" s="228"/>
      <c r="S19" s="228"/>
      <c r="T19" s="228"/>
      <c r="U19" s="228"/>
      <c r="W19" s="134"/>
    </row>
    <row r="20" spans="4:24" x14ac:dyDescent="0.25">
      <c r="D20" s="112"/>
      <c r="E20" s="117"/>
      <c r="F20" s="117"/>
      <c r="G20" s="117"/>
      <c r="H20" s="117"/>
      <c r="I20" s="117"/>
      <c r="J20" s="117"/>
      <c r="K20" s="117"/>
      <c r="L20" s="117"/>
      <c r="M20" s="117"/>
      <c r="N20" s="117"/>
      <c r="O20" s="117"/>
      <c r="P20" s="117"/>
      <c r="Q20" s="117"/>
      <c r="R20" s="228"/>
      <c r="S20" s="228"/>
      <c r="T20" s="228"/>
      <c r="U20" s="228"/>
      <c r="W20" s="134"/>
    </row>
    <row r="21" spans="4:24" x14ac:dyDescent="0.25">
      <c r="D21" s="112"/>
      <c r="E21" s="117"/>
      <c r="F21" s="117"/>
      <c r="G21" s="117"/>
      <c r="H21" s="117"/>
      <c r="I21" s="117"/>
      <c r="J21" s="117"/>
      <c r="K21" s="117"/>
      <c r="L21" s="117"/>
      <c r="M21" s="117"/>
      <c r="N21" s="117"/>
      <c r="O21" s="117"/>
      <c r="P21" s="117"/>
      <c r="Q21" s="117"/>
      <c r="R21" s="228"/>
      <c r="S21" s="228"/>
      <c r="T21" s="228"/>
      <c r="U21" s="228"/>
      <c r="W21" s="134"/>
    </row>
    <row r="22" spans="4:24" x14ac:dyDescent="0.25">
      <c r="D22" s="112"/>
      <c r="E22" s="112"/>
      <c r="F22" s="112"/>
      <c r="G22" s="112"/>
      <c r="H22" s="112"/>
      <c r="I22" s="112"/>
      <c r="J22" s="112"/>
      <c r="K22" s="112"/>
      <c r="L22" s="112"/>
      <c r="M22" s="112"/>
      <c r="N22" s="112"/>
      <c r="O22" s="112"/>
      <c r="P22" s="112"/>
      <c r="Q22" s="112"/>
      <c r="R22" s="228"/>
      <c r="S22" s="228"/>
      <c r="T22" s="228"/>
      <c r="U22" s="228"/>
      <c r="W22" s="230"/>
    </row>
    <row r="23" spans="4:24" x14ac:dyDescent="0.25">
      <c r="D23" s="112"/>
      <c r="E23" s="112"/>
      <c r="F23" s="112"/>
      <c r="G23" s="112"/>
      <c r="H23" s="112"/>
      <c r="I23" s="112"/>
      <c r="J23" s="112"/>
      <c r="K23" s="112"/>
      <c r="L23" s="112"/>
      <c r="M23" s="112"/>
      <c r="N23" s="112"/>
      <c r="O23" s="112"/>
      <c r="P23" s="112"/>
      <c r="Q23" s="112"/>
      <c r="R23" s="228"/>
      <c r="S23" s="228"/>
      <c r="T23" s="228"/>
      <c r="U23" s="228"/>
    </row>
    <row r="24" spans="4:24" x14ac:dyDescent="0.25">
      <c r="D24" s="112"/>
      <c r="E24" s="112"/>
      <c r="F24" s="112"/>
      <c r="G24" s="112"/>
      <c r="H24" s="112"/>
      <c r="I24" s="112"/>
      <c r="J24" s="112"/>
      <c r="K24" s="112"/>
      <c r="L24" s="112"/>
      <c r="M24" s="112"/>
      <c r="N24" s="112"/>
      <c r="O24" s="112"/>
      <c r="P24" s="112"/>
      <c r="Q24" s="112"/>
      <c r="R24" s="228"/>
      <c r="S24" s="228"/>
      <c r="T24" s="228"/>
      <c r="U24" s="228"/>
    </row>
    <row r="25" spans="4:24" x14ac:dyDescent="0.25">
      <c r="D25" s="112"/>
      <c r="E25" s="112"/>
      <c r="F25" s="112"/>
      <c r="G25" s="112"/>
      <c r="H25" s="112"/>
      <c r="I25" s="112"/>
      <c r="J25" s="112"/>
      <c r="K25" s="112"/>
      <c r="L25" s="112"/>
      <c r="M25" s="112"/>
      <c r="N25" s="112"/>
      <c r="O25" s="112"/>
      <c r="P25" s="112"/>
      <c r="Q25" s="112"/>
      <c r="R25" s="228"/>
      <c r="S25" s="228"/>
      <c r="T25" s="228"/>
      <c r="U25" s="228"/>
    </row>
    <row r="26" spans="4:24" x14ac:dyDescent="0.25">
      <c r="D26" s="112"/>
      <c r="E26" s="112"/>
      <c r="F26" s="112"/>
      <c r="G26" s="112"/>
      <c r="H26" s="112"/>
      <c r="I26" s="112"/>
      <c r="J26" s="112"/>
      <c r="K26" s="112"/>
      <c r="L26" s="112"/>
      <c r="M26" s="112"/>
      <c r="N26" s="112"/>
      <c r="O26" s="112"/>
      <c r="P26" s="112"/>
      <c r="Q26" s="112"/>
      <c r="R26" s="231"/>
      <c r="S26" s="231"/>
      <c r="T26" s="231"/>
      <c r="U26" s="231"/>
    </row>
    <row r="27" spans="4:24" x14ac:dyDescent="0.25">
      <c r="D27" s="112"/>
      <c r="E27" s="112"/>
      <c r="F27" s="112"/>
      <c r="G27" s="112"/>
      <c r="H27" s="112"/>
      <c r="I27" s="112"/>
      <c r="J27" s="112"/>
      <c r="K27" s="112"/>
      <c r="L27" s="112"/>
      <c r="M27" s="112"/>
      <c r="N27" s="112"/>
      <c r="O27" s="112"/>
      <c r="P27" s="112"/>
      <c r="Q27" s="112"/>
      <c r="R27" s="112"/>
      <c r="S27" s="112"/>
      <c r="T27" s="112"/>
      <c r="U27" s="112"/>
    </row>
    <row r="28" spans="4:24" x14ac:dyDescent="0.25">
      <c r="D28" s="112"/>
      <c r="E28" s="112"/>
      <c r="F28" s="112"/>
      <c r="G28" s="112"/>
      <c r="H28" s="112"/>
      <c r="I28" s="112"/>
      <c r="J28" s="112"/>
      <c r="K28" s="112"/>
      <c r="L28" s="112"/>
      <c r="M28" s="112"/>
      <c r="N28" s="112"/>
      <c r="O28" s="112"/>
      <c r="P28" s="112"/>
      <c r="Q28" s="112"/>
      <c r="R28" s="112"/>
      <c r="S28" s="112"/>
      <c r="T28" s="112"/>
      <c r="U28" s="112"/>
    </row>
    <row r="29" spans="4:24" x14ac:dyDescent="0.25">
      <c r="D29" s="112"/>
      <c r="E29" s="112"/>
      <c r="F29" s="112"/>
      <c r="G29" s="112"/>
      <c r="H29" s="112"/>
      <c r="I29" s="112"/>
      <c r="J29" s="112"/>
      <c r="K29" s="112"/>
      <c r="L29" s="112"/>
      <c r="M29" s="112"/>
      <c r="N29" s="112"/>
      <c r="O29" s="112"/>
      <c r="P29" s="112"/>
      <c r="Q29" s="112"/>
      <c r="R29" s="112"/>
      <c r="S29" s="112"/>
      <c r="T29" s="112"/>
      <c r="U29" s="112"/>
    </row>
    <row r="30" spans="4:24" x14ac:dyDescent="0.25">
      <c r="D30" s="112"/>
      <c r="E30" s="112"/>
      <c r="F30" s="112"/>
      <c r="G30" s="112"/>
      <c r="H30" s="112"/>
      <c r="I30" s="112"/>
      <c r="J30" s="112"/>
      <c r="K30" s="112"/>
      <c r="L30" s="112"/>
      <c r="M30" s="112"/>
      <c r="N30" s="112"/>
      <c r="O30" s="112"/>
      <c r="P30" s="112"/>
      <c r="Q30" s="112"/>
      <c r="R30" s="112"/>
      <c r="S30" s="112"/>
      <c r="T30" s="112"/>
      <c r="U30" s="112"/>
    </row>
    <row r="31" spans="4:24" x14ac:dyDescent="0.25">
      <c r="D31" s="112"/>
      <c r="E31" s="112"/>
      <c r="F31" s="112"/>
      <c r="G31" s="112"/>
      <c r="H31" s="112"/>
      <c r="I31" s="112"/>
      <c r="J31" s="112"/>
      <c r="K31" s="112"/>
      <c r="L31" s="112"/>
      <c r="M31" s="112"/>
      <c r="N31" s="112"/>
      <c r="O31" s="112"/>
      <c r="P31" s="112"/>
      <c r="Q31" s="112"/>
      <c r="R31" s="112"/>
      <c r="S31" s="112"/>
      <c r="T31" s="112"/>
      <c r="U31" s="112"/>
    </row>
    <row r="32" spans="4:24" x14ac:dyDescent="0.25">
      <c r="D32" s="112"/>
      <c r="E32" s="112"/>
      <c r="F32" s="112"/>
      <c r="G32" s="112"/>
      <c r="H32" s="112"/>
      <c r="I32" s="112"/>
      <c r="J32" s="112"/>
      <c r="K32" s="112"/>
      <c r="L32" s="112"/>
      <c r="M32" s="112"/>
      <c r="N32" s="112"/>
      <c r="O32" s="112"/>
      <c r="P32" s="112"/>
      <c r="Q32" s="112"/>
      <c r="R32" s="112"/>
      <c r="S32" s="112"/>
      <c r="T32" s="112"/>
      <c r="U32" s="112"/>
    </row>
    <row r="33" spans="1:84" x14ac:dyDescent="0.25">
      <c r="A33" s="113">
        <v>6</v>
      </c>
      <c r="B33" s="114" t="s">
        <v>78</v>
      </c>
      <c r="C33" s="113"/>
      <c r="D33" s="3553" t="s">
        <v>167</v>
      </c>
      <c r="E33" s="3554"/>
      <c r="F33" s="3554"/>
      <c r="G33" s="3554"/>
      <c r="H33" s="3554"/>
      <c r="I33" s="3554"/>
      <c r="J33" s="3554"/>
      <c r="K33" s="3554"/>
      <c r="L33" s="3554"/>
      <c r="M33" s="3554"/>
      <c r="N33" s="3554"/>
      <c r="O33" s="3554"/>
      <c r="P33" s="3554"/>
      <c r="Q33" s="3554"/>
      <c r="R33" s="3554"/>
      <c r="S33" s="3554"/>
      <c r="T33" s="3554"/>
      <c r="U33" s="3554"/>
      <c r="V33" s="3554"/>
      <c r="W33" s="3554"/>
      <c r="X33" s="3554"/>
      <c r="Y33" s="3554"/>
      <c r="Z33" s="3555"/>
    </row>
    <row r="34" spans="1:84" ht="12.75" customHeight="1" x14ac:dyDescent="0.25">
      <c r="A34" s="136">
        <v>7</v>
      </c>
      <c r="B34" s="137" t="s">
        <v>80</v>
      </c>
      <c r="C34" s="136"/>
      <c r="D34" s="3578" t="s">
        <v>168</v>
      </c>
      <c r="E34" s="3579"/>
      <c r="F34" s="3579"/>
      <c r="G34" s="3579"/>
      <c r="H34" s="3579"/>
      <c r="I34" s="3579"/>
      <c r="J34" s="3579"/>
      <c r="K34" s="3579"/>
      <c r="L34" s="3579"/>
      <c r="M34" s="3579"/>
      <c r="N34" s="3579"/>
      <c r="O34" s="3579"/>
      <c r="P34" s="3579"/>
      <c r="Q34" s="3579"/>
      <c r="R34" s="3579"/>
      <c r="S34" s="3579"/>
      <c r="T34" s="3579"/>
      <c r="U34" s="3579"/>
      <c r="V34" s="3579"/>
      <c r="W34" s="3579"/>
      <c r="X34" s="3579"/>
      <c r="Y34" s="3579"/>
      <c r="Z34" s="3580"/>
    </row>
    <row r="35" spans="1:84" ht="12.75" customHeight="1" x14ac:dyDescent="0.25">
      <c r="A35" s="113">
        <v>8</v>
      </c>
      <c r="B35" s="114" t="s">
        <v>20</v>
      </c>
      <c r="C35" s="113"/>
      <c r="D35" s="3553" t="s">
        <v>169</v>
      </c>
      <c r="E35" s="3554"/>
      <c r="F35" s="3554"/>
      <c r="G35" s="3554"/>
      <c r="H35" s="3554"/>
      <c r="I35" s="3554"/>
      <c r="J35" s="3554"/>
      <c r="K35" s="3554"/>
      <c r="L35" s="3554"/>
      <c r="M35" s="3554"/>
      <c r="N35" s="3554"/>
      <c r="O35" s="3554"/>
      <c r="P35" s="3554"/>
      <c r="Q35" s="3554"/>
      <c r="R35" s="3554"/>
      <c r="S35" s="3554"/>
      <c r="T35" s="3554"/>
      <c r="U35" s="3554"/>
      <c r="V35" s="3554"/>
      <c r="W35" s="3554"/>
      <c r="X35" s="3554"/>
      <c r="Y35" s="3554"/>
      <c r="Z35" s="3555"/>
    </row>
    <row r="36" spans="1:84" ht="28.5" customHeight="1" x14ac:dyDescent="0.25">
      <c r="A36" s="113">
        <v>9</v>
      </c>
      <c r="B36" s="114" t="s">
        <v>157</v>
      </c>
      <c r="C36" s="113"/>
      <c r="D36" s="3553" t="s">
        <v>170</v>
      </c>
      <c r="E36" s="3554"/>
      <c r="F36" s="3554"/>
      <c r="G36" s="3554"/>
      <c r="H36" s="3554"/>
      <c r="I36" s="3554"/>
      <c r="J36" s="3554"/>
      <c r="K36" s="3554"/>
      <c r="L36" s="3554"/>
      <c r="M36" s="3554"/>
      <c r="N36" s="3554"/>
      <c r="O36" s="3554"/>
      <c r="P36" s="3554"/>
      <c r="Q36" s="3554"/>
      <c r="R36" s="3554"/>
      <c r="S36" s="3554"/>
      <c r="T36" s="3554"/>
      <c r="U36" s="3554"/>
      <c r="V36" s="3554"/>
      <c r="W36" s="3554"/>
      <c r="X36" s="3554"/>
      <c r="Y36" s="3554"/>
      <c r="Z36" s="3555"/>
    </row>
    <row r="38" spans="1:84" ht="14.25" customHeight="1" x14ac:dyDescent="0.25">
      <c r="BM38" s="51" t="e">
        <f>+AVERAGE(#REF!)</f>
        <v>#REF!</v>
      </c>
    </row>
    <row r="39" spans="1:84" x14ac:dyDescent="0.25">
      <c r="B39" s="127"/>
      <c r="C39" s="128"/>
      <c r="E39" s="77"/>
      <c r="AG39" s="96"/>
    </row>
    <row r="40" spans="1:84" s="235" customFormat="1" ht="13.15" customHeight="1" x14ac:dyDescent="0.2">
      <c r="A40" s="232"/>
      <c r="B40" s="233"/>
      <c r="C40" s="233"/>
      <c r="D40" s="234">
        <v>1994</v>
      </c>
      <c r="E40" s="3591">
        <v>1995</v>
      </c>
      <c r="F40" s="3592"/>
      <c r="G40" s="3592"/>
      <c r="H40" s="3593"/>
      <c r="I40" s="3591">
        <v>1996</v>
      </c>
      <c r="J40" s="3592"/>
      <c r="K40" s="3592"/>
      <c r="L40" s="3593"/>
      <c r="M40" s="3591">
        <v>1997</v>
      </c>
      <c r="N40" s="3592"/>
      <c r="O40" s="3592"/>
      <c r="P40" s="3593"/>
      <c r="Q40" s="3591">
        <v>1998</v>
      </c>
      <c r="R40" s="3592"/>
      <c r="S40" s="3592"/>
      <c r="T40" s="3593"/>
      <c r="U40" s="3591">
        <v>1999</v>
      </c>
      <c r="V40" s="3592"/>
      <c r="W40" s="3592"/>
      <c r="X40" s="3593"/>
      <c r="Y40" s="3591">
        <v>2000</v>
      </c>
      <c r="Z40" s="3592"/>
      <c r="AA40" s="3592"/>
      <c r="AB40" s="3593"/>
      <c r="AC40" s="3591">
        <v>2001</v>
      </c>
      <c r="AD40" s="3592"/>
      <c r="AE40" s="3592"/>
      <c r="AF40" s="3593"/>
      <c r="AG40" s="3591">
        <v>2002</v>
      </c>
      <c r="AH40" s="3592"/>
      <c r="AI40" s="3592"/>
      <c r="AJ40" s="3593"/>
      <c r="AK40" s="3591">
        <v>2003</v>
      </c>
      <c r="AL40" s="3592"/>
      <c r="AM40" s="3592"/>
      <c r="AN40" s="3593"/>
      <c r="AO40" s="3591">
        <v>2004</v>
      </c>
      <c r="AP40" s="3592"/>
      <c r="AQ40" s="3592"/>
      <c r="AR40" s="3593"/>
      <c r="AS40" s="3591">
        <v>2005</v>
      </c>
      <c r="AT40" s="3592"/>
      <c r="AU40" s="3592"/>
      <c r="AV40" s="3593"/>
      <c r="AW40" s="3591">
        <v>2006</v>
      </c>
      <c r="AX40" s="3592"/>
      <c r="AY40" s="3592"/>
      <c r="AZ40" s="3593"/>
      <c r="BA40" s="3591">
        <v>2007</v>
      </c>
      <c r="BB40" s="3592"/>
      <c r="BC40" s="3592"/>
      <c r="BD40" s="3593"/>
      <c r="BE40" s="3591" t="s">
        <v>47</v>
      </c>
      <c r="BF40" s="3592"/>
      <c r="BG40" s="3592"/>
      <c r="BH40" s="3593"/>
      <c r="BI40" s="3591" t="s">
        <v>48</v>
      </c>
      <c r="BJ40" s="3592"/>
      <c r="BK40" s="3592"/>
      <c r="BL40" s="3593"/>
      <c r="BM40" s="3591">
        <v>2010</v>
      </c>
      <c r="BN40" s="3592"/>
      <c r="BO40" s="3592"/>
      <c r="BP40" s="3593"/>
      <c r="BQ40" s="3591" t="s">
        <v>50</v>
      </c>
      <c r="BR40" s="3592"/>
      <c r="BS40" s="3592"/>
      <c r="BT40" s="3593"/>
      <c r="BU40" s="3591">
        <v>2012</v>
      </c>
      <c r="BV40" s="3592"/>
      <c r="BW40" s="3592"/>
      <c r="BX40" s="3593"/>
      <c r="BY40" s="3591">
        <v>2013</v>
      </c>
      <c r="BZ40" s="3592"/>
      <c r="CA40" s="3592"/>
      <c r="CB40" s="3593"/>
      <c r="CC40" s="3591">
        <v>2014</v>
      </c>
      <c r="CD40" s="3592"/>
      <c r="CE40" s="3592"/>
      <c r="CF40" s="3593"/>
    </row>
    <row r="41" spans="1:84" s="235" customFormat="1" ht="14.25" customHeight="1" x14ac:dyDescent="0.2">
      <c r="A41" s="232"/>
      <c r="B41" s="233"/>
      <c r="C41" s="233"/>
      <c r="D41" s="236" t="s">
        <v>88</v>
      </c>
      <c r="E41" s="237" t="s">
        <v>85</v>
      </c>
      <c r="F41" s="236" t="s">
        <v>86</v>
      </c>
      <c r="G41" s="236" t="s">
        <v>87</v>
      </c>
      <c r="H41" s="238" t="s">
        <v>88</v>
      </c>
      <c r="I41" s="237" t="s">
        <v>85</v>
      </c>
      <c r="J41" s="236" t="s">
        <v>86</v>
      </c>
      <c r="K41" s="236" t="s">
        <v>87</v>
      </c>
      <c r="L41" s="238" t="s">
        <v>88</v>
      </c>
      <c r="M41" s="237" t="s">
        <v>85</v>
      </c>
      <c r="N41" s="236" t="s">
        <v>86</v>
      </c>
      <c r="O41" s="236" t="s">
        <v>87</v>
      </c>
      <c r="P41" s="238" t="s">
        <v>88</v>
      </c>
      <c r="Q41" s="237" t="s">
        <v>85</v>
      </c>
      <c r="R41" s="236" t="s">
        <v>86</v>
      </c>
      <c r="S41" s="236" t="s">
        <v>87</v>
      </c>
      <c r="T41" s="238" t="s">
        <v>88</v>
      </c>
      <c r="U41" s="237" t="s">
        <v>85</v>
      </c>
      <c r="V41" s="236" t="s">
        <v>86</v>
      </c>
      <c r="W41" s="236" t="s">
        <v>87</v>
      </c>
      <c r="X41" s="238" t="s">
        <v>88</v>
      </c>
      <c r="Y41" s="237" t="s">
        <v>85</v>
      </c>
      <c r="Z41" s="236" t="s">
        <v>86</v>
      </c>
      <c r="AA41" s="236" t="s">
        <v>87</v>
      </c>
      <c r="AB41" s="238" t="s">
        <v>88</v>
      </c>
      <c r="AC41" s="237" t="s">
        <v>85</v>
      </c>
      <c r="AD41" s="236" t="s">
        <v>86</v>
      </c>
      <c r="AE41" s="236" t="s">
        <v>87</v>
      </c>
      <c r="AF41" s="238" t="s">
        <v>88</v>
      </c>
      <c r="AG41" s="237" t="s">
        <v>85</v>
      </c>
      <c r="AH41" s="236" t="s">
        <v>86</v>
      </c>
      <c r="AI41" s="236" t="s">
        <v>87</v>
      </c>
      <c r="AJ41" s="238" t="s">
        <v>88</v>
      </c>
      <c r="AK41" s="237" t="s">
        <v>85</v>
      </c>
      <c r="AL41" s="236" t="s">
        <v>86</v>
      </c>
      <c r="AM41" s="236" t="s">
        <v>87</v>
      </c>
      <c r="AN41" s="238" t="s">
        <v>88</v>
      </c>
      <c r="AO41" s="237" t="s">
        <v>85</v>
      </c>
      <c r="AP41" s="236" t="s">
        <v>86</v>
      </c>
      <c r="AQ41" s="236" t="s">
        <v>87</v>
      </c>
      <c r="AR41" s="238" t="s">
        <v>88</v>
      </c>
      <c r="AS41" s="237" t="s">
        <v>85</v>
      </c>
      <c r="AT41" s="236" t="s">
        <v>86</v>
      </c>
      <c r="AU41" s="236" t="s">
        <v>87</v>
      </c>
      <c r="AV41" s="238" t="s">
        <v>88</v>
      </c>
      <c r="AW41" s="237" t="s">
        <v>85</v>
      </c>
      <c r="AX41" s="236" t="s">
        <v>86</v>
      </c>
      <c r="AY41" s="236" t="s">
        <v>87</v>
      </c>
      <c r="AZ41" s="238" t="s">
        <v>88</v>
      </c>
      <c r="BA41" s="237" t="s">
        <v>85</v>
      </c>
      <c r="BB41" s="236" t="s">
        <v>86</v>
      </c>
      <c r="BC41" s="236" t="s">
        <v>87</v>
      </c>
      <c r="BD41" s="238" t="s">
        <v>88</v>
      </c>
      <c r="BE41" s="237" t="s">
        <v>85</v>
      </c>
      <c r="BF41" s="236" t="s">
        <v>86</v>
      </c>
      <c r="BG41" s="236" t="s">
        <v>87</v>
      </c>
      <c r="BH41" s="238" t="s">
        <v>88</v>
      </c>
      <c r="BI41" s="237" t="s">
        <v>85</v>
      </c>
      <c r="BJ41" s="236" t="s">
        <v>86</v>
      </c>
      <c r="BK41" s="236" t="s">
        <v>87</v>
      </c>
      <c r="BL41" s="238" t="s">
        <v>88</v>
      </c>
      <c r="BM41" s="237" t="s">
        <v>85</v>
      </c>
      <c r="BN41" s="236" t="s">
        <v>86</v>
      </c>
      <c r="BO41" s="236" t="s">
        <v>87</v>
      </c>
      <c r="BP41" s="238" t="s">
        <v>88</v>
      </c>
      <c r="BQ41" s="237" t="s">
        <v>85</v>
      </c>
      <c r="BR41" s="236" t="s">
        <v>86</v>
      </c>
      <c r="BS41" s="236" t="s">
        <v>87</v>
      </c>
      <c r="BT41" s="238" t="s">
        <v>88</v>
      </c>
      <c r="BU41" s="237" t="s">
        <v>85</v>
      </c>
      <c r="BV41" s="236" t="s">
        <v>86</v>
      </c>
      <c r="BW41" s="236" t="s">
        <v>87</v>
      </c>
      <c r="BX41" s="238" t="s">
        <v>88</v>
      </c>
      <c r="BY41" s="237" t="s">
        <v>85</v>
      </c>
      <c r="BZ41" s="236" t="s">
        <v>86</v>
      </c>
      <c r="CA41" s="236" t="s">
        <v>87</v>
      </c>
      <c r="CB41" s="238" t="s">
        <v>88</v>
      </c>
      <c r="CC41" s="237" t="s">
        <v>85</v>
      </c>
      <c r="CD41" s="236" t="s">
        <v>86</v>
      </c>
      <c r="CE41" s="236" t="s">
        <v>87</v>
      </c>
      <c r="CF41" s="238" t="s">
        <v>88</v>
      </c>
    </row>
    <row r="42" spans="1:84" s="242" customFormat="1" ht="12" x14ac:dyDescent="0.2">
      <c r="A42" s="239"/>
      <c r="B42" s="240"/>
      <c r="C42" s="240" t="s">
        <v>171</v>
      </c>
      <c r="D42" s="241">
        <f>+D43-'Inflation '!$G$45</f>
        <v>6.4509850009276359</v>
      </c>
      <c r="E42" s="241">
        <f>+E43-'Inflation '!$G$45</f>
        <v>7.2843183342609361</v>
      </c>
      <c r="F42" s="241">
        <f>+F43-'Inflation '!$G$45</f>
        <v>7.7009850009276359</v>
      </c>
      <c r="G42" s="241">
        <f>+G43-'Inflation '!$G$45</f>
        <v>8.7009850009276359</v>
      </c>
      <c r="H42" s="241">
        <f>+H43-'Inflation '!$G$45</f>
        <v>8.7009850009276359</v>
      </c>
      <c r="I42" s="241">
        <f>+I43-'Inflation '!$G$45</f>
        <v>8.7009850009276359</v>
      </c>
      <c r="J42" s="241">
        <f>+J43-'Inflation '!$G$45</f>
        <v>10.367651667594336</v>
      </c>
      <c r="K42" s="241">
        <f>+K43-'Inflation '!$G$45</f>
        <v>9.7009850009276359</v>
      </c>
      <c r="L42" s="241">
        <f>+L43-'Inflation '!$G$45</f>
        <v>10.117651667594336</v>
      </c>
      <c r="M42" s="241">
        <f>+M43-'Inflation '!$G$45</f>
        <v>10.450985000927636</v>
      </c>
      <c r="N42" s="241">
        <f>+N43-'Inflation '!$G$45</f>
        <v>10.450985000927636</v>
      </c>
      <c r="O42" s="241">
        <f>+O43-'Inflation '!$G$45</f>
        <v>10.450985000927636</v>
      </c>
      <c r="P42" s="241">
        <f>+P43-'Inflation '!$G$45</f>
        <v>9.4509850009276359</v>
      </c>
      <c r="Q42" s="241">
        <f>+Q43-'Inflation '!$G$45</f>
        <v>9.1176516675943358</v>
      </c>
      <c r="R42" s="241">
        <f>+R43-'Inflation '!$G$45</f>
        <v>9.7843183342609361</v>
      </c>
      <c r="S42" s="241">
        <f>+S43-'Inflation '!$G$45</f>
        <v>15.200985000927636</v>
      </c>
      <c r="T42" s="241">
        <f>+T43-'Inflation '!$G$45</f>
        <v>13.867651667594336</v>
      </c>
      <c r="U42" s="241">
        <f>+U43-'Inflation '!$G$45</f>
        <v>11.200985000927636</v>
      </c>
      <c r="V42" s="241">
        <f>+V43-'Inflation '!$G$45</f>
        <v>8.8676516675943358</v>
      </c>
      <c r="W42" s="241">
        <f>+W43-'Inflation '!$G$45</f>
        <v>7.0343183342609361</v>
      </c>
      <c r="X42" s="241">
        <f>+X43-'Inflation '!$G$45</f>
        <v>5.7009850009276359</v>
      </c>
      <c r="Y42" s="241">
        <f>+Y43-'Inflation '!$G$45</f>
        <v>4.7009850009276359</v>
      </c>
      <c r="Z42" s="241">
        <f>+Z43-'Inflation '!$G$45</f>
        <v>4.7009850009276359</v>
      </c>
      <c r="AA42" s="241">
        <f>+AA43-'Inflation '!$G$45</f>
        <v>4.7009850009276359</v>
      </c>
      <c r="AB42" s="241">
        <f>+AB43-'Inflation '!$G$45</f>
        <v>4.7009850009276359</v>
      </c>
      <c r="AC42" s="241">
        <f>+AC43-'Inflation '!$G$45</f>
        <v>4.7009850009276359</v>
      </c>
      <c r="AD42" s="241">
        <f>+AD43-'Inflation '!$G$45</f>
        <v>4.4509850009276359</v>
      </c>
      <c r="AE42" s="241">
        <f>+AE43-'Inflation '!$G$45</f>
        <v>3.5343183342609361</v>
      </c>
      <c r="AF42" s="241">
        <f>+AF43-'Inflation '!$G$45</f>
        <v>3.2009850009276359</v>
      </c>
      <c r="AG42" s="241">
        <f>+AG43-'Inflation '!$G$45</f>
        <v>4.5343183342609361</v>
      </c>
      <c r="AH42" s="241">
        <f>+AH43-'Inflation '!$G$45</f>
        <v>5.5343183342609361</v>
      </c>
      <c r="AI42" s="241">
        <f>+AI43-'Inflation '!$G$45</f>
        <v>6.5343183342609361</v>
      </c>
      <c r="AJ42" s="241">
        <f>+AJ43-'Inflation '!$G$45</f>
        <v>7.2009850009276359</v>
      </c>
      <c r="AK42" s="241">
        <f>+AK43-'Inflation '!$G$45</f>
        <v>7.2009850009276359</v>
      </c>
      <c r="AL42" s="241">
        <f>+AL43-'Inflation '!$G$45</f>
        <v>6.7009850009276359</v>
      </c>
      <c r="AM42" s="241">
        <f>+AM43-'Inflation '!$G$45</f>
        <v>4.7009850009276359</v>
      </c>
      <c r="AN42" s="241">
        <f>+AN43-'Inflation '!$G$45</f>
        <v>2.0343183342609361</v>
      </c>
      <c r="AO42" s="241">
        <f>+AO43-'Inflation '!$G$45</f>
        <v>1.7009850009276359</v>
      </c>
      <c r="AP42" s="241">
        <f>+AP43-'Inflation '!$G$45</f>
        <v>1.7009850009276359</v>
      </c>
      <c r="AQ42" s="241">
        <f>+AQ43-'Inflation '!$G$45</f>
        <v>1.3676516675943358</v>
      </c>
      <c r="AR42" s="241">
        <f>+AR43-'Inflation '!$G$45</f>
        <v>1.2009850009276359</v>
      </c>
      <c r="AS42" s="241">
        <f>+AS43-'Inflation '!$G$45</f>
        <v>1.2009850009276359</v>
      </c>
      <c r="AT42" s="241">
        <f>+AT43-'Inflation '!$G$45</f>
        <v>0.70098500092763594</v>
      </c>
      <c r="AU42" s="241">
        <f>+AU43-'Inflation '!$G$45</f>
        <v>0.70098500092763594</v>
      </c>
      <c r="AV42" s="241">
        <f>+AV43-'Inflation '!$G$45</f>
        <v>0.70098500092763594</v>
      </c>
      <c r="AW42" s="241">
        <f>+AW43-'Inflation '!$G$45</f>
        <v>0.70098500092763594</v>
      </c>
      <c r="AX42" s="241">
        <f>+AX43-'Inflation '!$G$45</f>
        <v>0.86765166759433576</v>
      </c>
      <c r="AY42" s="241">
        <f>+AY43-'Inflation '!$G$45</f>
        <v>1.5343183342609361</v>
      </c>
      <c r="AZ42" s="241">
        <f>+AZ43-'Inflation '!$G$45</f>
        <v>2.3676516675943358</v>
      </c>
      <c r="BA42" s="241">
        <f>+BA43-'Inflation '!$G$45</f>
        <v>2.7009850009276359</v>
      </c>
      <c r="BB42" s="241">
        <f>+BB43-'Inflation '!$G$45</f>
        <v>2.8676516675943358</v>
      </c>
      <c r="BC42" s="241">
        <f>+BC43-'Inflation '!$G$45</f>
        <v>3.5343183342609361</v>
      </c>
      <c r="BD42" s="241">
        <f>+BD43-'Inflation '!$G$45</f>
        <v>4.3676516675943358</v>
      </c>
      <c r="BE42" s="241">
        <f>+BE43-'Inflation '!$G$45</f>
        <v>4.7009850009276359</v>
      </c>
      <c r="BF42" s="241">
        <f>+BF43-'Inflation '!$G$45</f>
        <v>5.3676516675943358</v>
      </c>
      <c r="BG42" s="241">
        <f>+BG43-'Inflation '!$G$45</f>
        <v>5.7009850009276359</v>
      </c>
      <c r="BH42" s="241">
        <f>+BH43-'Inflation '!$G$45</f>
        <v>5.5343183342609361</v>
      </c>
      <c r="BI42" s="241">
        <f>+BI43-'Inflation '!$G$45</f>
        <v>4.2009850009276359</v>
      </c>
      <c r="BJ42" s="241">
        <f>+BJ43-'Inflation '!$G$45</f>
        <v>1.8676516675943358</v>
      </c>
      <c r="BK42" s="241">
        <f>+BK43-'Inflation '!$G$45</f>
        <v>0.86765166759433576</v>
      </c>
      <c r="BL42" s="241">
        <f>+BL43-'Inflation '!$G$45</f>
        <v>0.70098500092763594</v>
      </c>
      <c r="BM42" s="241">
        <f>+BM43-'Inflation '!$G$45</f>
        <v>0.53431833426093611</v>
      </c>
      <c r="BN42" s="241">
        <f>+BN43-'Inflation '!$G$45</f>
        <v>0.20098500092763594</v>
      </c>
      <c r="BO42" s="241">
        <f>+BO43-'Inflation '!$G$45</f>
        <v>3.431833426096631E-2</v>
      </c>
      <c r="BP42" s="241">
        <f>+BP43-'Inflation '!$G$45</f>
        <v>-0.63234833240569444</v>
      </c>
      <c r="BQ42" s="241">
        <f>+BQ43-'Inflation '!$G$45</f>
        <v>-0.79901499907236406</v>
      </c>
      <c r="BR42" s="241">
        <f>+BR43-'Inflation '!$G$45</f>
        <v>-0.79901499907236406</v>
      </c>
      <c r="BS42" s="241">
        <f>+BS43-'Inflation '!$G$45</f>
        <v>-0.79901499907236406</v>
      </c>
      <c r="BT42" s="241">
        <f>+BT43-'Inflation '!$G$45</f>
        <v>-0.79901499907236406</v>
      </c>
      <c r="BU42" s="241">
        <f>+BU43-'Inflation '!$G$45</f>
        <v>-0.79901499907236406</v>
      </c>
      <c r="BV42" s="241">
        <f>+BV43-'Inflation '!$G$45</f>
        <v>-0.79901499907236406</v>
      </c>
      <c r="BW42" s="241">
        <f>+BW43-'Inflation '!$G$45</f>
        <v>-1.2990149990723641</v>
      </c>
      <c r="BX42" s="241">
        <f>+BX43-'Inflation '!$G$45</f>
        <v>-1.2990149990723641</v>
      </c>
      <c r="BY42" s="241">
        <f>+BY43-'Inflation '!$G$45</f>
        <v>-1.2990149990723641</v>
      </c>
      <c r="BZ42" s="241">
        <f>+BZ43-'Inflation '!$G$45</f>
        <v>-1.2990149990723641</v>
      </c>
      <c r="CA42" s="241">
        <f>+CA43-'Inflation '!$G$45</f>
        <v>-1.2990149990723641</v>
      </c>
      <c r="CB42" s="241">
        <f>+CB43-'Inflation '!$G$45</f>
        <v>-1.2990149990723641</v>
      </c>
      <c r="CC42" s="241">
        <f>+CC43-'Inflation '!$G$45</f>
        <v>-0.79901499907236406</v>
      </c>
      <c r="CD42" s="241">
        <f>+CD43-'Inflation '!$G$45</f>
        <v>-0.79901499907236406</v>
      </c>
      <c r="CE42" s="241">
        <f>+CE43-'Inflation '!$G$45</f>
        <v>-0.54901499907236406</v>
      </c>
      <c r="CF42" s="241">
        <f>+CF43-'Inflation '!$G$45</f>
        <v>-0.54901499907236406</v>
      </c>
    </row>
    <row r="43" spans="1:84" s="242" customFormat="1" x14ac:dyDescent="0.25">
      <c r="A43" s="239"/>
      <c r="B43" s="240"/>
      <c r="C43" s="240" t="s">
        <v>172</v>
      </c>
      <c r="D43" s="96">
        <v>16.25</v>
      </c>
      <c r="E43" s="96">
        <v>17.0833333333333</v>
      </c>
      <c r="F43" s="96">
        <v>17.5</v>
      </c>
      <c r="G43" s="96">
        <v>18.5</v>
      </c>
      <c r="H43" s="96">
        <v>18.5</v>
      </c>
      <c r="I43" s="96">
        <v>18.5</v>
      </c>
      <c r="J43" s="96">
        <v>20.1666666666667</v>
      </c>
      <c r="K43" s="96">
        <v>19.5</v>
      </c>
      <c r="L43" s="96">
        <v>19.9166666666667</v>
      </c>
      <c r="M43" s="96">
        <v>20.25</v>
      </c>
      <c r="N43" s="96">
        <v>20.25</v>
      </c>
      <c r="O43" s="96">
        <v>20.25</v>
      </c>
      <c r="P43" s="96">
        <v>19.25</v>
      </c>
      <c r="Q43" s="96">
        <v>18.9166666666667</v>
      </c>
      <c r="R43" s="96">
        <v>19.5833333333333</v>
      </c>
      <c r="S43" s="96">
        <v>25</v>
      </c>
      <c r="T43" s="96">
        <v>23.6666666666667</v>
      </c>
      <c r="U43" s="96">
        <v>21</v>
      </c>
      <c r="V43" s="96">
        <v>18.6666666666667</v>
      </c>
      <c r="W43" s="96">
        <v>16.8333333333333</v>
      </c>
      <c r="X43" s="96">
        <v>15.5</v>
      </c>
      <c r="Y43" s="96">
        <v>14.5</v>
      </c>
      <c r="Z43" s="96">
        <v>14.5</v>
      </c>
      <c r="AA43" s="96">
        <v>14.5</v>
      </c>
      <c r="AB43" s="96">
        <v>14.5</v>
      </c>
      <c r="AC43" s="96">
        <v>14.5</v>
      </c>
      <c r="AD43" s="96">
        <v>14.25</v>
      </c>
      <c r="AE43" s="96">
        <v>13.3333333333333</v>
      </c>
      <c r="AF43" s="96">
        <v>13</v>
      </c>
      <c r="AG43" s="96">
        <v>14.3333333333333</v>
      </c>
      <c r="AH43" s="96">
        <v>15.3333333333333</v>
      </c>
      <c r="AI43" s="96">
        <v>16.3333333333333</v>
      </c>
      <c r="AJ43" s="96">
        <v>17</v>
      </c>
      <c r="AK43" s="96">
        <v>17</v>
      </c>
      <c r="AL43" s="96">
        <v>16.5</v>
      </c>
      <c r="AM43" s="96">
        <v>14.5</v>
      </c>
      <c r="AN43" s="96">
        <v>11.8333333333333</v>
      </c>
      <c r="AO43" s="96">
        <v>11.5</v>
      </c>
      <c r="AP43" s="96">
        <v>11.5</v>
      </c>
      <c r="AQ43" s="96">
        <v>11.1666666666667</v>
      </c>
      <c r="AR43" s="96">
        <v>11</v>
      </c>
      <c r="AS43" s="96">
        <v>11</v>
      </c>
      <c r="AT43" s="96">
        <v>10.5</v>
      </c>
      <c r="AU43" s="96">
        <v>10.5</v>
      </c>
      <c r="AV43" s="96">
        <v>10.5</v>
      </c>
      <c r="AW43" s="96">
        <v>10.5</v>
      </c>
      <c r="AX43" s="96">
        <v>10.6666666666667</v>
      </c>
      <c r="AY43" s="96">
        <v>11.3333333333333</v>
      </c>
      <c r="AZ43" s="96">
        <v>12.1666666666667</v>
      </c>
      <c r="BA43" s="96">
        <v>12.5</v>
      </c>
      <c r="BB43" s="96">
        <v>12.6666666666667</v>
      </c>
      <c r="BC43" s="96">
        <v>13.3333333333333</v>
      </c>
      <c r="BD43" s="96">
        <v>14.1666666666667</v>
      </c>
      <c r="BE43" s="96">
        <v>14.5</v>
      </c>
      <c r="BF43" s="96">
        <v>15.1666666666667</v>
      </c>
      <c r="BG43" s="96">
        <v>15.5</v>
      </c>
      <c r="BH43" s="96">
        <v>15.3333333333333</v>
      </c>
      <c r="BI43" s="96">
        <v>14</v>
      </c>
      <c r="BJ43" s="96">
        <v>11.6666666666667</v>
      </c>
      <c r="BK43" s="96">
        <v>10.6666666666667</v>
      </c>
      <c r="BL43" s="96">
        <v>10.5</v>
      </c>
      <c r="BM43" s="96">
        <v>10.3333333333333</v>
      </c>
      <c r="BN43" s="96">
        <v>10</v>
      </c>
      <c r="BO43" s="96">
        <v>9.8333333333333304</v>
      </c>
      <c r="BP43" s="96">
        <v>9.1666666666666696</v>
      </c>
      <c r="BQ43" s="96">
        <v>9</v>
      </c>
      <c r="BR43" s="96">
        <v>9</v>
      </c>
      <c r="BS43" s="96">
        <v>9</v>
      </c>
      <c r="BT43" s="96">
        <v>9</v>
      </c>
      <c r="BU43" s="96">
        <v>9</v>
      </c>
      <c r="BV43" s="96">
        <v>9</v>
      </c>
      <c r="BW43" s="96">
        <v>8.5</v>
      </c>
      <c r="BX43" s="96">
        <v>8.5</v>
      </c>
      <c r="BY43" s="96">
        <v>8.5</v>
      </c>
      <c r="BZ43" s="96">
        <v>8.5</v>
      </c>
      <c r="CA43" s="96">
        <v>8.5</v>
      </c>
      <c r="CB43" s="96">
        <v>8.5</v>
      </c>
      <c r="CC43" s="96">
        <v>9</v>
      </c>
      <c r="CD43" s="96">
        <v>9</v>
      </c>
      <c r="CE43" s="96">
        <v>9.25</v>
      </c>
      <c r="CF43" s="96">
        <v>9.25</v>
      </c>
    </row>
    <row r="44" spans="1:84" s="242" customFormat="1" ht="12" x14ac:dyDescent="0.2">
      <c r="A44" s="239"/>
      <c r="B44" s="240" t="s">
        <v>173</v>
      </c>
      <c r="C44" s="240"/>
      <c r="D44" s="241"/>
      <c r="E44" s="243">
        <f>+AVERAGE(E42:H42)</f>
        <v>8.096818334260961</v>
      </c>
      <c r="H44" s="244"/>
      <c r="I44" s="243">
        <f>+AVERAGE(I42:L42)</f>
        <v>9.7218183342609858</v>
      </c>
      <c r="L44" s="244"/>
      <c r="M44" s="243">
        <f>+AVERAGE(M42:P42)</f>
        <v>10.200985000927636</v>
      </c>
      <c r="P44" s="244"/>
      <c r="Q44" s="243">
        <f>+AVERAGE(Q42:T42)</f>
        <v>11.992651667594311</v>
      </c>
      <c r="T44" s="244"/>
      <c r="U44" s="243">
        <f>+AVERAGE(U42:X42)</f>
        <v>8.2009850009276359</v>
      </c>
      <c r="X44" s="244"/>
      <c r="Y44" s="243">
        <f>+AVERAGE(Y42:AB42)</f>
        <v>4.7009850009276359</v>
      </c>
      <c r="AB44" s="244"/>
      <c r="AC44" s="243">
        <f>+AVERAGE(AC42:AF42)</f>
        <v>3.971818334260961</v>
      </c>
      <c r="AF44" s="244"/>
      <c r="AG44" s="243">
        <f>+AVERAGE(AG42:AJ42)</f>
        <v>5.9509850009276111</v>
      </c>
      <c r="AJ44" s="244"/>
      <c r="AK44" s="243">
        <f>+AVERAGE(AK42:AN42)</f>
        <v>5.159318334260961</v>
      </c>
      <c r="AN44" s="244"/>
      <c r="AO44" s="243">
        <f>+AVERAGE(AO42:AR42)</f>
        <v>1.4926516675943109</v>
      </c>
      <c r="AR44" s="244"/>
      <c r="AS44" s="243">
        <f>+AVERAGE(AS42:AV42)</f>
        <v>0.82598500092763594</v>
      </c>
      <c r="AV44" s="244"/>
      <c r="AW44" s="243">
        <f>+AVERAGE(AW42:AZ42)</f>
        <v>1.3676516675943109</v>
      </c>
      <c r="AZ44" s="244"/>
      <c r="BA44" s="243">
        <f>+AVERAGE(BA42:BD42)</f>
        <v>3.3676516675943109</v>
      </c>
      <c r="BD44" s="244"/>
      <c r="BE44" s="243">
        <f>+AVERAGE(BE42:BH42)</f>
        <v>5.3259850009276359</v>
      </c>
      <c r="BH44" s="244"/>
      <c r="BI44" s="243">
        <f>+AVERAGE(BI42:BL42)</f>
        <v>1.9093183342609858</v>
      </c>
      <c r="BL44" s="244"/>
      <c r="BM44" s="243">
        <f>+AVERAGE(BM42:BP42)</f>
        <v>3.4318334260960981E-2</v>
      </c>
      <c r="BP44" s="244"/>
      <c r="BQ44" s="243">
        <f>+AVERAGE(BQ42:BT42)</f>
        <v>-0.79901499907236406</v>
      </c>
      <c r="BT44" s="244"/>
      <c r="BU44" s="243">
        <f>+AVERAGE(BU42:BX42)</f>
        <v>-1.0490149990723641</v>
      </c>
      <c r="BX44" s="244"/>
      <c r="BY44" s="243">
        <f>+AVERAGE(BY42:CC42)</f>
        <v>-1.199014999072364</v>
      </c>
      <c r="CB44" s="244"/>
      <c r="CC44" s="243"/>
    </row>
    <row r="45" spans="1:84" s="242" customFormat="1" ht="12" x14ac:dyDescent="0.2">
      <c r="A45" s="239"/>
      <c r="B45" s="240" t="s">
        <v>174</v>
      </c>
      <c r="C45" s="240"/>
      <c r="D45" s="245"/>
      <c r="E45" s="246">
        <f>AVERAGE(E43:H43)</f>
        <v>17.895833333333325</v>
      </c>
      <c r="F45" s="247"/>
      <c r="G45" s="247"/>
      <c r="H45" s="248"/>
      <c r="I45" s="246">
        <f>AVERAGE(I43:L43)</f>
        <v>19.52083333333335</v>
      </c>
      <c r="J45" s="247"/>
      <c r="K45" s="247"/>
      <c r="L45" s="248"/>
      <c r="M45" s="246">
        <f>AVERAGE(M43:P43)</f>
        <v>20</v>
      </c>
      <c r="N45" s="247"/>
      <c r="O45" s="247"/>
      <c r="P45" s="248"/>
      <c r="Q45" s="246">
        <f>AVERAGE(Q43:T43)</f>
        <v>21.791666666666675</v>
      </c>
      <c r="R45" s="247"/>
      <c r="S45" s="247"/>
      <c r="T45" s="248"/>
      <c r="U45" s="246">
        <f>AVERAGE(U43:X43)</f>
        <v>18</v>
      </c>
      <c r="V45" s="247"/>
      <c r="W45" s="247"/>
      <c r="X45" s="248"/>
      <c r="Y45" s="246">
        <f>AVERAGE(Y43:AB43)</f>
        <v>14.5</v>
      </c>
      <c r="Z45" s="247"/>
      <c r="AA45" s="247"/>
      <c r="AB45" s="248"/>
      <c r="AC45" s="246">
        <f>AVERAGE(AC43:AF43)</f>
        <v>13.770833333333325</v>
      </c>
      <c r="AD45" s="247"/>
      <c r="AE45" s="247"/>
      <c r="AF45" s="248"/>
      <c r="AG45" s="246">
        <f>AVERAGE(AG43:AJ43)</f>
        <v>15.749999999999975</v>
      </c>
      <c r="AH45" s="247"/>
      <c r="AI45" s="247"/>
      <c r="AJ45" s="248"/>
      <c r="AK45" s="246">
        <f>AVERAGE(AK43:AN43)</f>
        <v>14.958333333333325</v>
      </c>
      <c r="AL45" s="247"/>
      <c r="AM45" s="247"/>
      <c r="AN45" s="248"/>
      <c r="AO45" s="246">
        <f>AVERAGE(AO43:AR43)</f>
        <v>11.291666666666675</v>
      </c>
      <c r="AP45" s="247"/>
      <c r="AQ45" s="247"/>
      <c r="AR45" s="248"/>
      <c r="AS45" s="246">
        <f>AVERAGE(AS43:AV43)</f>
        <v>10.625</v>
      </c>
      <c r="AT45" s="247"/>
      <c r="AU45" s="247"/>
      <c r="AV45" s="248"/>
      <c r="AW45" s="246">
        <f>AVERAGE(AW43:AZ43)</f>
        <v>11.166666666666675</v>
      </c>
      <c r="AX45" s="247"/>
      <c r="AY45" s="247"/>
      <c r="AZ45" s="248"/>
      <c r="BA45" s="246">
        <f>AVERAGE(BA43:BD43)</f>
        <v>13.166666666666675</v>
      </c>
      <c r="BB45" s="247"/>
      <c r="BC45" s="247"/>
      <c r="BD45" s="248"/>
      <c r="BE45" s="246">
        <f>AVERAGE(BE43:BH43)</f>
        <v>15.125</v>
      </c>
      <c r="BF45" s="247"/>
      <c r="BG45" s="247"/>
      <c r="BH45" s="248"/>
      <c r="BI45" s="246">
        <f>AVERAGE(BI43:BL43)</f>
        <v>11.70833333333335</v>
      </c>
      <c r="BJ45" s="247"/>
      <c r="BK45" s="247"/>
      <c r="BL45" s="248"/>
      <c r="BM45" s="246">
        <f>AVERAGE(BM43:BP43)</f>
        <v>9.833333333333325</v>
      </c>
      <c r="BN45" s="247"/>
      <c r="BO45" s="247"/>
      <c r="BP45" s="248"/>
      <c r="BQ45" s="246">
        <f>AVERAGE(BQ43:BT43)</f>
        <v>9</v>
      </c>
      <c r="BR45" s="247"/>
      <c r="BS45" s="247"/>
      <c r="BT45" s="248"/>
      <c r="BU45" s="246">
        <f>AVERAGE(BU43:BX43)</f>
        <v>8.75</v>
      </c>
      <c r="BV45" s="247"/>
      <c r="BW45" s="247"/>
      <c r="BX45" s="248"/>
      <c r="BY45" s="246">
        <f>AVERAGE(BY43:CC43)</f>
        <v>8.6</v>
      </c>
      <c r="BZ45" s="247"/>
      <c r="CA45" s="247"/>
      <c r="CB45" s="248"/>
      <c r="CC45" s="246"/>
      <c r="CD45" s="247"/>
    </row>
    <row r="46" spans="1:84" hidden="1" x14ac:dyDescent="0.25">
      <c r="E46" s="96"/>
      <c r="AJ46" s="96"/>
    </row>
    <row r="47" spans="1:84" hidden="1" x14ac:dyDescent="0.25">
      <c r="C47" s="111" t="s">
        <v>175</v>
      </c>
      <c r="D47" s="96">
        <f>+D48-D49</f>
        <v>6.4509850009276359</v>
      </c>
      <c r="E47" s="134">
        <f>+E48-E49</f>
        <v>7.1239891080250146</v>
      </c>
      <c r="F47" s="134">
        <f t="shared" ref="F47:BQ47" si="0">+F48-F49</f>
        <v>6.8478391161142795</v>
      </c>
      <c r="G47" s="134">
        <f t="shared" si="0"/>
        <v>10.773450474306951</v>
      </c>
      <c r="H47" s="134">
        <f t="shared" si="0"/>
        <v>11.938263767023022</v>
      </c>
      <c r="I47" s="134">
        <f t="shared" si="0"/>
        <v>11.991432032616251</v>
      </c>
      <c r="J47" s="134">
        <f t="shared" si="0"/>
        <v>14.086189240980008</v>
      </c>
      <c r="K47" s="134">
        <f t="shared" si="0"/>
        <v>11.870877161233466</v>
      </c>
      <c r="L47" s="134">
        <f t="shared" si="0"/>
        <v>10.771544737102118</v>
      </c>
      <c r="M47" s="134">
        <f t="shared" si="0"/>
        <v>10.63922593732801</v>
      </c>
      <c r="N47" s="134">
        <f t="shared" si="0"/>
        <v>10.871091374793394</v>
      </c>
      <c r="O47" s="134">
        <f t="shared" si="0"/>
        <v>11.633676573669126</v>
      </c>
      <c r="P47" s="134">
        <f t="shared" si="0"/>
        <v>12.368337988683052</v>
      </c>
      <c r="Q47" s="134">
        <f t="shared" si="0"/>
        <v>13.422184531978372</v>
      </c>
      <c r="R47" s="134">
        <f t="shared" si="0"/>
        <v>14.462249574469169</v>
      </c>
      <c r="S47" s="134">
        <f t="shared" si="0"/>
        <v>17.262676476109128</v>
      </c>
      <c r="T47" s="134">
        <f t="shared" si="0"/>
        <v>14.586242071162033</v>
      </c>
      <c r="U47" s="134">
        <f t="shared" si="0"/>
        <v>12.537047448994201</v>
      </c>
      <c r="V47" s="134">
        <f t="shared" si="0"/>
        <v>11.377854220174811</v>
      </c>
      <c r="W47" s="134">
        <f t="shared" si="0"/>
        <v>13.496167572359585</v>
      </c>
      <c r="X47" s="134">
        <f t="shared" si="0"/>
        <v>13.542160928992828</v>
      </c>
      <c r="Y47" s="134">
        <f t="shared" si="0"/>
        <v>11.709663540347568</v>
      </c>
      <c r="Z47" s="134">
        <f t="shared" si="0"/>
        <v>9.5723202503422016</v>
      </c>
      <c r="AA47" s="134">
        <f t="shared" si="0"/>
        <v>7.9014035758369943</v>
      </c>
      <c r="AB47" s="134">
        <f t="shared" si="0"/>
        <v>7.4868263967846831</v>
      </c>
      <c r="AC47" s="134">
        <f t="shared" si="0"/>
        <v>7.07940079878344</v>
      </c>
      <c r="AD47" s="134">
        <f t="shared" si="0"/>
        <v>7.8427974211818725</v>
      </c>
      <c r="AE47" s="134">
        <f t="shared" si="0"/>
        <v>8.5587604814998084</v>
      </c>
      <c r="AF47" s="134">
        <f t="shared" si="0"/>
        <v>8.6947899265363269</v>
      </c>
      <c r="AG47" s="134">
        <f t="shared" si="0"/>
        <v>8.6393523511654102</v>
      </c>
      <c r="AH47" s="134">
        <f t="shared" si="0"/>
        <v>7.6095325214104017</v>
      </c>
      <c r="AI47" s="134">
        <f t="shared" si="0"/>
        <v>5.9311525360954302</v>
      </c>
      <c r="AJ47" s="134">
        <f t="shared" si="0"/>
        <v>4.2473872512382833</v>
      </c>
      <c r="AK47" s="134">
        <f t="shared" si="0"/>
        <v>5.7018447345683025</v>
      </c>
      <c r="AL47" s="134">
        <f t="shared" si="0"/>
        <v>8.2118421589336652</v>
      </c>
      <c r="AM47" s="134">
        <f t="shared" si="0"/>
        <v>10.134487299026372</v>
      </c>
      <c r="AN47" s="134">
        <f t="shared" si="0"/>
        <v>12.781046047660965</v>
      </c>
      <c r="AO47" s="134">
        <f t="shared" si="0"/>
        <v>13.555378051604428</v>
      </c>
      <c r="AP47" s="134">
        <f t="shared" si="0"/>
        <v>13.524888820132409</v>
      </c>
      <c r="AQ47" s="134">
        <f t="shared" si="0"/>
        <v>12.174726293294299</v>
      </c>
      <c r="AR47" s="134">
        <f t="shared" si="0"/>
        <v>9.3740097745964945</v>
      </c>
      <c r="AS47" s="134">
        <f t="shared" si="0"/>
        <v>9.024961214313965</v>
      </c>
      <c r="AT47" s="134">
        <f t="shared" si="0"/>
        <v>8.5398884018697458</v>
      </c>
      <c r="AU47" s="134">
        <f t="shared" si="0"/>
        <v>8.0859342450643865</v>
      </c>
      <c r="AV47" s="134">
        <f t="shared" si="0"/>
        <v>8.396148095025449</v>
      </c>
      <c r="AW47" s="134">
        <f t="shared" si="0"/>
        <v>8.4624867597630455</v>
      </c>
      <c r="AX47" s="134">
        <f t="shared" si="0"/>
        <v>8.192506472381087</v>
      </c>
      <c r="AY47" s="134">
        <f t="shared" si="0"/>
        <v>7.6218254933868295</v>
      </c>
      <c r="AZ47" s="134">
        <f t="shared" si="0"/>
        <v>7.6545758129783668</v>
      </c>
      <c r="BA47" s="134">
        <f t="shared" si="0"/>
        <v>7.4116115587464337</v>
      </c>
      <c r="BB47" s="134">
        <f t="shared" si="0"/>
        <v>6.7279602613528349</v>
      </c>
      <c r="BC47" s="134">
        <f t="shared" si="0"/>
        <v>7.1582525732056066</v>
      </c>
      <c r="BD47" s="134">
        <f t="shared" si="0"/>
        <v>7.0501091978256882</v>
      </c>
      <c r="BE47" s="134">
        <f t="shared" si="0"/>
        <v>6.1087140639024078</v>
      </c>
      <c r="BF47" s="134">
        <f t="shared" si="0"/>
        <v>5.2145769480943684</v>
      </c>
      <c r="BG47" s="134">
        <f t="shared" si="0"/>
        <v>4.0391896082696981</v>
      </c>
      <c r="BH47" s="134">
        <f t="shared" si="0"/>
        <v>5.4777893035133367</v>
      </c>
      <c r="BI47" s="134">
        <f t="shared" si="0"/>
        <v>5.622807017543817</v>
      </c>
      <c r="BJ47" s="134">
        <f t="shared" si="0"/>
        <v>3.8955308852833683</v>
      </c>
      <c r="BK47" s="134">
        <f t="shared" si="0"/>
        <v>4.2484472049689392</v>
      </c>
      <c r="BL47" s="134">
        <f t="shared" si="0"/>
        <v>4.4194741166802682</v>
      </c>
      <c r="BM47" s="134">
        <f t="shared" si="0"/>
        <v>4.6676109537298673</v>
      </c>
      <c r="BN47" s="134">
        <f t="shared" si="0"/>
        <v>5.4833597464342265</v>
      </c>
      <c r="BO47" s="134">
        <f t="shared" si="0"/>
        <v>6.3702983138781564</v>
      </c>
      <c r="BP47" s="134">
        <f t="shared" si="0"/>
        <v>5.7197263103537033</v>
      </c>
      <c r="BQ47" s="134">
        <f t="shared" si="0"/>
        <v>5.1700497893527739</v>
      </c>
      <c r="BR47" s="134">
        <f t="shared" ref="BR47:CC47" si="1">+BR48-BR49</f>
        <v>4.375284306292607</v>
      </c>
      <c r="BS47" s="134">
        <f t="shared" si="1"/>
        <v>3.5468221135765674</v>
      </c>
      <c r="BT47" s="134">
        <f t="shared" si="1"/>
        <v>2.9348558592288718</v>
      </c>
      <c r="BU47" s="134">
        <f t="shared" si="1"/>
        <v>2.8767982294356651</v>
      </c>
      <c r="BV47" s="134">
        <f t="shared" si="1"/>
        <v>3.2391304347826031</v>
      </c>
      <c r="BW47" s="134">
        <f t="shared" si="1"/>
        <v>3.4001426533523151</v>
      </c>
      <c r="BX47" s="134">
        <f t="shared" si="1"/>
        <v>2.8522767384397332</v>
      </c>
      <c r="BY47" s="134">
        <f>+BY48-BY49</f>
        <v>2.7996176572815425</v>
      </c>
      <c r="BZ47" s="134">
        <f>+BZ48-BZ49</f>
        <v>2.8473792394655675</v>
      </c>
      <c r="CA47" s="134">
        <f>+CA48-CA49</f>
        <v>2.2563624024427833</v>
      </c>
      <c r="CB47" s="134">
        <f>+CB48-CB49</f>
        <v>3.0873705312392454</v>
      </c>
      <c r="CC47" s="134">
        <f t="shared" si="1"/>
        <v>3.0808944426175797</v>
      </c>
    </row>
    <row r="48" spans="1:84" s="242" customFormat="1" ht="12" hidden="1" x14ac:dyDescent="0.2">
      <c r="A48" s="239"/>
      <c r="B48" s="240"/>
      <c r="C48" s="240" t="s">
        <v>176</v>
      </c>
      <c r="D48" s="249">
        <v>16.25</v>
      </c>
      <c r="E48" s="250">
        <v>17.0833333333333</v>
      </c>
      <c r="F48" s="249">
        <v>17.5</v>
      </c>
      <c r="G48" s="249">
        <v>18.5</v>
      </c>
      <c r="H48" s="251">
        <v>18.5</v>
      </c>
      <c r="I48" s="250">
        <v>18.5</v>
      </c>
      <c r="J48" s="249">
        <v>20.1666666666667</v>
      </c>
      <c r="K48" s="249">
        <v>19.5</v>
      </c>
      <c r="L48" s="251">
        <v>19.9166666666667</v>
      </c>
      <c r="M48" s="250">
        <v>20.25</v>
      </c>
      <c r="N48" s="249">
        <v>20.25</v>
      </c>
      <c r="O48" s="249">
        <v>20.25</v>
      </c>
      <c r="P48" s="251">
        <v>19.25</v>
      </c>
      <c r="Q48" s="250">
        <v>18.9166666666667</v>
      </c>
      <c r="R48" s="249">
        <v>19.5833333333333</v>
      </c>
      <c r="S48" s="249">
        <v>25</v>
      </c>
      <c r="T48" s="251">
        <v>23.6666666666667</v>
      </c>
      <c r="U48" s="250">
        <v>21</v>
      </c>
      <c r="V48" s="249">
        <v>18.6666666666667</v>
      </c>
      <c r="W48" s="249">
        <v>16.8333333333333</v>
      </c>
      <c r="X48" s="251">
        <v>15.5</v>
      </c>
      <c r="Y48" s="250">
        <v>14.5</v>
      </c>
      <c r="Z48" s="249">
        <v>14.5</v>
      </c>
      <c r="AA48" s="249">
        <v>14.5</v>
      </c>
      <c r="AB48" s="251">
        <v>14.5</v>
      </c>
      <c r="AC48" s="250">
        <v>14.5</v>
      </c>
      <c r="AD48" s="249">
        <v>14.25</v>
      </c>
      <c r="AE48" s="249">
        <v>13.3333333333333</v>
      </c>
      <c r="AF48" s="251">
        <v>13</v>
      </c>
      <c r="AG48" s="250">
        <v>14.3333333333333</v>
      </c>
      <c r="AH48" s="249">
        <v>15.3333333333333</v>
      </c>
      <c r="AI48" s="249">
        <v>16.3333333333333</v>
      </c>
      <c r="AJ48" s="251">
        <v>17</v>
      </c>
      <c r="AK48" s="250">
        <v>17</v>
      </c>
      <c r="AL48" s="249">
        <v>16.5</v>
      </c>
      <c r="AM48" s="249">
        <v>14.5</v>
      </c>
      <c r="AN48" s="251">
        <v>11.8333333333333</v>
      </c>
      <c r="AO48" s="250">
        <v>11.5</v>
      </c>
      <c r="AP48" s="249">
        <v>11.5</v>
      </c>
      <c r="AQ48" s="249">
        <v>11.1666666666667</v>
      </c>
      <c r="AR48" s="251">
        <v>11</v>
      </c>
      <c r="AS48" s="250">
        <v>11</v>
      </c>
      <c r="AT48" s="249">
        <v>10.5</v>
      </c>
      <c r="AU48" s="249">
        <v>10.5</v>
      </c>
      <c r="AV48" s="251">
        <v>10.5</v>
      </c>
      <c r="AW48" s="250">
        <v>10.5</v>
      </c>
      <c r="AX48" s="249">
        <v>10.6666666666667</v>
      </c>
      <c r="AY48" s="249">
        <v>11.3333333333333</v>
      </c>
      <c r="AZ48" s="251">
        <v>12.1666666666667</v>
      </c>
      <c r="BA48" s="250">
        <v>12.5</v>
      </c>
      <c r="BB48" s="249">
        <v>12.6666666666667</v>
      </c>
      <c r="BC48" s="249">
        <v>13.3333333333333</v>
      </c>
      <c r="BD48" s="251">
        <v>14.1666666666667</v>
      </c>
      <c r="BE48" s="250">
        <v>14.5</v>
      </c>
      <c r="BF48" s="249">
        <v>15.1666666666667</v>
      </c>
      <c r="BG48" s="249">
        <v>15.5</v>
      </c>
      <c r="BH48" s="251">
        <v>15.3333333333333</v>
      </c>
      <c r="BI48" s="250">
        <v>14</v>
      </c>
      <c r="BJ48" s="249">
        <v>11.6666666666667</v>
      </c>
      <c r="BK48" s="249">
        <v>10.6666666666667</v>
      </c>
      <c r="BL48" s="251">
        <v>10.5</v>
      </c>
      <c r="BM48" s="250">
        <v>10.3333333333333</v>
      </c>
      <c r="BN48" s="249">
        <v>10</v>
      </c>
      <c r="BO48" s="249">
        <v>9.8333333333333304</v>
      </c>
      <c r="BP48" s="251">
        <v>9.1666666666666696</v>
      </c>
      <c r="BQ48" s="250">
        <v>9</v>
      </c>
      <c r="BR48" s="249">
        <v>9</v>
      </c>
      <c r="BS48" s="249">
        <v>9</v>
      </c>
      <c r="BT48" s="251">
        <v>9</v>
      </c>
      <c r="BU48" s="250">
        <v>9</v>
      </c>
      <c r="BV48" s="249">
        <v>9</v>
      </c>
      <c r="BW48" s="249">
        <v>8.5</v>
      </c>
      <c r="BX48" s="251">
        <v>8.5</v>
      </c>
      <c r="BY48" s="242">
        <v>8.5</v>
      </c>
      <c r="BZ48" s="242">
        <v>8.5</v>
      </c>
      <c r="CA48" s="242">
        <v>8.5</v>
      </c>
      <c r="CB48" s="242">
        <v>8.5</v>
      </c>
      <c r="CC48" s="242">
        <v>9</v>
      </c>
    </row>
    <row r="49" spans="3:81" hidden="1" x14ac:dyDescent="0.25">
      <c r="C49" s="111" t="s">
        <v>177</v>
      </c>
      <c r="D49" s="2746">
        <v>9.7990149990723641</v>
      </c>
      <c r="E49" s="2745">
        <v>9.9593442253082856</v>
      </c>
      <c r="F49" s="68">
        <v>10.65216088388572</v>
      </c>
      <c r="G49" s="68">
        <v>7.7265495256930494</v>
      </c>
      <c r="H49" s="2746">
        <v>6.5617362329769779</v>
      </c>
      <c r="I49" s="2745">
        <v>6.5085679673837493</v>
      </c>
      <c r="J49" s="68">
        <v>6.0804774256866922</v>
      </c>
      <c r="K49" s="68">
        <v>7.6291228387665333</v>
      </c>
      <c r="L49" s="2746">
        <v>9.1451219295645814</v>
      </c>
      <c r="M49" s="2745">
        <v>9.6107740626719895</v>
      </c>
      <c r="N49" s="68">
        <v>9.3789086252066056</v>
      </c>
      <c r="O49" s="68">
        <v>8.6163234263308741</v>
      </c>
      <c r="P49" s="2746">
        <v>6.8816620113169469</v>
      </c>
      <c r="Q49" s="2745">
        <v>5.4944821346883277</v>
      </c>
      <c r="R49" s="68">
        <v>5.1210837588641311</v>
      </c>
      <c r="S49" s="68">
        <v>7.7373235238908711</v>
      </c>
      <c r="T49" s="2746">
        <v>9.0804245955046667</v>
      </c>
      <c r="U49" s="2745">
        <v>8.4629525510057988</v>
      </c>
      <c r="V49" s="68">
        <v>7.288812446491888</v>
      </c>
      <c r="W49" s="68">
        <v>3.3371657609737149</v>
      </c>
      <c r="X49" s="2746">
        <v>1.9578390710071725</v>
      </c>
      <c r="Y49" s="2745">
        <v>2.7903364596524316</v>
      </c>
      <c r="Z49" s="68">
        <v>4.9276797496577984</v>
      </c>
      <c r="AA49" s="68">
        <v>6.5985964241630057</v>
      </c>
      <c r="AB49" s="2746">
        <v>7.0131736032153169</v>
      </c>
      <c r="AC49" s="2745">
        <v>7.42059920121656</v>
      </c>
      <c r="AD49" s="68">
        <v>6.4072025788181275</v>
      </c>
      <c r="AE49" s="68">
        <v>4.7745728518334918</v>
      </c>
      <c r="AF49" s="2746">
        <v>4.3052100734636722</v>
      </c>
      <c r="AG49" s="2745">
        <v>5.6939809821678899</v>
      </c>
      <c r="AH49" s="68">
        <v>7.7238008119228985</v>
      </c>
      <c r="AI49" s="68">
        <v>10.40218079723787</v>
      </c>
      <c r="AJ49" s="2746">
        <v>12.752612748761717</v>
      </c>
      <c r="AK49" s="2745">
        <v>11.298155265431697</v>
      </c>
      <c r="AL49" s="68">
        <v>8.2881578410663348</v>
      </c>
      <c r="AM49" s="68">
        <v>4.3655127009736283</v>
      </c>
      <c r="AN49" s="2746">
        <v>-0.94771271432766424</v>
      </c>
      <c r="AO49" s="2745">
        <v>-2.0553780516044284</v>
      </c>
      <c r="AP49" s="68">
        <v>-2.0248888201324089</v>
      </c>
      <c r="AQ49" s="68">
        <v>-1.0080596266275998</v>
      </c>
      <c r="AR49" s="2746">
        <v>1.6259902254035064</v>
      </c>
      <c r="AS49" s="2745">
        <v>1.9750387856860341</v>
      </c>
      <c r="AT49" s="68">
        <v>1.9601115981302542</v>
      </c>
      <c r="AU49" s="68">
        <v>2.4140657549356126</v>
      </c>
      <c r="AV49" s="2746">
        <v>2.1038519049745519</v>
      </c>
      <c r="AW49" s="2745">
        <v>2.0375132402369545</v>
      </c>
      <c r="AX49" s="68">
        <v>2.4741601942856128</v>
      </c>
      <c r="AY49" s="68">
        <v>3.7115078399464707</v>
      </c>
      <c r="AZ49" s="2746">
        <v>4.5120908536883331</v>
      </c>
      <c r="BA49" s="2745">
        <v>5.0883884412535663</v>
      </c>
      <c r="BB49" s="68">
        <v>5.938706405313865</v>
      </c>
      <c r="BC49" s="68">
        <v>6.1750807601276936</v>
      </c>
      <c r="BD49" s="2746">
        <v>7.1165574688410116</v>
      </c>
      <c r="BE49" s="2745">
        <v>8.3912859360975922</v>
      </c>
      <c r="BF49" s="68">
        <v>9.9520897185723314</v>
      </c>
      <c r="BG49" s="68">
        <v>11.460810391730302</v>
      </c>
      <c r="BH49" s="2746">
        <v>9.8555440298199635</v>
      </c>
      <c r="BI49" s="2745">
        <v>8.377192982456183</v>
      </c>
      <c r="BJ49" s="68">
        <v>7.7711357813833315</v>
      </c>
      <c r="BK49" s="68">
        <v>6.4182194616977606</v>
      </c>
      <c r="BL49" s="2746">
        <v>6.0805258833197318</v>
      </c>
      <c r="BM49" s="2745">
        <v>5.6657223796034328</v>
      </c>
      <c r="BN49" s="68">
        <v>4.5166402535657735</v>
      </c>
      <c r="BO49" s="68">
        <v>3.463035019455174</v>
      </c>
      <c r="BP49" s="2746">
        <v>3.4469403563129664</v>
      </c>
      <c r="BQ49" s="2751">
        <v>3.8299502106472261</v>
      </c>
      <c r="BR49" s="2752">
        <v>4.624715693707393</v>
      </c>
      <c r="BS49" s="96">
        <v>5.4531778864234326</v>
      </c>
      <c r="BT49" s="2753">
        <v>6.0651441407711282</v>
      </c>
      <c r="BU49" s="2752">
        <v>6.1232017705643349</v>
      </c>
      <c r="BV49" s="2752">
        <v>5.7608695652173969</v>
      </c>
      <c r="BW49" s="96">
        <v>5.0998573466476849</v>
      </c>
      <c r="BX49" s="2753">
        <v>5.6477232615602668</v>
      </c>
      <c r="BY49" s="96">
        <v>5.7003823427184575</v>
      </c>
      <c r="BZ49" s="96">
        <v>5.6526207605344325</v>
      </c>
      <c r="CA49" s="96">
        <v>6.2436375975572167</v>
      </c>
      <c r="CB49" s="96">
        <v>5.4126294687607546</v>
      </c>
      <c r="CC49" s="96">
        <v>5.9191055573824203</v>
      </c>
    </row>
    <row r="50" spans="3:81" hidden="1" x14ac:dyDescent="0.25">
      <c r="E50" s="134"/>
      <c r="AI50" s="218"/>
    </row>
    <row r="51" spans="3:81" hidden="1" x14ac:dyDescent="0.25">
      <c r="E51" s="77"/>
      <c r="AI51" s="218"/>
    </row>
    <row r="52" spans="3:81" hidden="1" x14ac:dyDescent="0.25">
      <c r="E52" s="77"/>
      <c r="AI52" s="218"/>
    </row>
    <row r="53" spans="3:81" hidden="1" x14ac:dyDescent="0.25">
      <c r="E53" s="77"/>
      <c r="AI53" s="218"/>
    </row>
    <row r="54" spans="3:81" hidden="1" x14ac:dyDescent="0.25">
      <c r="E54" s="77"/>
      <c r="AI54" s="218"/>
    </row>
    <row r="55" spans="3:81" hidden="1" x14ac:dyDescent="0.25">
      <c r="E55" s="77"/>
      <c r="AI55" s="218"/>
    </row>
    <row r="56" spans="3:81" hidden="1" x14ac:dyDescent="0.25">
      <c r="E56" s="77"/>
      <c r="AI56" s="218"/>
    </row>
    <row r="57" spans="3:81" hidden="1" x14ac:dyDescent="0.25">
      <c r="E57" s="77"/>
      <c r="AI57" s="218"/>
    </row>
    <row r="58" spans="3:81" hidden="1" x14ac:dyDescent="0.25">
      <c r="E58" s="77"/>
      <c r="AI58" s="152"/>
    </row>
    <row r="59" spans="3:81" hidden="1" x14ac:dyDescent="0.25">
      <c r="E59" s="77"/>
    </row>
    <row r="60" spans="3:81" hidden="1" x14ac:dyDescent="0.25">
      <c r="E60" s="77"/>
    </row>
    <row r="61" spans="3:81" hidden="1" x14ac:dyDescent="0.25">
      <c r="E61" s="77"/>
    </row>
    <row r="62" spans="3:81" hidden="1" x14ac:dyDescent="0.25">
      <c r="E62" s="77"/>
    </row>
    <row r="63" spans="3:81" hidden="1" x14ac:dyDescent="0.25">
      <c r="E63" s="77"/>
    </row>
    <row r="64" spans="3:81" hidden="1" x14ac:dyDescent="0.25">
      <c r="E64" s="77"/>
    </row>
    <row r="65" spans="2:82" hidden="1" x14ac:dyDescent="0.25">
      <c r="B65" s="3588">
        <v>1994</v>
      </c>
      <c r="C65" s="3589"/>
      <c r="D65" s="3589"/>
      <c r="E65" s="3590"/>
      <c r="F65" s="3588">
        <v>1995</v>
      </c>
      <c r="G65" s="3589"/>
      <c r="H65" s="3589"/>
      <c r="I65" s="3590"/>
      <c r="J65" s="3588">
        <v>1996</v>
      </c>
      <c r="K65" s="3589"/>
      <c r="L65" s="3589"/>
      <c r="M65" s="3590"/>
      <c r="N65" s="3588">
        <v>1997</v>
      </c>
      <c r="O65" s="3589"/>
      <c r="P65" s="3589"/>
      <c r="Q65" s="3590"/>
      <c r="R65" s="3588">
        <v>1998</v>
      </c>
      <c r="S65" s="3589"/>
      <c r="T65" s="3589"/>
      <c r="U65" s="3590"/>
      <c r="V65" s="3588">
        <v>1999</v>
      </c>
      <c r="W65" s="3589"/>
      <c r="X65" s="3589"/>
      <c r="Y65" s="3590"/>
      <c r="Z65" s="3588">
        <v>2000</v>
      </c>
      <c r="AA65" s="3589"/>
      <c r="AB65" s="3589"/>
      <c r="AC65" s="3590"/>
      <c r="AD65" s="3588">
        <v>2001</v>
      </c>
      <c r="AE65" s="3589"/>
      <c r="AF65" s="3589"/>
      <c r="AG65" s="3590"/>
      <c r="AH65" s="3588">
        <v>2002</v>
      </c>
      <c r="AI65" s="3589"/>
      <c r="AJ65" s="3589"/>
      <c r="AK65" s="3590"/>
      <c r="AL65" s="3588">
        <v>2003</v>
      </c>
      <c r="AM65" s="3589"/>
      <c r="AN65" s="3589"/>
      <c r="AO65" s="3590"/>
      <c r="AP65" s="3588">
        <v>2004</v>
      </c>
      <c r="AQ65" s="3589"/>
      <c r="AR65" s="3589"/>
      <c r="AS65" s="3590"/>
      <c r="AT65" s="3588">
        <v>2005</v>
      </c>
      <c r="AU65" s="3589"/>
      <c r="AV65" s="3589"/>
      <c r="AW65" s="3590"/>
      <c r="AX65" s="3588">
        <v>2006</v>
      </c>
      <c r="AY65" s="3589"/>
      <c r="AZ65" s="3589"/>
      <c r="BA65" s="3590"/>
      <c r="BB65" s="3588">
        <v>2007</v>
      </c>
      <c r="BC65" s="3589"/>
      <c r="BD65" s="3589"/>
      <c r="BE65" s="3590"/>
      <c r="BF65" s="3588">
        <v>2008</v>
      </c>
      <c r="BG65" s="3589"/>
      <c r="BH65" s="3589"/>
      <c r="BI65" s="3590"/>
      <c r="BJ65" s="3588">
        <v>2009</v>
      </c>
      <c r="BK65" s="3589"/>
      <c r="BL65" s="3589"/>
      <c r="BM65" s="3590"/>
      <c r="BN65" s="3588">
        <v>2010</v>
      </c>
      <c r="BO65" s="3589"/>
      <c r="BP65" s="3589"/>
      <c r="BQ65" s="3590"/>
      <c r="BR65" s="3588">
        <v>2011</v>
      </c>
      <c r="BS65" s="3589"/>
      <c r="BT65" s="3589"/>
      <c r="BU65" s="3589"/>
      <c r="BV65" s="3589"/>
      <c r="BW65" s="3589"/>
      <c r="BX65" s="3589"/>
      <c r="BY65" s="3589"/>
      <c r="BZ65" s="3589"/>
      <c r="CA65" s="3589"/>
      <c r="CB65" s="3589"/>
      <c r="CC65" s="3589"/>
      <c r="CD65" s="1458"/>
    </row>
    <row r="66" spans="2:82" hidden="1" x14ac:dyDescent="0.25">
      <c r="B66" s="252" t="s">
        <v>88</v>
      </c>
      <c r="C66" s="253" t="s">
        <v>85</v>
      </c>
      <c r="D66" s="222" t="s">
        <v>86</v>
      </c>
      <c r="E66" s="59" t="s">
        <v>87</v>
      </c>
      <c r="F66" s="252" t="s">
        <v>88</v>
      </c>
      <c r="G66" s="253" t="s">
        <v>85</v>
      </c>
      <c r="H66" s="222" t="s">
        <v>86</v>
      </c>
      <c r="I66" s="59" t="s">
        <v>87</v>
      </c>
      <c r="J66" s="252" t="s">
        <v>88</v>
      </c>
      <c r="K66" s="253" t="s">
        <v>85</v>
      </c>
      <c r="L66" s="222" t="s">
        <v>86</v>
      </c>
      <c r="M66" s="59" t="s">
        <v>87</v>
      </c>
      <c r="N66" s="252" t="s">
        <v>88</v>
      </c>
      <c r="O66" s="253" t="s">
        <v>85</v>
      </c>
      <c r="P66" s="222" t="s">
        <v>86</v>
      </c>
      <c r="Q66" s="59" t="s">
        <v>87</v>
      </c>
      <c r="R66" s="252" t="s">
        <v>88</v>
      </c>
      <c r="S66" s="253" t="s">
        <v>85</v>
      </c>
      <c r="T66" s="222" t="s">
        <v>86</v>
      </c>
      <c r="U66" s="59" t="s">
        <v>87</v>
      </c>
      <c r="V66" s="252" t="s">
        <v>88</v>
      </c>
      <c r="W66" s="253" t="s">
        <v>85</v>
      </c>
      <c r="X66" s="222" t="s">
        <v>86</v>
      </c>
      <c r="Y66" s="59" t="s">
        <v>87</v>
      </c>
      <c r="Z66" s="252" t="s">
        <v>88</v>
      </c>
      <c r="AA66" s="253" t="s">
        <v>85</v>
      </c>
      <c r="AB66" s="222" t="s">
        <v>86</v>
      </c>
      <c r="AC66" s="59" t="s">
        <v>87</v>
      </c>
      <c r="AD66" s="252" t="s">
        <v>88</v>
      </c>
      <c r="AE66" s="253" t="s">
        <v>85</v>
      </c>
      <c r="AF66" s="222" t="s">
        <v>86</v>
      </c>
      <c r="AG66" s="59" t="s">
        <v>87</v>
      </c>
      <c r="AH66" s="252" t="s">
        <v>88</v>
      </c>
      <c r="AI66" s="253" t="s">
        <v>85</v>
      </c>
      <c r="AJ66" s="222" t="s">
        <v>86</v>
      </c>
      <c r="AK66" s="59" t="s">
        <v>87</v>
      </c>
      <c r="AL66" s="252" t="s">
        <v>88</v>
      </c>
      <c r="AM66" s="253" t="s">
        <v>85</v>
      </c>
      <c r="AN66" s="222" t="s">
        <v>86</v>
      </c>
      <c r="AO66" s="59" t="s">
        <v>87</v>
      </c>
      <c r="AP66" s="252" t="s">
        <v>88</v>
      </c>
      <c r="AQ66" s="253" t="s">
        <v>85</v>
      </c>
      <c r="AR66" s="222" t="s">
        <v>86</v>
      </c>
      <c r="AS66" s="59" t="s">
        <v>87</v>
      </c>
      <c r="AT66" s="252" t="s">
        <v>88</v>
      </c>
      <c r="AU66" s="253" t="s">
        <v>85</v>
      </c>
      <c r="AV66" s="222" t="s">
        <v>86</v>
      </c>
      <c r="AW66" s="59" t="s">
        <v>87</v>
      </c>
      <c r="AX66" s="252" t="s">
        <v>88</v>
      </c>
      <c r="AY66" s="253" t="s">
        <v>85</v>
      </c>
      <c r="AZ66" s="222" t="s">
        <v>86</v>
      </c>
      <c r="BA66" s="59" t="s">
        <v>87</v>
      </c>
      <c r="BB66" s="252" t="s">
        <v>88</v>
      </c>
      <c r="BC66" s="253" t="s">
        <v>85</v>
      </c>
      <c r="BD66" s="222" t="s">
        <v>86</v>
      </c>
      <c r="BE66" s="59" t="s">
        <v>87</v>
      </c>
      <c r="BF66" s="252" t="s">
        <v>88</v>
      </c>
      <c r="BG66" s="253" t="s">
        <v>85</v>
      </c>
      <c r="BH66" s="222" t="s">
        <v>86</v>
      </c>
      <c r="BI66" s="59" t="s">
        <v>87</v>
      </c>
      <c r="BJ66" s="252" t="s">
        <v>88</v>
      </c>
      <c r="BK66" s="253" t="s">
        <v>85</v>
      </c>
      <c r="BL66" s="222" t="s">
        <v>86</v>
      </c>
      <c r="BM66" s="59" t="s">
        <v>87</v>
      </c>
      <c r="BN66" s="252" t="s">
        <v>88</v>
      </c>
      <c r="BO66" s="253" t="s">
        <v>85</v>
      </c>
      <c r="BP66" s="222" t="s">
        <v>86</v>
      </c>
      <c r="BQ66" s="59" t="s">
        <v>87</v>
      </c>
      <c r="BR66" s="252" t="s">
        <v>88</v>
      </c>
      <c r="BS66" s="223" t="s">
        <v>85</v>
      </c>
      <c r="BT66" s="222" t="s">
        <v>86</v>
      </c>
      <c r="BU66" s="59" t="s">
        <v>87</v>
      </c>
      <c r="BV66" s="252" t="s">
        <v>88</v>
      </c>
      <c r="BY66" s="59" t="s">
        <v>87</v>
      </c>
      <c r="BZ66" s="252" t="s">
        <v>88</v>
      </c>
      <c r="CC66" s="59" t="s">
        <v>87</v>
      </c>
    </row>
    <row r="67" spans="2:82" hidden="1" x14ac:dyDescent="0.25">
      <c r="B67" s="254">
        <v>16.25</v>
      </c>
      <c r="C67" s="255">
        <v>17.0833333333333</v>
      </c>
      <c r="D67" s="256">
        <v>17.5</v>
      </c>
      <c r="E67" s="256">
        <v>18.5</v>
      </c>
      <c r="F67" s="254">
        <v>18.5</v>
      </c>
      <c r="G67" s="255">
        <v>18.5</v>
      </c>
      <c r="H67" s="256">
        <v>20.1666666666667</v>
      </c>
      <c r="I67" s="256">
        <v>19.5</v>
      </c>
      <c r="J67" s="254">
        <v>19.9166666666667</v>
      </c>
      <c r="K67" s="255">
        <v>20.25</v>
      </c>
      <c r="L67" s="256">
        <v>20.25</v>
      </c>
      <c r="M67" s="256">
        <v>20.25</v>
      </c>
      <c r="N67" s="254">
        <v>19.25</v>
      </c>
      <c r="O67" s="255">
        <v>18.9166666666667</v>
      </c>
      <c r="P67" s="256">
        <v>19.5833333333333</v>
      </c>
      <c r="Q67" s="256">
        <v>25</v>
      </c>
      <c r="R67" s="254">
        <v>23.6666666666667</v>
      </c>
      <c r="S67" s="255">
        <v>21</v>
      </c>
      <c r="T67" s="256">
        <v>18.6666666666667</v>
      </c>
      <c r="U67" s="256">
        <v>16.8333333333333</v>
      </c>
      <c r="V67" s="254">
        <v>15.5</v>
      </c>
      <c r="W67" s="255">
        <v>14.5</v>
      </c>
      <c r="X67" s="256">
        <v>14.5</v>
      </c>
      <c r="Y67" s="256">
        <v>14.5</v>
      </c>
      <c r="Z67" s="254">
        <v>14.5</v>
      </c>
      <c r="AA67" s="255">
        <v>14.5</v>
      </c>
      <c r="AB67" s="256">
        <v>14.25</v>
      </c>
      <c r="AC67" s="256">
        <v>13.3333333333333</v>
      </c>
      <c r="AD67" s="254">
        <v>13</v>
      </c>
      <c r="AE67" s="255">
        <v>14.3333333333333</v>
      </c>
      <c r="AF67" s="256">
        <v>15.3333333333333</v>
      </c>
      <c r="AG67" s="256">
        <v>16.3333333333333</v>
      </c>
      <c r="AH67" s="254">
        <v>17</v>
      </c>
      <c r="AI67" s="255">
        <v>17</v>
      </c>
      <c r="AJ67" s="256">
        <v>16.5</v>
      </c>
      <c r="AK67" s="256">
        <v>14.5</v>
      </c>
      <c r="AL67" s="254">
        <v>11.8333333333333</v>
      </c>
      <c r="AM67" s="255">
        <v>11.5</v>
      </c>
      <c r="AN67" s="256">
        <v>11.5</v>
      </c>
      <c r="AO67" s="256">
        <v>11.1666666666667</v>
      </c>
      <c r="AP67" s="254">
        <v>11</v>
      </c>
      <c r="AQ67" s="255">
        <v>11</v>
      </c>
      <c r="AR67" s="256">
        <v>10.5</v>
      </c>
      <c r="AS67" s="256">
        <v>10.5</v>
      </c>
      <c r="AT67" s="254">
        <v>10.5</v>
      </c>
      <c r="AU67" s="255">
        <v>10.5</v>
      </c>
      <c r="AV67" s="256">
        <v>10.6666666666667</v>
      </c>
      <c r="AW67" s="256">
        <v>11.3333333333333</v>
      </c>
      <c r="AX67" s="254">
        <v>12.1666666666667</v>
      </c>
      <c r="AY67" s="255">
        <v>12.5</v>
      </c>
      <c r="AZ67" s="256">
        <v>12.6666666666667</v>
      </c>
      <c r="BA67" s="256">
        <v>13.3333333333333</v>
      </c>
      <c r="BB67" s="254">
        <v>14.1666666666667</v>
      </c>
      <c r="BC67" s="255">
        <v>14.5</v>
      </c>
      <c r="BD67" s="256">
        <v>15.1666666666667</v>
      </c>
      <c r="BE67" s="256">
        <v>15.5</v>
      </c>
      <c r="BF67" s="254">
        <v>15.3333333333333</v>
      </c>
      <c r="BG67" s="255">
        <v>14</v>
      </c>
      <c r="BH67" s="256">
        <v>11.6666666666667</v>
      </c>
      <c r="BI67" s="256">
        <v>10.6666666666667</v>
      </c>
      <c r="BJ67" s="254">
        <v>10.5</v>
      </c>
      <c r="BK67" s="255">
        <v>10.3333333333333</v>
      </c>
      <c r="BL67" s="256">
        <v>10</v>
      </c>
      <c r="BM67" s="256">
        <v>9.8333333333333304</v>
      </c>
      <c r="BN67" s="254">
        <v>9.1666666666666696</v>
      </c>
      <c r="BO67" s="255">
        <v>9</v>
      </c>
      <c r="BP67" s="256">
        <v>9</v>
      </c>
      <c r="BQ67" s="256">
        <v>9</v>
      </c>
      <c r="BR67" s="257">
        <v>9</v>
      </c>
      <c r="BS67" s="258">
        <v>9</v>
      </c>
      <c r="BT67" s="258">
        <v>9</v>
      </c>
      <c r="BU67" s="258">
        <v>8.5</v>
      </c>
      <c r="BV67" s="257">
        <v>8.5</v>
      </c>
      <c r="BY67" s="258">
        <v>8.5</v>
      </c>
      <c r="BZ67" s="257">
        <v>8.5</v>
      </c>
      <c r="CC67" s="258">
        <v>8.5</v>
      </c>
    </row>
    <row r="68" spans="2:82" hidden="1" x14ac:dyDescent="0.25">
      <c r="E68" s="77"/>
    </row>
    <row r="69" spans="2:82" hidden="1" x14ac:dyDescent="0.25">
      <c r="E69" s="77"/>
    </row>
    <row r="70" spans="2:82" hidden="1" x14ac:dyDescent="0.25">
      <c r="E70" s="77"/>
    </row>
    <row r="71" spans="2:82" hidden="1" x14ac:dyDescent="0.25">
      <c r="E71" s="77"/>
    </row>
    <row r="72" spans="2:82" hidden="1" x14ac:dyDescent="0.25">
      <c r="E72" s="77"/>
    </row>
    <row r="73" spans="2:82" hidden="1" x14ac:dyDescent="0.25">
      <c r="E73" s="77"/>
    </row>
    <row r="74" spans="2:82" hidden="1" x14ac:dyDescent="0.25">
      <c r="E74" s="77"/>
    </row>
    <row r="75" spans="2:82" hidden="1" x14ac:dyDescent="0.25">
      <c r="E75" s="77"/>
    </row>
    <row r="76" spans="2:82" hidden="1" x14ac:dyDescent="0.25">
      <c r="E76" s="77"/>
    </row>
    <row r="77" spans="2:82" hidden="1" x14ac:dyDescent="0.25">
      <c r="E77" s="77"/>
    </row>
    <row r="78" spans="2:82" hidden="1" x14ac:dyDescent="0.25">
      <c r="E78" s="77"/>
    </row>
    <row r="79" spans="2:82" x14ac:dyDescent="0.25">
      <c r="E79" s="77"/>
    </row>
    <row r="80" spans="2:82" x14ac:dyDescent="0.25">
      <c r="E80" s="77"/>
    </row>
    <row r="81" spans="5:5" x14ac:dyDescent="0.25">
      <c r="E81" s="77"/>
    </row>
    <row r="82" spans="5:5" x14ac:dyDescent="0.25">
      <c r="E82" s="77"/>
    </row>
    <row r="83" spans="5:5" x14ac:dyDescent="0.25">
      <c r="E83" s="77"/>
    </row>
    <row r="84" spans="5:5" x14ac:dyDescent="0.25">
      <c r="E84" s="77"/>
    </row>
    <row r="85" spans="5:5" x14ac:dyDescent="0.25">
      <c r="E85" s="77"/>
    </row>
    <row r="86" spans="5:5" x14ac:dyDescent="0.25">
      <c r="E86" s="77"/>
    </row>
    <row r="87" spans="5:5" x14ac:dyDescent="0.25">
      <c r="E87" s="77"/>
    </row>
    <row r="88" spans="5:5" x14ac:dyDescent="0.25">
      <c r="E88" s="77"/>
    </row>
    <row r="89" spans="5:5" x14ac:dyDescent="0.25">
      <c r="E89" s="77"/>
    </row>
    <row r="90" spans="5:5" x14ac:dyDescent="0.25">
      <c r="E90" s="77"/>
    </row>
    <row r="91" spans="5:5" x14ac:dyDescent="0.25">
      <c r="E91" s="77"/>
    </row>
    <row r="92" spans="5:5" x14ac:dyDescent="0.25">
      <c r="E92" s="77"/>
    </row>
    <row r="93" spans="5:5" x14ac:dyDescent="0.25">
      <c r="E93" s="77"/>
    </row>
    <row r="94" spans="5:5" x14ac:dyDescent="0.25">
      <c r="E94" s="77"/>
    </row>
    <row r="95" spans="5:5" x14ac:dyDescent="0.25">
      <c r="E95" s="77"/>
    </row>
    <row r="96" spans="5:5" x14ac:dyDescent="0.25">
      <c r="E96" s="77"/>
    </row>
    <row r="97" spans="5:5" x14ac:dyDescent="0.25">
      <c r="E97" s="77"/>
    </row>
    <row r="98" spans="5:5" x14ac:dyDescent="0.25">
      <c r="E98" s="77"/>
    </row>
    <row r="99" spans="5:5" x14ac:dyDescent="0.25">
      <c r="E99" s="77"/>
    </row>
    <row r="100" spans="5:5" x14ac:dyDescent="0.25">
      <c r="E100" s="77"/>
    </row>
    <row r="101" spans="5:5" x14ac:dyDescent="0.25">
      <c r="E101" s="77"/>
    </row>
    <row r="102" spans="5:5" x14ac:dyDescent="0.25">
      <c r="E102" s="77"/>
    </row>
    <row r="103" spans="5:5" x14ac:dyDescent="0.25">
      <c r="E103" s="77"/>
    </row>
    <row r="104" spans="5:5" x14ac:dyDescent="0.25">
      <c r="E104" s="77"/>
    </row>
    <row r="105" spans="5:5" x14ac:dyDescent="0.25">
      <c r="E105" s="77"/>
    </row>
    <row r="106" spans="5:5" x14ac:dyDescent="0.25">
      <c r="E106" s="77"/>
    </row>
    <row r="107" spans="5:5" x14ac:dyDescent="0.25">
      <c r="E107" s="77"/>
    </row>
    <row r="108" spans="5:5" x14ac:dyDescent="0.25">
      <c r="E108" s="77"/>
    </row>
    <row r="109" spans="5:5" x14ac:dyDescent="0.25">
      <c r="E109" s="77"/>
    </row>
    <row r="110" spans="5:5" x14ac:dyDescent="0.25">
      <c r="E110" s="77"/>
    </row>
    <row r="111" spans="5:5" x14ac:dyDescent="0.25">
      <c r="E111" s="77"/>
    </row>
    <row r="112" spans="5:5" x14ac:dyDescent="0.25">
      <c r="E112" s="77"/>
    </row>
    <row r="113" spans="5:5" x14ac:dyDescent="0.25">
      <c r="E113" s="77"/>
    </row>
    <row r="114" spans="5:5" x14ac:dyDescent="0.25">
      <c r="E114" s="77"/>
    </row>
    <row r="115" spans="5:5" x14ac:dyDescent="0.25">
      <c r="E115" s="77"/>
    </row>
    <row r="116" spans="5:5" x14ac:dyDescent="0.25">
      <c r="E116" s="77"/>
    </row>
    <row r="117" spans="5:5" x14ac:dyDescent="0.25">
      <c r="E117" s="77"/>
    </row>
    <row r="118" spans="5:5" x14ac:dyDescent="0.25">
      <c r="E118" s="77"/>
    </row>
    <row r="119" spans="5:5" x14ac:dyDescent="0.25">
      <c r="E119" s="77"/>
    </row>
    <row r="120" spans="5:5" x14ac:dyDescent="0.25">
      <c r="E120" s="77"/>
    </row>
    <row r="121" spans="5:5" x14ac:dyDescent="0.25">
      <c r="E121" s="77"/>
    </row>
    <row r="122" spans="5:5" x14ac:dyDescent="0.25">
      <c r="E122" s="77"/>
    </row>
    <row r="123" spans="5:5" x14ac:dyDescent="0.25">
      <c r="E123" s="77"/>
    </row>
    <row r="124" spans="5:5" x14ac:dyDescent="0.25">
      <c r="E124" s="77"/>
    </row>
    <row r="125" spans="5:5" x14ac:dyDescent="0.25">
      <c r="E125" s="77"/>
    </row>
    <row r="126" spans="5:5" x14ac:dyDescent="0.25">
      <c r="E126" s="77"/>
    </row>
    <row r="127" spans="5:5" x14ac:dyDescent="0.25">
      <c r="E127" s="77"/>
    </row>
    <row r="128" spans="5:5" x14ac:dyDescent="0.25">
      <c r="E128" s="77"/>
    </row>
    <row r="129" spans="5:5" x14ac:dyDescent="0.25">
      <c r="E129" s="77"/>
    </row>
    <row r="130" spans="5:5" x14ac:dyDescent="0.25">
      <c r="E130" s="77"/>
    </row>
    <row r="131" spans="5:5" x14ac:dyDescent="0.25">
      <c r="E131" s="77"/>
    </row>
    <row r="132" spans="5:5" x14ac:dyDescent="0.25">
      <c r="E132" s="77"/>
    </row>
    <row r="133" spans="5:5" x14ac:dyDescent="0.25">
      <c r="E133" s="77"/>
    </row>
    <row r="134" spans="5:5" x14ac:dyDescent="0.25">
      <c r="E134" s="77"/>
    </row>
    <row r="135" spans="5:5" x14ac:dyDescent="0.25">
      <c r="E135" s="77"/>
    </row>
    <row r="136" spans="5:5" x14ac:dyDescent="0.25">
      <c r="E136" s="77"/>
    </row>
    <row r="137" spans="5:5" x14ac:dyDescent="0.25">
      <c r="E137" s="77"/>
    </row>
    <row r="138" spans="5:5" x14ac:dyDescent="0.25">
      <c r="E138" s="77"/>
    </row>
    <row r="139" spans="5:5" x14ac:dyDescent="0.25">
      <c r="E139" s="77"/>
    </row>
    <row r="140" spans="5:5" x14ac:dyDescent="0.25">
      <c r="E140" s="77"/>
    </row>
    <row r="141" spans="5:5" x14ac:dyDescent="0.25">
      <c r="E141" s="77"/>
    </row>
    <row r="142" spans="5:5" x14ac:dyDescent="0.25">
      <c r="E142" s="77"/>
    </row>
    <row r="143" spans="5:5" x14ac:dyDescent="0.25">
      <c r="E143" s="77"/>
    </row>
    <row r="144" spans="5:5" x14ac:dyDescent="0.25">
      <c r="E144" s="77"/>
    </row>
    <row r="145" spans="5:5" x14ac:dyDescent="0.25">
      <c r="E145" s="77"/>
    </row>
    <row r="146" spans="5:5" x14ac:dyDescent="0.25">
      <c r="E146" s="77"/>
    </row>
    <row r="147" spans="5:5" x14ac:dyDescent="0.25">
      <c r="E147" s="77"/>
    </row>
    <row r="148" spans="5:5" x14ac:dyDescent="0.25">
      <c r="E148" s="77"/>
    </row>
    <row r="149" spans="5:5" x14ac:dyDescent="0.25">
      <c r="E149" s="77"/>
    </row>
    <row r="150" spans="5:5" x14ac:dyDescent="0.25">
      <c r="E150" s="77"/>
    </row>
    <row r="151" spans="5:5" x14ac:dyDescent="0.25">
      <c r="E151" s="77"/>
    </row>
    <row r="152" spans="5:5" x14ac:dyDescent="0.25">
      <c r="E152" s="77"/>
    </row>
    <row r="153" spans="5:5" x14ac:dyDescent="0.25">
      <c r="E153" s="77"/>
    </row>
    <row r="154" spans="5:5" x14ac:dyDescent="0.25">
      <c r="E154" s="77"/>
    </row>
    <row r="155" spans="5:5" x14ac:dyDescent="0.25">
      <c r="E155" s="77"/>
    </row>
    <row r="156" spans="5:5" x14ac:dyDescent="0.25">
      <c r="E156" s="77"/>
    </row>
    <row r="157" spans="5:5" x14ac:dyDescent="0.25">
      <c r="E157" s="77"/>
    </row>
    <row r="158" spans="5:5" x14ac:dyDescent="0.25">
      <c r="E158" s="77"/>
    </row>
    <row r="159" spans="5:5" x14ac:dyDescent="0.25">
      <c r="E159" s="77"/>
    </row>
    <row r="160" spans="5:5" x14ac:dyDescent="0.25">
      <c r="E160" s="77"/>
    </row>
    <row r="161" spans="2:5" x14ac:dyDescent="0.25">
      <c r="E161" s="77"/>
    </row>
    <row r="162" spans="2:5" x14ac:dyDescent="0.25">
      <c r="E162" s="77"/>
    </row>
    <row r="163" spans="2:5" x14ac:dyDescent="0.25">
      <c r="E163" s="77"/>
    </row>
    <row r="164" spans="2:5" x14ac:dyDescent="0.25">
      <c r="E164" s="77"/>
    </row>
    <row r="165" spans="2:5" x14ac:dyDescent="0.25">
      <c r="E165" s="77"/>
    </row>
    <row r="166" spans="2:5" x14ac:dyDescent="0.25">
      <c r="E166" s="77"/>
    </row>
    <row r="167" spans="2:5" x14ac:dyDescent="0.25">
      <c r="E167" s="77"/>
    </row>
    <row r="168" spans="2:5" x14ac:dyDescent="0.25">
      <c r="E168" s="77"/>
    </row>
    <row r="169" spans="2:5" x14ac:dyDescent="0.25">
      <c r="E169" s="77"/>
    </row>
    <row r="170" spans="2:5" x14ac:dyDescent="0.25">
      <c r="B170" s="127"/>
      <c r="C170" s="128"/>
      <c r="D170" s="77"/>
      <c r="E170" s="77"/>
    </row>
    <row r="171" spans="2:5" x14ac:dyDescent="0.25">
      <c r="B171" s="259"/>
      <c r="C171" s="260"/>
      <c r="D171" s="179"/>
      <c r="E171" s="179"/>
    </row>
    <row r="172" spans="2:5" x14ac:dyDescent="0.25">
      <c r="B172" s="127"/>
      <c r="C172" s="128"/>
      <c r="D172" s="77"/>
    </row>
    <row r="173" spans="2:5" x14ac:dyDescent="0.25">
      <c r="B173" s="127"/>
      <c r="C173" s="128"/>
      <c r="D173" s="77"/>
    </row>
    <row r="174" spans="2:5" x14ac:dyDescent="0.25">
      <c r="B174" s="127"/>
      <c r="C174" s="128"/>
      <c r="D174" s="77"/>
    </row>
    <row r="175" spans="2:5" x14ac:dyDescent="0.25">
      <c r="B175" s="127"/>
      <c r="C175" s="128"/>
      <c r="D175" s="77"/>
    </row>
    <row r="176" spans="2:5" x14ac:dyDescent="0.25">
      <c r="B176" s="127"/>
      <c r="C176" s="128"/>
      <c r="D176" s="77"/>
    </row>
  </sheetData>
  <mergeCells count="45">
    <mergeCell ref="D34:Z34"/>
    <mergeCell ref="D2:Z2"/>
    <mergeCell ref="D3:Z3"/>
    <mergeCell ref="D4:Z4"/>
    <mergeCell ref="D33:Z33"/>
    <mergeCell ref="AW40:AZ40"/>
    <mergeCell ref="D35:Z35"/>
    <mergeCell ref="D36:Z36"/>
    <mergeCell ref="E40:H40"/>
    <mergeCell ref="I40:L40"/>
    <mergeCell ref="M40:P40"/>
    <mergeCell ref="Q40:T40"/>
    <mergeCell ref="U40:X40"/>
    <mergeCell ref="Y40:AB40"/>
    <mergeCell ref="AC40:AF40"/>
    <mergeCell ref="AG40:AJ40"/>
    <mergeCell ref="AK40:AN40"/>
    <mergeCell ref="AO40:AR40"/>
    <mergeCell ref="AS40:AV40"/>
    <mergeCell ref="BY40:CB40"/>
    <mergeCell ref="CC40:CF40"/>
    <mergeCell ref="B65:E65"/>
    <mergeCell ref="F65:I65"/>
    <mergeCell ref="J65:M65"/>
    <mergeCell ref="N65:Q65"/>
    <mergeCell ref="R65:U65"/>
    <mergeCell ref="V65:Y65"/>
    <mergeCell ref="Z65:AC65"/>
    <mergeCell ref="AD65:AG65"/>
    <mergeCell ref="BA40:BD40"/>
    <mergeCell ref="BE40:BH40"/>
    <mergeCell ref="BI40:BL40"/>
    <mergeCell ref="BM40:BP40"/>
    <mergeCell ref="BQ40:BT40"/>
    <mergeCell ref="BU40:BX40"/>
    <mergeCell ref="BF65:BI65"/>
    <mergeCell ref="BJ65:BM65"/>
    <mergeCell ref="BN65:BQ65"/>
    <mergeCell ref="BR65:CC65"/>
    <mergeCell ref="AH65:AK65"/>
    <mergeCell ref="AL65:AO65"/>
    <mergeCell ref="AP65:AS65"/>
    <mergeCell ref="AT65:AW65"/>
    <mergeCell ref="AX65:BA65"/>
    <mergeCell ref="BB65:BE65"/>
  </mergeCells>
  <pageMargins left="0.74803149606299213" right="0.74803149606299213" top="0.98425196850393704" bottom="0.98425196850393704" header="0.51181102362204722" footer="0.51181102362204722"/>
  <pageSetup paperSize="9" scale="6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D64"/>
  <sheetViews>
    <sheetView showGridLines="0" view="pageBreakPreview" topLeftCell="U22" zoomScaleNormal="100" zoomScaleSheetLayoutView="100" workbookViewId="0">
      <selection sqref="A1:XFD1048576"/>
    </sheetView>
  </sheetViews>
  <sheetFormatPr defaultRowHeight="15" x14ac:dyDescent="0.2"/>
  <cols>
    <col min="1" max="1" width="3.7109375" style="1663" customWidth="1"/>
    <col min="2" max="2" width="14.42578125" style="1663" customWidth="1"/>
    <col min="3" max="3" width="3.7109375" style="1663" customWidth="1"/>
    <col min="4" max="24" width="10.7109375" style="1664" customWidth="1"/>
    <col min="25" max="25" width="11.28515625" style="1664" customWidth="1"/>
    <col min="26" max="26" width="11" style="1664" customWidth="1"/>
    <col min="27" max="27" width="11.85546875" style="1664" customWidth="1"/>
    <col min="28" max="28" width="10.28515625" style="1664" customWidth="1"/>
    <col min="29" max="29" width="9.140625" style="1664"/>
    <col min="30" max="30" width="10.7109375" style="1664" customWidth="1"/>
    <col min="31" max="262" width="9.140625" style="1664"/>
    <col min="263" max="263" width="3.7109375" style="1664" customWidth="1"/>
    <col min="264" max="264" width="14.42578125" style="1664" customWidth="1"/>
    <col min="265" max="265" width="3.7109375" style="1664" customWidth="1"/>
    <col min="266" max="280" width="10.7109375" style="1664" customWidth="1"/>
    <col min="281" max="281" width="8.7109375" style="1664" customWidth="1"/>
    <col min="282" max="518" width="9.140625" style="1664"/>
    <col min="519" max="519" width="3.7109375" style="1664" customWidth="1"/>
    <col min="520" max="520" width="14.42578125" style="1664" customWidth="1"/>
    <col min="521" max="521" width="3.7109375" style="1664" customWidth="1"/>
    <col min="522" max="536" width="10.7109375" style="1664" customWidth="1"/>
    <col min="537" max="537" width="8.7109375" style="1664" customWidth="1"/>
    <col min="538" max="774" width="9.140625" style="1664"/>
    <col min="775" max="775" width="3.7109375" style="1664" customWidth="1"/>
    <col min="776" max="776" width="14.42578125" style="1664" customWidth="1"/>
    <col min="777" max="777" width="3.7109375" style="1664" customWidth="1"/>
    <col min="778" max="792" width="10.7109375" style="1664" customWidth="1"/>
    <col min="793" max="793" width="8.7109375" style="1664" customWidth="1"/>
    <col min="794" max="1030" width="9.140625" style="1664"/>
    <col min="1031" max="1031" width="3.7109375" style="1664" customWidth="1"/>
    <col min="1032" max="1032" width="14.42578125" style="1664" customWidth="1"/>
    <col min="1033" max="1033" width="3.7109375" style="1664" customWidth="1"/>
    <col min="1034" max="1048" width="10.7109375" style="1664" customWidth="1"/>
    <col min="1049" max="1049" width="8.7109375" style="1664" customWidth="1"/>
    <col min="1050" max="1286" width="9.140625" style="1664"/>
    <col min="1287" max="1287" width="3.7109375" style="1664" customWidth="1"/>
    <col min="1288" max="1288" width="14.42578125" style="1664" customWidth="1"/>
    <col min="1289" max="1289" width="3.7109375" style="1664" customWidth="1"/>
    <col min="1290" max="1304" width="10.7109375" style="1664" customWidth="1"/>
    <col min="1305" max="1305" width="8.7109375" style="1664" customWidth="1"/>
    <col min="1306" max="1542" width="9.140625" style="1664"/>
    <col min="1543" max="1543" width="3.7109375" style="1664" customWidth="1"/>
    <col min="1544" max="1544" width="14.42578125" style="1664" customWidth="1"/>
    <col min="1545" max="1545" width="3.7109375" style="1664" customWidth="1"/>
    <col min="1546" max="1560" width="10.7109375" style="1664" customWidth="1"/>
    <col min="1561" max="1561" width="8.7109375" style="1664" customWidth="1"/>
    <col min="1562" max="1798" width="9.140625" style="1664"/>
    <col min="1799" max="1799" width="3.7109375" style="1664" customWidth="1"/>
    <col min="1800" max="1800" width="14.42578125" style="1664" customWidth="1"/>
    <col min="1801" max="1801" width="3.7109375" style="1664" customWidth="1"/>
    <col min="1802" max="1816" width="10.7109375" style="1664" customWidth="1"/>
    <col min="1817" max="1817" width="8.7109375" style="1664" customWidth="1"/>
    <col min="1818" max="2054" width="9.140625" style="1664"/>
    <col min="2055" max="2055" width="3.7109375" style="1664" customWidth="1"/>
    <col min="2056" max="2056" width="14.42578125" style="1664" customWidth="1"/>
    <col min="2057" max="2057" width="3.7109375" style="1664" customWidth="1"/>
    <col min="2058" max="2072" width="10.7109375" style="1664" customWidth="1"/>
    <col min="2073" max="2073" width="8.7109375" style="1664" customWidth="1"/>
    <col min="2074" max="2310" width="9.140625" style="1664"/>
    <col min="2311" max="2311" width="3.7109375" style="1664" customWidth="1"/>
    <col min="2312" max="2312" width="14.42578125" style="1664" customWidth="1"/>
    <col min="2313" max="2313" width="3.7109375" style="1664" customWidth="1"/>
    <col min="2314" max="2328" width="10.7109375" style="1664" customWidth="1"/>
    <col min="2329" max="2329" width="8.7109375" style="1664" customWidth="1"/>
    <col min="2330" max="2566" width="9.140625" style="1664"/>
    <col min="2567" max="2567" width="3.7109375" style="1664" customWidth="1"/>
    <col min="2568" max="2568" width="14.42578125" style="1664" customWidth="1"/>
    <col min="2569" max="2569" width="3.7109375" style="1664" customWidth="1"/>
    <col min="2570" max="2584" width="10.7109375" style="1664" customWidth="1"/>
    <col min="2585" max="2585" width="8.7109375" style="1664" customWidth="1"/>
    <col min="2586" max="2822" width="9.140625" style="1664"/>
    <col min="2823" max="2823" width="3.7109375" style="1664" customWidth="1"/>
    <col min="2824" max="2824" width="14.42578125" style="1664" customWidth="1"/>
    <col min="2825" max="2825" width="3.7109375" style="1664" customWidth="1"/>
    <col min="2826" max="2840" width="10.7109375" style="1664" customWidth="1"/>
    <col min="2841" max="2841" width="8.7109375" style="1664" customWidth="1"/>
    <col min="2842" max="3078" width="9.140625" style="1664"/>
    <col min="3079" max="3079" width="3.7109375" style="1664" customWidth="1"/>
    <col min="3080" max="3080" width="14.42578125" style="1664" customWidth="1"/>
    <col min="3081" max="3081" width="3.7109375" style="1664" customWidth="1"/>
    <col min="3082" max="3096" width="10.7109375" style="1664" customWidth="1"/>
    <col min="3097" max="3097" width="8.7109375" style="1664" customWidth="1"/>
    <col min="3098" max="3334" width="9.140625" style="1664"/>
    <col min="3335" max="3335" width="3.7109375" style="1664" customWidth="1"/>
    <col min="3336" max="3336" width="14.42578125" style="1664" customWidth="1"/>
    <col min="3337" max="3337" width="3.7109375" style="1664" customWidth="1"/>
    <col min="3338" max="3352" width="10.7109375" style="1664" customWidth="1"/>
    <col min="3353" max="3353" width="8.7109375" style="1664" customWidth="1"/>
    <col min="3354" max="3590" width="9.140625" style="1664"/>
    <col min="3591" max="3591" width="3.7109375" style="1664" customWidth="1"/>
    <col min="3592" max="3592" width="14.42578125" style="1664" customWidth="1"/>
    <col min="3593" max="3593" width="3.7109375" style="1664" customWidth="1"/>
    <col min="3594" max="3608" width="10.7109375" style="1664" customWidth="1"/>
    <col min="3609" max="3609" width="8.7109375" style="1664" customWidth="1"/>
    <col min="3610" max="3846" width="9.140625" style="1664"/>
    <col min="3847" max="3847" width="3.7109375" style="1664" customWidth="1"/>
    <col min="3848" max="3848" width="14.42578125" style="1664" customWidth="1"/>
    <col min="3849" max="3849" width="3.7109375" style="1664" customWidth="1"/>
    <col min="3850" max="3864" width="10.7109375" style="1664" customWidth="1"/>
    <col min="3865" max="3865" width="8.7109375" style="1664" customWidth="1"/>
    <col min="3866" max="4102" width="9.140625" style="1664"/>
    <col min="4103" max="4103" width="3.7109375" style="1664" customWidth="1"/>
    <col min="4104" max="4104" width="14.42578125" style="1664" customWidth="1"/>
    <col min="4105" max="4105" width="3.7109375" style="1664" customWidth="1"/>
    <col min="4106" max="4120" width="10.7109375" style="1664" customWidth="1"/>
    <col min="4121" max="4121" width="8.7109375" style="1664" customWidth="1"/>
    <col min="4122" max="4358" width="9.140625" style="1664"/>
    <col min="4359" max="4359" width="3.7109375" style="1664" customWidth="1"/>
    <col min="4360" max="4360" width="14.42578125" style="1664" customWidth="1"/>
    <col min="4361" max="4361" width="3.7109375" style="1664" customWidth="1"/>
    <col min="4362" max="4376" width="10.7109375" style="1664" customWidth="1"/>
    <col min="4377" max="4377" width="8.7109375" style="1664" customWidth="1"/>
    <col min="4378" max="4614" width="9.140625" style="1664"/>
    <col min="4615" max="4615" width="3.7109375" style="1664" customWidth="1"/>
    <col min="4616" max="4616" width="14.42578125" style="1664" customWidth="1"/>
    <col min="4617" max="4617" width="3.7109375" style="1664" customWidth="1"/>
    <col min="4618" max="4632" width="10.7109375" style="1664" customWidth="1"/>
    <col min="4633" max="4633" width="8.7109375" style="1664" customWidth="1"/>
    <col min="4634" max="4870" width="9.140625" style="1664"/>
    <col min="4871" max="4871" width="3.7109375" style="1664" customWidth="1"/>
    <col min="4872" max="4872" width="14.42578125" style="1664" customWidth="1"/>
    <col min="4873" max="4873" width="3.7109375" style="1664" customWidth="1"/>
    <col min="4874" max="4888" width="10.7109375" style="1664" customWidth="1"/>
    <col min="4889" max="4889" width="8.7109375" style="1664" customWidth="1"/>
    <col min="4890" max="5126" width="9.140625" style="1664"/>
    <col min="5127" max="5127" width="3.7109375" style="1664" customWidth="1"/>
    <col min="5128" max="5128" width="14.42578125" style="1664" customWidth="1"/>
    <col min="5129" max="5129" width="3.7109375" style="1664" customWidth="1"/>
    <col min="5130" max="5144" width="10.7109375" style="1664" customWidth="1"/>
    <col min="5145" max="5145" width="8.7109375" style="1664" customWidth="1"/>
    <col min="5146" max="5382" width="9.140625" style="1664"/>
    <col min="5383" max="5383" width="3.7109375" style="1664" customWidth="1"/>
    <col min="5384" max="5384" width="14.42578125" style="1664" customWidth="1"/>
    <col min="5385" max="5385" width="3.7109375" style="1664" customWidth="1"/>
    <col min="5386" max="5400" width="10.7109375" style="1664" customWidth="1"/>
    <col min="5401" max="5401" width="8.7109375" style="1664" customWidth="1"/>
    <col min="5402" max="5638" width="9.140625" style="1664"/>
    <col min="5639" max="5639" width="3.7109375" style="1664" customWidth="1"/>
    <col min="5640" max="5640" width="14.42578125" style="1664" customWidth="1"/>
    <col min="5641" max="5641" width="3.7109375" style="1664" customWidth="1"/>
    <col min="5642" max="5656" width="10.7109375" style="1664" customWidth="1"/>
    <col min="5657" max="5657" width="8.7109375" style="1664" customWidth="1"/>
    <col min="5658" max="5894" width="9.140625" style="1664"/>
    <col min="5895" max="5895" width="3.7109375" style="1664" customWidth="1"/>
    <col min="5896" max="5896" width="14.42578125" style="1664" customWidth="1"/>
    <col min="5897" max="5897" width="3.7109375" style="1664" customWidth="1"/>
    <col min="5898" max="5912" width="10.7109375" style="1664" customWidth="1"/>
    <col min="5913" max="5913" width="8.7109375" style="1664" customWidth="1"/>
    <col min="5914" max="6150" width="9.140625" style="1664"/>
    <col min="6151" max="6151" width="3.7109375" style="1664" customWidth="1"/>
    <col min="6152" max="6152" width="14.42578125" style="1664" customWidth="1"/>
    <col min="6153" max="6153" width="3.7109375" style="1664" customWidth="1"/>
    <col min="6154" max="6168" width="10.7109375" style="1664" customWidth="1"/>
    <col min="6169" max="6169" width="8.7109375" style="1664" customWidth="1"/>
    <col min="6170" max="6406" width="9.140625" style="1664"/>
    <col min="6407" max="6407" width="3.7109375" style="1664" customWidth="1"/>
    <col min="6408" max="6408" width="14.42578125" style="1664" customWidth="1"/>
    <col min="6409" max="6409" width="3.7109375" style="1664" customWidth="1"/>
    <col min="6410" max="6424" width="10.7109375" style="1664" customWidth="1"/>
    <col min="6425" max="6425" width="8.7109375" style="1664" customWidth="1"/>
    <col min="6426" max="6662" width="9.140625" style="1664"/>
    <col min="6663" max="6663" width="3.7109375" style="1664" customWidth="1"/>
    <col min="6664" max="6664" width="14.42578125" style="1664" customWidth="1"/>
    <col min="6665" max="6665" width="3.7109375" style="1664" customWidth="1"/>
    <col min="6666" max="6680" width="10.7109375" style="1664" customWidth="1"/>
    <col min="6681" max="6681" width="8.7109375" style="1664" customWidth="1"/>
    <col min="6682" max="6918" width="9.140625" style="1664"/>
    <col min="6919" max="6919" width="3.7109375" style="1664" customWidth="1"/>
    <col min="6920" max="6920" width="14.42578125" style="1664" customWidth="1"/>
    <col min="6921" max="6921" width="3.7109375" style="1664" customWidth="1"/>
    <col min="6922" max="6936" width="10.7109375" style="1664" customWidth="1"/>
    <col min="6937" max="6937" width="8.7109375" style="1664" customWidth="1"/>
    <col min="6938" max="7174" width="9.140625" style="1664"/>
    <col min="7175" max="7175" width="3.7109375" style="1664" customWidth="1"/>
    <col min="7176" max="7176" width="14.42578125" style="1664" customWidth="1"/>
    <col min="7177" max="7177" width="3.7109375" style="1664" customWidth="1"/>
    <col min="7178" max="7192" width="10.7109375" style="1664" customWidth="1"/>
    <col min="7193" max="7193" width="8.7109375" style="1664" customWidth="1"/>
    <col min="7194" max="7430" width="9.140625" style="1664"/>
    <col min="7431" max="7431" width="3.7109375" style="1664" customWidth="1"/>
    <col min="7432" max="7432" width="14.42578125" style="1664" customWidth="1"/>
    <col min="7433" max="7433" width="3.7109375" style="1664" customWidth="1"/>
    <col min="7434" max="7448" width="10.7109375" style="1664" customWidth="1"/>
    <col min="7449" max="7449" width="8.7109375" style="1664" customWidth="1"/>
    <col min="7450" max="7686" width="9.140625" style="1664"/>
    <col min="7687" max="7687" width="3.7109375" style="1664" customWidth="1"/>
    <col min="7688" max="7688" width="14.42578125" style="1664" customWidth="1"/>
    <col min="7689" max="7689" width="3.7109375" style="1664" customWidth="1"/>
    <col min="7690" max="7704" width="10.7109375" style="1664" customWidth="1"/>
    <col min="7705" max="7705" width="8.7109375" style="1664" customWidth="1"/>
    <col min="7706" max="7942" width="9.140625" style="1664"/>
    <col min="7943" max="7943" width="3.7109375" style="1664" customWidth="1"/>
    <col min="7944" max="7944" width="14.42578125" style="1664" customWidth="1"/>
    <col min="7945" max="7945" width="3.7109375" style="1664" customWidth="1"/>
    <col min="7946" max="7960" width="10.7109375" style="1664" customWidth="1"/>
    <col min="7961" max="7961" width="8.7109375" style="1664" customWidth="1"/>
    <col min="7962" max="8198" width="9.140625" style="1664"/>
    <col min="8199" max="8199" width="3.7109375" style="1664" customWidth="1"/>
    <col min="8200" max="8200" width="14.42578125" style="1664" customWidth="1"/>
    <col min="8201" max="8201" width="3.7109375" style="1664" customWidth="1"/>
    <col min="8202" max="8216" width="10.7109375" style="1664" customWidth="1"/>
    <col min="8217" max="8217" width="8.7109375" style="1664" customWidth="1"/>
    <col min="8218" max="8454" width="9.140625" style="1664"/>
    <col min="8455" max="8455" width="3.7109375" style="1664" customWidth="1"/>
    <col min="8456" max="8456" width="14.42578125" style="1664" customWidth="1"/>
    <col min="8457" max="8457" width="3.7109375" style="1664" customWidth="1"/>
    <col min="8458" max="8472" width="10.7109375" style="1664" customWidth="1"/>
    <col min="8473" max="8473" width="8.7109375" style="1664" customWidth="1"/>
    <col min="8474" max="8710" width="9.140625" style="1664"/>
    <col min="8711" max="8711" width="3.7109375" style="1664" customWidth="1"/>
    <col min="8712" max="8712" width="14.42578125" style="1664" customWidth="1"/>
    <col min="8713" max="8713" width="3.7109375" style="1664" customWidth="1"/>
    <col min="8714" max="8728" width="10.7109375" style="1664" customWidth="1"/>
    <col min="8729" max="8729" width="8.7109375" style="1664" customWidth="1"/>
    <col min="8730" max="8966" width="9.140625" style="1664"/>
    <col min="8967" max="8967" width="3.7109375" style="1664" customWidth="1"/>
    <col min="8968" max="8968" width="14.42578125" style="1664" customWidth="1"/>
    <col min="8969" max="8969" width="3.7109375" style="1664" customWidth="1"/>
    <col min="8970" max="8984" width="10.7109375" style="1664" customWidth="1"/>
    <col min="8985" max="8985" width="8.7109375" style="1664" customWidth="1"/>
    <col min="8986" max="9222" width="9.140625" style="1664"/>
    <col min="9223" max="9223" width="3.7109375" style="1664" customWidth="1"/>
    <col min="9224" max="9224" width="14.42578125" style="1664" customWidth="1"/>
    <col min="9225" max="9225" width="3.7109375" style="1664" customWidth="1"/>
    <col min="9226" max="9240" width="10.7109375" style="1664" customWidth="1"/>
    <col min="9241" max="9241" width="8.7109375" style="1664" customWidth="1"/>
    <col min="9242" max="9478" width="9.140625" style="1664"/>
    <col min="9479" max="9479" width="3.7109375" style="1664" customWidth="1"/>
    <col min="9480" max="9480" width="14.42578125" style="1664" customWidth="1"/>
    <col min="9481" max="9481" width="3.7109375" style="1664" customWidth="1"/>
    <col min="9482" max="9496" width="10.7109375" style="1664" customWidth="1"/>
    <col min="9497" max="9497" width="8.7109375" style="1664" customWidth="1"/>
    <col min="9498" max="9734" width="9.140625" style="1664"/>
    <col min="9735" max="9735" width="3.7109375" style="1664" customWidth="1"/>
    <col min="9736" max="9736" width="14.42578125" style="1664" customWidth="1"/>
    <col min="9737" max="9737" width="3.7109375" style="1664" customWidth="1"/>
    <col min="9738" max="9752" width="10.7109375" style="1664" customWidth="1"/>
    <col min="9753" max="9753" width="8.7109375" style="1664" customWidth="1"/>
    <col min="9754" max="9990" width="9.140625" style="1664"/>
    <col min="9991" max="9991" width="3.7109375" style="1664" customWidth="1"/>
    <col min="9992" max="9992" width="14.42578125" style="1664" customWidth="1"/>
    <col min="9993" max="9993" width="3.7109375" style="1664" customWidth="1"/>
    <col min="9994" max="10008" width="10.7109375" style="1664" customWidth="1"/>
    <col min="10009" max="10009" width="8.7109375" style="1664" customWidth="1"/>
    <col min="10010" max="10246" width="9.140625" style="1664"/>
    <col min="10247" max="10247" width="3.7109375" style="1664" customWidth="1"/>
    <col min="10248" max="10248" width="14.42578125" style="1664" customWidth="1"/>
    <col min="10249" max="10249" width="3.7109375" style="1664" customWidth="1"/>
    <col min="10250" max="10264" width="10.7109375" style="1664" customWidth="1"/>
    <col min="10265" max="10265" width="8.7109375" style="1664" customWidth="1"/>
    <col min="10266" max="10502" width="9.140625" style="1664"/>
    <col min="10503" max="10503" width="3.7109375" style="1664" customWidth="1"/>
    <col min="10504" max="10504" width="14.42578125" style="1664" customWidth="1"/>
    <col min="10505" max="10505" width="3.7109375" style="1664" customWidth="1"/>
    <col min="10506" max="10520" width="10.7109375" style="1664" customWidth="1"/>
    <col min="10521" max="10521" width="8.7109375" style="1664" customWidth="1"/>
    <col min="10522" max="10758" width="9.140625" style="1664"/>
    <col min="10759" max="10759" width="3.7109375" style="1664" customWidth="1"/>
    <col min="10760" max="10760" width="14.42578125" style="1664" customWidth="1"/>
    <col min="10761" max="10761" width="3.7109375" style="1664" customWidth="1"/>
    <col min="10762" max="10776" width="10.7109375" style="1664" customWidth="1"/>
    <col min="10777" max="10777" width="8.7109375" style="1664" customWidth="1"/>
    <col min="10778" max="11014" width="9.140625" style="1664"/>
    <col min="11015" max="11015" width="3.7109375" style="1664" customWidth="1"/>
    <col min="11016" max="11016" width="14.42578125" style="1664" customWidth="1"/>
    <col min="11017" max="11017" width="3.7109375" style="1664" customWidth="1"/>
    <col min="11018" max="11032" width="10.7109375" style="1664" customWidth="1"/>
    <col min="11033" max="11033" width="8.7109375" style="1664" customWidth="1"/>
    <col min="11034" max="11270" width="9.140625" style="1664"/>
    <col min="11271" max="11271" width="3.7109375" style="1664" customWidth="1"/>
    <col min="11272" max="11272" width="14.42578125" style="1664" customWidth="1"/>
    <col min="11273" max="11273" width="3.7109375" style="1664" customWidth="1"/>
    <col min="11274" max="11288" width="10.7109375" style="1664" customWidth="1"/>
    <col min="11289" max="11289" width="8.7109375" style="1664" customWidth="1"/>
    <col min="11290" max="11526" width="9.140625" style="1664"/>
    <col min="11527" max="11527" width="3.7109375" style="1664" customWidth="1"/>
    <col min="11528" max="11528" width="14.42578125" style="1664" customWidth="1"/>
    <col min="11529" max="11529" width="3.7109375" style="1664" customWidth="1"/>
    <col min="11530" max="11544" width="10.7109375" style="1664" customWidth="1"/>
    <col min="11545" max="11545" width="8.7109375" style="1664" customWidth="1"/>
    <col min="11546" max="11782" width="9.140625" style="1664"/>
    <col min="11783" max="11783" width="3.7109375" style="1664" customWidth="1"/>
    <col min="11784" max="11784" width="14.42578125" style="1664" customWidth="1"/>
    <col min="11785" max="11785" width="3.7109375" style="1664" customWidth="1"/>
    <col min="11786" max="11800" width="10.7109375" style="1664" customWidth="1"/>
    <col min="11801" max="11801" width="8.7109375" style="1664" customWidth="1"/>
    <col min="11802" max="12038" width="9.140625" style="1664"/>
    <col min="12039" max="12039" width="3.7109375" style="1664" customWidth="1"/>
    <col min="12040" max="12040" width="14.42578125" style="1664" customWidth="1"/>
    <col min="12041" max="12041" width="3.7109375" style="1664" customWidth="1"/>
    <col min="12042" max="12056" width="10.7109375" style="1664" customWidth="1"/>
    <col min="12057" max="12057" width="8.7109375" style="1664" customWidth="1"/>
    <col min="12058" max="12294" width="9.140625" style="1664"/>
    <col min="12295" max="12295" width="3.7109375" style="1664" customWidth="1"/>
    <col min="12296" max="12296" width="14.42578125" style="1664" customWidth="1"/>
    <col min="12297" max="12297" width="3.7109375" style="1664" customWidth="1"/>
    <col min="12298" max="12312" width="10.7109375" style="1664" customWidth="1"/>
    <col min="12313" max="12313" width="8.7109375" style="1664" customWidth="1"/>
    <col min="12314" max="12550" width="9.140625" style="1664"/>
    <col min="12551" max="12551" width="3.7109375" style="1664" customWidth="1"/>
    <col min="12552" max="12552" width="14.42578125" style="1664" customWidth="1"/>
    <col min="12553" max="12553" width="3.7109375" style="1664" customWidth="1"/>
    <col min="12554" max="12568" width="10.7109375" style="1664" customWidth="1"/>
    <col min="12569" max="12569" width="8.7109375" style="1664" customWidth="1"/>
    <col min="12570" max="12806" width="9.140625" style="1664"/>
    <col min="12807" max="12807" width="3.7109375" style="1664" customWidth="1"/>
    <col min="12808" max="12808" width="14.42578125" style="1664" customWidth="1"/>
    <col min="12809" max="12809" width="3.7109375" style="1664" customWidth="1"/>
    <col min="12810" max="12824" width="10.7109375" style="1664" customWidth="1"/>
    <col min="12825" max="12825" width="8.7109375" style="1664" customWidth="1"/>
    <col min="12826" max="13062" width="9.140625" style="1664"/>
    <col min="13063" max="13063" width="3.7109375" style="1664" customWidth="1"/>
    <col min="13064" max="13064" width="14.42578125" style="1664" customWidth="1"/>
    <col min="13065" max="13065" width="3.7109375" style="1664" customWidth="1"/>
    <col min="13066" max="13080" width="10.7109375" style="1664" customWidth="1"/>
    <col min="13081" max="13081" width="8.7109375" style="1664" customWidth="1"/>
    <col min="13082" max="13318" width="9.140625" style="1664"/>
    <col min="13319" max="13319" width="3.7109375" style="1664" customWidth="1"/>
    <col min="13320" max="13320" width="14.42578125" style="1664" customWidth="1"/>
    <col min="13321" max="13321" width="3.7109375" style="1664" customWidth="1"/>
    <col min="13322" max="13336" width="10.7109375" style="1664" customWidth="1"/>
    <col min="13337" max="13337" width="8.7109375" style="1664" customWidth="1"/>
    <col min="13338" max="13574" width="9.140625" style="1664"/>
    <col min="13575" max="13575" width="3.7109375" style="1664" customWidth="1"/>
    <col min="13576" max="13576" width="14.42578125" style="1664" customWidth="1"/>
    <col min="13577" max="13577" width="3.7109375" style="1664" customWidth="1"/>
    <col min="13578" max="13592" width="10.7109375" style="1664" customWidth="1"/>
    <col min="13593" max="13593" width="8.7109375" style="1664" customWidth="1"/>
    <col min="13594" max="13830" width="9.140625" style="1664"/>
    <col min="13831" max="13831" width="3.7109375" style="1664" customWidth="1"/>
    <col min="13832" max="13832" width="14.42578125" style="1664" customWidth="1"/>
    <col min="13833" max="13833" width="3.7109375" style="1664" customWidth="1"/>
    <col min="13834" max="13848" width="10.7109375" style="1664" customWidth="1"/>
    <col min="13849" max="13849" width="8.7109375" style="1664" customWidth="1"/>
    <col min="13850" max="14086" width="9.140625" style="1664"/>
    <col min="14087" max="14087" width="3.7109375" style="1664" customWidth="1"/>
    <col min="14088" max="14088" width="14.42578125" style="1664" customWidth="1"/>
    <col min="14089" max="14089" width="3.7109375" style="1664" customWidth="1"/>
    <col min="14090" max="14104" width="10.7109375" style="1664" customWidth="1"/>
    <col min="14105" max="14105" width="8.7109375" style="1664" customWidth="1"/>
    <col min="14106" max="14342" width="9.140625" style="1664"/>
    <col min="14343" max="14343" width="3.7109375" style="1664" customWidth="1"/>
    <col min="14344" max="14344" width="14.42578125" style="1664" customWidth="1"/>
    <col min="14345" max="14345" width="3.7109375" style="1664" customWidth="1"/>
    <col min="14346" max="14360" width="10.7109375" style="1664" customWidth="1"/>
    <col min="14361" max="14361" width="8.7109375" style="1664" customWidth="1"/>
    <col min="14362" max="14598" width="9.140625" style="1664"/>
    <col min="14599" max="14599" width="3.7109375" style="1664" customWidth="1"/>
    <col min="14600" max="14600" width="14.42578125" style="1664" customWidth="1"/>
    <col min="14601" max="14601" width="3.7109375" style="1664" customWidth="1"/>
    <col min="14602" max="14616" width="10.7109375" style="1664" customWidth="1"/>
    <col min="14617" max="14617" width="8.7109375" style="1664" customWidth="1"/>
    <col min="14618" max="14854" width="9.140625" style="1664"/>
    <col min="14855" max="14855" width="3.7109375" style="1664" customWidth="1"/>
    <col min="14856" max="14856" width="14.42578125" style="1664" customWidth="1"/>
    <col min="14857" max="14857" width="3.7109375" style="1664" customWidth="1"/>
    <col min="14858" max="14872" width="10.7109375" style="1664" customWidth="1"/>
    <col min="14873" max="14873" width="8.7109375" style="1664" customWidth="1"/>
    <col min="14874" max="15110" width="9.140625" style="1664"/>
    <col min="15111" max="15111" width="3.7109375" style="1664" customWidth="1"/>
    <col min="15112" max="15112" width="14.42578125" style="1664" customWidth="1"/>
    <col min="15113" max="15113" width="3.7109375" style="1664" customWidth="1"/>
    <col min="15114" max="15128" width="10.7109375" style="1664" customWidth="1"/>
    <col min="15129" max="15129" width="8.7109375" style="1664" customWidth="1"/>
    <col min="15130" max="15366" width="9.140625" style="1664"/>
    <col min="15367" max="15367" width="3.7109375" style="1664" customWidth="1"/>
    <col min="15368" max="15368" width="14.42578125" style="1664" customWidth="1"/>
    <col min="15369" max="15369" width="3.7109375" style="1664" customWidth="1"/>
    <col min="15370" max="15384" width="10.7109375" style="1664" customWidth="1"/>
    <col min="15385" max="15385" width="8.7109375" style="1664" customWidth="1"/>
    <col min="15386" max="15622" width="9.140625" style="1664"/>
    <col min="15623" max="15623" width="3.7109375" style="1664" customWidth="1"/>
    <col min="15624" max="15624" width="14.42578125" style="1664" customWidth="1"/>
    <col min="15625" max="15625" width="3.7109375" style="1664" customWidth="1"/>
    <col min="15626" max="15640" width="10.7109375" style="1664" customWidth="1"/>
    <col min="15641" max="15641" width="8.7109375" style="1664" customWidth="1"/>
    <col min="15642" max="15878" width="9.140625" style="1664"/>
    <col min="15879" max="15879" width="3.7109375" style="1664" customWidth="1"/>
    <col min="15880" max="15880" width="14.42578125" style="1664" customWidth="1"/>
    <col min="15881" max="15881" width="3.7109375" style="1664" customWidth="1"/>
    <col min="15882" max="15896" width="10.7109375" style="1664" customWidth="1"/>
    <col min="15897" max="15897" width="8.7109375" style="1664" customWidth="1"/>
    <col min="15898" max="16134" width="9.140625" style="1664"/>
    <col min="16135" max="16135" width="3.7109375" style="1664" customWidth="1"/>
    <col min="16136" max="16136" width="14.42578125" style="1664" customWidth="1"/>
    <col min="16137" max="16137" width="3.7109375" style="1664" customWidth="1"/>
    <col min="16138" max="16152" width="10.7109375" style="1664" customWidth="1"/>
    <col min="16153" max="16153" width="8.7109375" style="1664" customWidth="1"/>
    <col min="16154" max="16384" width="9.140625" style="1664"/>
  </cols>
  <sheetData>
    <row r="1" spans="1:30" x14ac:dyDescent="0.25">
      <c r="O1" s="892"/>
      <c r="P1" s="892"/>
      <c r="Q1" s="892"/>
      <c r="R1" s="892"/>
      <c r="T1" s="892"/>
      <c r="U1" s="892"/>
      <c r="V1" s="892"/>
      <c r="W1" s="892"/>
      <c r="X1" s="892"/>
      <c r="Y1" s="892"/>
      <c r="Z1" s="892"/>
      <c r="AA1" s="892"/>
      <c r="AB1" s="892"/>
      <c r="AC1" s="892"/>
    </row>
    <row r="2" spans="1:30" ht="12.75" customHeight="1" x14ac:dyDescent="0.25">
      <c r="A2" s="835">
        <v>1</v>
      </c>
      <c r="B2" s="835" t="s">
        <v>24</v>
      </c>
      <c r="C2" s="835">
        <f>1+Corruption!C2</f>
        <v>83</v>
      </c>
      <c r="D2" s="3615" t="s">
        <v>1351</v>
      </c>
      <c r="E2" s="3616"/>
      <c r="F2" s="3616"/>
      <c r="G2" s="3616"/>
      <c r="H2" s="1462"/>
      <c r="I2" s="1462"/>
      <c r="J2" s="1462"/>
      <c r="K2" s="1462"/>
      <c r="L2" s="1462"/>
      <c r="M2" s="1462"/>
      <c r="N2" s="1462"/>
      <c r="O2" s="1462"/>
      <c r="P2" s="1462"/>
      <c r="Q2" s="1462"/>
      <c r="R2" s="1462"/>
      <c r="S2" s="1462"/>
      <c r="T2" s="1462"/>
      <c r="U2" s="1462"/>
      <c r="V2" s="1462"/>
      <c r="W2" s="1459"/>
      <c r="X2" s="1460"/>
      <c r="Y2" s="416"/>
      <c r="Z2" s="416"/>
      <c r="AA2" s="416"/>
      <c r="AB2" s="1697"/>
      <c r="AC2" s="892"/>
    </row>
    <row r="3" spans="1:30" ht="12.75" customHeight="1" x14ac:dyDescent="0.25">
      <c r="A3" s="835">
        <v>2</v>
      </c>
      <c r="B3" s="835" t="s">
        <v>26</v>
      </c>
      <c r="C3" s="835"/>
      <c r="D3" s="3615" t="s">
        <v>1350</v>
      </c>
      <c r="E3" s="3616"/>
      <c r="F3" s="3616"/>
      <c r="G3" s="3616"/>
      <c r="H3" s="3616"/>
      <c r="I3" s="3616"/>
      <c r="J3" s="3616"/>
      <c r="K3" s="3616"/>
      <c r="L3" s="3616"/>
      <c r="M3" s="3616"/>
      <c r="N3" s="3616"/>
      <c r="O3" s="3616"/>
      <c r="P3" s="3616"/>
      <c r="Q3" s="3616"/>
      <c r="R3" s="3616"/>
      <c r="S3" s="3616"/>
      <c r="T3" s="3616"/>
      <c r="U3" s="3616"/>
      <c r="V3" s="3616"/>
      <c r="W3" s="3616"/>
      <c r="X3" s="3617"/>
      <c r="Y3" s="416"/>
      <c r="Z3" s="416"/>
      <c r="AA3" s="416"/>
      <c r="AB3" s="1697"/>
      <c r="AC3" s="892"/>
    </row>
    <row r="4" spans="1:30" x14ac:dyDescent="0.25">
      <c r="A4" s="835">
        <v>3</v>
      </c>
      <c r="B4" s="835" t="s">
        <v>28</v>
      </c>
      <c r="C4" s="835"/>
      <c r="D4" s="3615" t="s">
        <v>1349</v>
      </c>
      <c r="E4" s="3616"/>
      <c r="F4" s="3616"/>
      <c r="G4" s="3616"/>
      <c r="H4" s="3616"/>
      <c r="I4" s="3616"/>
      <c r="J4" s="3616"/>
      <c r="K4" s="3616"/>
      <c r="L4" s="3616"/>
      <c r="M4" s="3616"/>
      <c r="N4" s="3616"/>
      <c r="O4" s="3616"/>
      <c r="P4" s="3616"/>
      <c r="Q4" s="3616"/>
      <c r="R4" s="3616"/>
      <c r="S4" s="3616"/>
      <c r="T4" s="3616"/>
      <c r="U4" s="3616"/>
      <c r="V4" s="3616"/>
      <c r="W4" s="3616"/>
      <c r="X4" s="3617"/>
      <c r="Y4" s="416"/>
      <c r="Z4" s="416"/>
      <c r="AA4" s="416"/>
      <c r="AB4" s="1697"/>
      <c r="AC4" s="892"/>
    </row>
    <row r="5" spans="1:30" ht="12.75" customHeight="1" x14ac:dyDescent="0.25">
      <c r="A5" s="418"/>
      <c r="B5" s="418"/>
      <c r="C5" s="418"/>
      <c r="D5" s="1471"/>
      <c r="E5" s="1471"/>
      <c r="F5" s="1471"/>
      <c r="G5" s="1471"/>
      <c r="H5" s="1471"/>
      <c r="I5" s="1471"/>
      <c r="J5" s="1471"/>
      <c r="K5" s="1471"/>
      <c r="L5" s="1471"/>
      <c r="M5" s="1471"/>
      <c r="N5" s="1471"/>
      <c r="O5" s="1471"/>
      <c r="P5" s="1471"/>
      <c r="Q5" s="1471"/>
      <c r="R5" s="1471"/>
      <c r="S5" s="1471"/>
      <c r="T5" s="1471"/>
      <c r="U5" s="1471"/>
      <c r="V5" s="1471"/>
      <c r="W5" s="1471"/>
      <c r="X5" s="1471"/>
      <c r="Y5" s="1471"/>
      <c r="Z5" s="1471"/>
      <c r="AA5" s="1471"/>
      <c r="AB5" s="1697"/>
      <c r="AC5" s="892"/>
    </row>
    <row r="6" spans="1:30" x14ac:dyDescent="0.2">
      <c r="C6" s="1718"/>
      <c r="D6" s="1133"/>
      <c r="E6" s="1254"/>
      <c r="F6" s="1254"/>
      <c r="G6" s="1254"/>
      <c r="H6" s="416"/>
      <c r="I6" s="416"/>
      <c r="J6" s="416"/>
      <c r="K6" s="416"/>
      <c r="L6" s="416"/>
      <c r="M6" s="416"/>
      <c r="N6" s="416"/>
      <c r="O6" s="1254"/>
      <c r="P6" s="1254"/>
      <c r="Q6" s="1254"/>
      <c r="R6" s="1254"/>
      <c r="S6" s="416"/>
      <c r="T6" s="1254"/>
      <c r="U6" s="1254"/>
      <c r="V6" s="1254"/>
      <c r="W6" s="1254"/>
      <c r="X6" s="1254"/>
      <c r="Y6" s="1254"/>
      <c r="Z6" s="1254"/>
      <c r="AA6" s="1254"/>
    </row>
    <row r="7" spans="1:30" ht="13.5" thickBot="1" x14ac:dyDescent="0.25">
      <c r="A7" s="1718">
        <v>4</v>
      </c>
      <c r="B7" s="1718" t="s">
        <v>1</v>
      </c>
      <c r="C7" s="1222"/>
      <c r="D7" s="1253" t="s">
        <v>1348</v>
      </c>
      <c r="E7" s="1253">
        <v>2006</v>
      </c>
      <c r="F7" s="1696"/>
      <c r="G7" s="1696"/>
      <c r="H7" s="1696"/>
      <c r="I7" s="1253">
        <v>2008</v>
      </c>
      <c r="J7" s="1253"/>
      <c r="K7" s="784"/>
      <c r="L7" s="784"/>
      <c r="M7" s="784"/>
      <c r="N7" s="1253">
        <v>2010</v>
      </c>
      <c r="O7" s="1253"/>
      <c r="P7" s="784"/>
      <c r="Q7" s="784"/>
      <c r="R7" s="784"/>
      <c r="S7" s="1253">
        <v>2012</v>
      </c>
      <c r="T7" s="1253"/>
      <c r="U7" s="784"/>
      <c r="V7" s="784"/>
      <c r="W7" s="784"/>
      <c r="X7" s="784"/>
      <c r="Y7" s="1253">
        <v>2015</v>
      </c>
      <c r="Z7" s="432"/>
      <c r="AA7" s="432"/>
      <c r="AB7" s="1368"/>
      <c r="AC7" s="1368"/>
      <c r="AD7" s="1368"/>
    </row>
    <row r="8" spans="1:30" ht="12.75" x14ac:dyDescent="0.2">
      <c r="A8" s="1224"/>
      <c r="B8" s="1222"/>
      <c r="C8" s="1222"/>
      <c r="D8" s="1252"/>
      <c r="E8" s="1719"/>
      <c r="F8" s="1720"/>
      <c r="G8" s="1720"/>
      <c r="H8" s="1721"/>
      <c r="I8" s="1252"/>
      <c r="J8" s="1719"/>
      <c r="K8" s="1720"/>
      <c r="L8" s="1720"/>
      <c r="M8" s="1721"/>
      <c r="N8" s="1252"/>
      <c r="O8" s="1719"/>
      <c r="P8" s="1720"/>
      <c r="Q8" s="1720"/>
      <c r="R8" s="1721"/>
      <c r="S8" s="1252"/>
      <c r="T8" s="1719"/>
      <c r="U8" s="1720"/>
      <c r="V8" s="1720"/>
      <c r="W8" s="1720"/>
      <c r="X8" s="1721"/>
      <c r="Y8" s="1252"/>
      <c r="Z8" s="1719"/>
      <c r="AA8" s="1720"/>
      <c r="AB8" s="1720"/>
      <c r="AC8" s="1720"/>
      <c r="AD8" s="1721"/>
    </row>
    <row r="9" spans="1:30" ht="12.75" customHeight="1" x14ac:dyDescent="0.2">
      <c r="A9" s="1224"/>
      <c r="B9" s="1222"/>
      <c r="C9" s="1222"/>
      <c r="D9" s="1722" t="s">
        <v>1347</v>
      </c>
      <c r="E9" s="824"/>
      <c r="F9" s="824"/>
      <c r="G9" s="824"/>
      <c r="H9" s="1723"/>
      <c r="I9" s="1724"/>
      <c r="J9" s="824"/>
      <c r="K9" s="824"/>
      <c r="L9" s="824"/>
      <c r="M9" s="1723"/>
      <c r="N9" s="1724"/>
      <c r="O9" s="824"/>
      <c r="P9" s="824"/>
      <c r="Q9" s="824"/>
      <c r="R9" s="1723"/>
      <c r="S9" s="1724"/>
      <c r="T9" s="824"/>
      <c r="U9" s="824"/>
      <c r="V9" s="824"/>
      <c r="W9" s="824"/>
      <c r="X9" s="1723"/>
      <c r="Y9" s="1724"/>
      <c r="Z9" s="824"/>
      <c r="AA9" s="824"/>
      <c r="AB9" s="824"/>
      <c r="AC9" s="824"/>
      <c r="AD9" s="1723"/>
    </row>
    <row r="10" spans="1:30" ht="22.5" x14ac:dyDescent="0.2">
      <c r="A10" s="1224"/>
      <c r="B10" s="1222"/>
      <c r="C10" s="1222"/>
      <c r="D10" s="1725"/>
      <c r="E10" s="1726" t="s">
        <v>1342</v>
      </c>
      <c r="F10" s="1726" t="s">
        <v>1335</v>
      </c>
      <c r="G10" s="1726" t="s">
        <v>254</v>
      </c>
      <c r="H10" s="1727"/>
      <c r="I10" s="1248" t="s">
        <v>1342</v>
      </c>
      <c r="J10" s="1251" t="s">
        <v>347</v>
      </c>
      <c r="K10" s="1728" t="s">
        <v>1343</v>
      </c>
      <c r="L10" s="1728"/>
      <c r="M10" s="1727"/>
      <c r="N10" s="1248" t="s">
        <v>1342</v>
      </c>
      <c r="O10" s="1728" t="s">
        <v>1341</v>
      </c>
      <c r="P10" s="1728" t="s">
        <v>1336</v>
      </c>
      <c r="Q10" s="1728" t="s">
        <v>1343</v>
      </c>
      <c r="R10" s="1727"/>
      <c r="S10" s="1248" t="s">
        <v>255</v>
      </c>
      <c r="T10" s="1251" t="s">
        <v>0</v>
      </c>
      <c r="U10" s="1728" t="s">
        <v>254</v>
      </c>
      <c r="V10" s="1728" t="s">
        <v>1336</v>
      </c>
      <c r="W10" s="1728" t="s">
        <v>1341</v>
      </c>
      <c r="X10" s="1727"/>
      <c r="Y10" s="1248" t="s">
        <v>255</v>
      </c>
      <c r="Z10" s="1728" t="s">
        <v>1336</v>
      </c>
      <c r="AA10" s="1251" t="s">
        <v>0</v>
      </c>
      <c r="AB10" s="1728" t="s">
        <v>1341</v>
      </c>
      <c r="AC10" s="1728"/>
      <c r="AD10" s="1727"/>
    </row>
    <row r="11" spans="1:30" x14ac:dyDescent="0.2">
      <c r="A11" s="1224"/>
      <c r="B11" s="1222"/>
      <c r="C11" s="1222"/>
      <c r="D11" s="1729"/>
      <c r="E11" s="1730" t="s">
        <v>1346</v>
      </c>
      <c r="F11" s="1250" t="s">
        <v>347</v>
      </c>
      <c r="G11" s="1730" t="s">
        <v>1343</v>
      </c>
      <c r="H11" s="1731"/>
      <c r="I11" s="1732" t="s">
        <v>1346</v>
      </c>
      <c r="J11" s="1730" t="s">
        <v>254</v>
      </c>
      <c r="K11" s="1733"/>
      <c r="L11" s="1734"/>
      <c r="M11" s="1731"/>
      <c r="N11" s="1732" t="s">
        <v>255</v>
      </c>
      <c r="O11" s="1249" t="s">
        <v>0</v>
      </c>
      <c r="P11" s="1730" t="s">
        <v>254</v>
      </c>
      <c r="Q11" s="1734"/>
      <c r="R11" s="1731"/>
      <c r="S11" s="1732" t="s">
        <v>1342</v>
      </c>
      <c r="T11" s="1249"/>
      <c r="U11" s="1730"/>
      <c r="V11" s="1734"/>
      <c r="W11" s="1734"/>
      <c r="X11" s="1731"/>
      <c r="Y11" s="1732" t="s">
        <v>1343</v>
      </c>
      <c r="Z11" s="1734"/>
      <c r="AA11" s="1734"/>
      <c r="AB11" s="1734"/>
      <c r="AC11" s="1734"/>
      <c r="AD11" s="1735"/>
    </row>
    <row r="12" spans="1:30" ht="12.75" customHeight="1" x14ac:dyDescent="0.2">
      <c r="A12" s="1224"/>
      <c r="B12" s="1222"/>
      <c r="C12" s="1222"/>
      <c r="D12" s="1722" t="s">
        <v>1345</v>
      </c>
      <c r="E12" s="824"/>
      <c r="F12" s="824"/>
      <c r="G12" s="824"/>
      <c r="H12" s="1723"/>
      <c r="I12" s="1736"/>
      <c r="J12" s="921"/>
      <c r="K12" s="921"/>
      <c r="L12" s="921"/>
      <c r="M12" s="1723"/>
      <c r="N12" s="1736"/>
      <c r="O12" s="921"/>
      <c r="P12" s="921"/>
      <c r="Q12" s="921"/>
      <c r="R12" s="1723"/>
      <c r="S12" s="1736"/>
      <c r="T12" s="921"/>
      <c r="U12" s="921"/>
      <c r="V12" s="921"/>
      <c r="W12" s="921"/>
      <c r="X12" s="1723"/>
      <c r="Y12" s="1736"/>
      <c r="Z12" s="921"/>
      <c r="AA12" s="921"/>
      <c r="AB12" s="921"/>
      <c r="AC12" s="921"/>
      <c r="AD12" s="1737"/>
    </row>
    <row r="13" spans="1:30" ht="22.5" x14ac:dyDescent="0.2">
      <c r="A13" s="1224"/>
      <c r="B13" s="1222"/>
      <c r="C13" s="1222"/>
      <c r="D13" s="1725"/>
      <c r="E13" s="1728" t="s">
        <v>1344</v>
      </c>
      <c r="F13" s="1728" t="s">
        <v>1341</v>
      </c>
      <c r="G13" s="1728" t="s">
        <v>341</v>
      </c>
      <c r="H13" s="1727"/>
      <c r="I13" s="1248" t="s">
        <v>60</v>
      </c>
      <c r="J13" s="1728" t="s">
        <v>1340</v>
      </c>
      <c r="K13" s="1728" t="s">
        <v>73</v>
      </c>
      <c r="L13" s="1728" t="s">
        <v>1334</v>
      </c>
      <c r="M13" s="1727"/>
      <c r="N13" s="1248" t="s">
        <v>61</v>
      </c>
      <c r="O13" s="1728" t="s">
        <v>1337</v>
      </c>
      <c r="P13" s="1728" t="s">
        <v>1331</v>
      </c>
      <c r="Q13" s="1728" t="s">
        <v>1334</v>
      </c>
      <c r="R13" s="1727" t="s">
        <v>1320</v>
      </c>
      <c r="S13" s="1248" t="s">
        <v>1343</v>
      </c>
      <c r="T13" s="1728" t="s">
        <v>1334</v>
      </c>
      <c r="U13" s="1728" t="s">
        <v>1337</v>
      </c>
      <c r="V13" s="1728" t="s">
        <v>1321</v>
      </c>
      <c r="W13" s="1728" t="s">
        <v>1335</v>
      </c>
      <c r="X13" s="1727"/>
      <c r="Y13" s="1248" t="s">
        <v>61</v>
      </c>
      <c r="Z13" s="1728" t="s">
        <v>1342</v>
      </c>
      <c r="AA13" s="1728" t="s">
        <v>254</v>
      </c>
      <c r="AB13" s="1728" t="s">
        <v>341</v>
      </c>
      <c r="AC13" s="1728" t="s">
        <v>1331</v>
      </c>
      <c r="AD13" s="1727" t="s">
        <v>1321</v>
      </c>
    </row>
    <row r="14" spans="1:30" ht="12.75" x14ac:dyDescent="0.2">
      <c r="A14" s="1224"/>
      <c r="B14" s="1222"/>
      <c r="C14" s="1222"/>
      <c r="D14" s="1738"/>
      <c r="E14" s="921" t="s">
        <v>61</v>
      </c>
      <c r="F14" s="921" t="s">
        <v>1331</v>
      </c>
      <c r="G14" s="921" t="s">
        <v>1334</v>
      </c>
      <c r="H14" s="1723"/>
      <c r="I14" s="1736" t="s">
        <v>61</v>
      </c>
      <c r="J14" s="921" t="s">
        <v>1341</v>
      </c>
      <c r="K14" s="921" t="s">
        <v>341</v>
      </c>
      <c r="L14" s="921" t="s">
        <v>1301</v>
      </c>
      <c r="M14" s="1723"/>
      <c r="N14" s="1736" t="s">
        <v>63</v>
      </c>
      <c r="O14" s="921" t="s">
        <v>1340</v>
      </c>
      <c r="P14" s="921" t="s">
        <v>73</v>
      </c>
      <c r="Q14" s="921" t="s">
        <v>76</v>
      </c>
      <c r="R14" s="1723"/>
      <c r="S14" s="1736" t="s">
        <v>61</v>
      </c>
      <c r="T14" s="921" t="s">
        <v>1340</v>
      </c>
      <c r="U14" s="921" t="s">
        <v>67</v>
      </c>
      <c r="V14" s="921" t="s">
        <v>337</v>
      </c>
      <c r="W14" s="921" t="s">
        <v>63</v>
      </c>
      <c r="X14" s="1723"/>
      <c r="Y14" s="1736" t="s">
        <v>1313</v>
      </c>
      <c r="Z14" s="921" t="s">
        <v>1340</v>
      </c>
      <c r="AA14" s="921" t="s">
        <v>1337</v>
      </c>
      <c r="AB14" s="921" t="s">
        <v>1335</v>
      </c>
      <c r="AC14" s="921" t="s">
        <v>1309</v>
      </c>
      <c r="AD14" s="1723" t="s">
        <v>72</v>
      </c>
    </row>
    <row r="15" spans="1:30" ht="22.5" x14ac:dyDescent="0.2">
      <c r="A15" s="914"/>
      <c r="B15" s="824"/>
      <c r="C15" s="824"/>
      <c r="D15" s="1738"/>
      <c r="E15" s="921" t="s">
        <v>1339</v>
      </c>
      <c r="F15" s="921" t="s">
        <v>1338</v>
      </c>
      <c r="G15" s="921" t="s">
        <v>1336</v>
      </c>
      <c r="H15" s="1723"/>
      <c r="I15" s="1736" t="s">
        <v>1337</v>
      </c>
      <c r="J15" s="921" t="s">
        <v>1331</v>
      </c>
      <c r="K15" s="921" t="s">
        <v>1335</v>
      </c>
      <c r="L15" s="921" t="s">
        <v>1336</v>
      </c>
      <c r="M15" s="1723"/>
      <c r="N15" s="1736" t="s">
        <v>64</v>
      </c>
      <c r="O15" s="921" t="s">
        <v>67</v>
      </c>
      <c r="P15" s="921" t="s">
        <v>1335</v>
      </c>
      <c r="Q15" s="921" t="s">
        <v>1301</v>
      </c>
      <c r="R15" s="1723"/>
      <c r="S15" s="1736" t="s">
        <v>1322</v>
      </c>
      <c r="T15" s="921" t="s">
        <v>1326</v>
      </c>
      <c r="U15" s="921" t="s">
        <v>76</v>
      </c>
      <c r="V15" s="921" t="s">
        <v>1332</v>
      </c>
      <c r="W15" s="921" t="s">
        <v>74</v>
      </c>
      <c r="X15" s="1723"/>
      <c r="Y15" s="1736" t="s">
        <v>1322</v>
      </c>
      <c r="Z15" s="921" t="s">
        <v>1334</v>
      </c>
      <c r="AA15" s="921" t="s">
        <v>1289</v>
      </c>
      <c r="AB15" s="921" t="s">
        <v>74</v>
      </c>
      <c r="AC15" s="921" t="s">
        <v>73</v>
      </c>
      <c r="AD15" s="1737" t="s">
        <v>1325</v>
      </c>
    </row>
    <row r="16" spans="1:30" ht="12.75" x14ac:dyDescent="0.2">
      <c r="A16" s="1224"/>
      <c r="B16" s="1222"/>
      <c r="C16" s="1222"/>
      <c r="D16" s="1729"/>
      <c r="E16" s="1734"/>
      <c r="F16" s="1734"/>
      <c r="G16" s="1734"/>
      <c r="H16" s="1731"/>
      <c r="I16" s="1732"/>
      <c r="J16" s="1734"/>
      <c r="K16" s="1734"/>
      <c r="L16" s="1734"/>
      <c r="M16" s="1731"/>
      <c r="N16" s="1732"/>
      <c r="O16" s="1734"/>
      <c r="P16" s="1734"/>
      <c r="Q16" s="1734"/>
      <c r="R16" s="1731"/>
      <c r="S16" s="1732" t="s">
        <v>1317</v>
      </c>
      <c r="T16" s="1734" t="s">
        <v>72</v>
      </c>
      <c r="U16" s="1734"/>
      <c r="V16" s="1734"/>
      <c r="W16" s="1734"/>
      <c r="X16" s="1731"/>
      <c r="Y16" s="1732" t="s">
        <v>1326</v>
      </c>
      <c r="Z16" s="1734"/>
      <c r="AA16" s="1734"/>
      <c r="AB16" s="1734"/>
      <c r="AC16" s="1734"/>
      <c r="AD16" s="1731"/>
    </row>
    <row r="17" spans="1:30" ht="12.75" customHeight="1" x14ac:dyDescent="0.2">
      <c r="A17" s="1224"/>
      <c r="B17" s="1222"/>
      <c r="C17" s="1222"/>
      <c r="D17" s="1739" t="s">
        <v>1333</v>
      </c>
      <c r="E17" s="824"/>
      <c r="F17" s="824"/>
      <c r="G17" s="824"/>
      <c r="H17" s="1723"/>
      <c r="I17" s="1736"/>
      <c r="J17" s="921"/>
      <c r="K17" s="921"/>
      <c r="L17" s="921"/>
      <c r="M17" s="1723"/>
      <c r="N17" s="1736"/>
      <c r="O17" s="921"/>
      <c r="P17" s="921"/>
      <c r="Q17" s="921"/>
      <c r="R17" s="1723"/>
      <c r="S17" s="1736"/>
      <c r="T17" s="921"/>
      <c r="U17" s="921"/>
      <c r="V17" s="921"/>
      <c r="W17" s="921"/>
      <c r="X17" s="1723"/>
      <c r="Y17" s="1736"/>
      <c r="Z17" s="921"/>
      <c r="AA17" s="921"/>
      <c r="AB17" s="921"/>
      <c r="AC17" s="921"/>
      <c r="AD17" s="1723"/>
    </row>
    <row r="18" spans="1:30" ht="12.75" x14ac:dyDescent="0.2">
      <c r="A18" s="1224"/>
      <c r="B18" s="1222"/>
      <c r="C18" s="1222"/>
      <c r="D18" s="1740"/>
      <c r="E18" s="1728" t="s">
        <v>64</v>
      </c>
      <c r="F18" s="1728" t="s">
        <v>1020</v>
      </c>
      <c r="G18" s="1728" t="s">
        <v>1312</v>
      </c>
      <c r="H18" s="1741" t="s">
        <v>1301</v>
      </c>
      <c r="I18" s="1248" t="s">
        <v>58</v>
      </c>
      <c r="J18" s="1728" t="s">
        <v>1270</v>
      </c>
      <c r="K18" s="1728" t="s">
        <v>69</v>
      </c>
      <c r="L18" s="1728" t="s">
        <v>1321</v>
      </c>
      <c r="M18" s="1727"/>
      <c r="N18" s="1248" t="s">
        <v>58</v>
      </c>
      <c r="O18" s="1728" t="s">
        <v>1317</v>
      </c>
      <c r="P18" s="1728" t="s">
        <v>1330</v>
      </c>
      <c r="Q18" s="1728" t="s">
        <v>1286</v>
      </c>
      <c r="R18" s="1727" t="s">
        <v>337</v>
      </c>
      <c r="S18" s="1248" t="s">
        <v>1313</v>
      </c>
      <c r="T18" s="1728" t="s">
        <v>73</v>
      </c>
      <c r="U18" s="1728" t="s">
        <v>1276</v>
      </c>
      <c r="V18" s="1728" t="s">
        <v>64</v>
      </c>
      <c r="W18" s="1728" t="s">
        <v>1310</v>
      </c>
      <c r="X18" s="1727"/>
      <c r="Y18" s="1248" t="s">
        <v>58</v>
      </c>
      <c r="Z18" s="1728" t="s">
        <v>1332</v>
      </c>
      <c r="AA18" s="1728" t="s">
        <v>76</v>
      </c>
      <c r="AB18" s="1728" t="s">
        <v>63</v>
      </c>
      <c r="AC18" s="1728" t="s">
        <v>64</v>
      </c>
      <c r="AD18" s="1727" t="s">
        <v>337</v>
      </c>
    </row>
    <row r="19" spans="1:30" ht="22.5" x14ac:dyDescent="0.2">
      <c r="A19" s="1224"/>
      <c r="B19" s="1222"/>
      <c r="C19" s="1222"/>
      <c r="D19" s="1742"/>
      <c r="E19" s="921" t="s">
        <v>1314</v>
      </c>
      <c r="F19" s="921" t="s">
        <v>1316</v>
      </c>
      <c r="G19" s="921" t="s">
        <v>1282</v>
      </c>
      <c r="H19" s="1737" t="s">
        <v>1306</v>
      </c>
      <c r="I19" s="1736" t="s">
        <v>1310</v>
      </c>
      <c r="J19" s="921" t="s">
        <v>1309</v>
      </c>
      <c r="K19" s="921" t="s">
        <v>1291</v>
      </c>
      <c r="L19" s="921" t="s">
        <v>1302</v>
      </c>
      <c r="M19" s="1723"/>
      <c r="N19" s="1736" t="s">
        <v>1285</v>
      </c>
      <c r="O19" s="921" t="s">
        <v>1270</v>
      </c>
      <c r="P19" s="921" t="s">
        <v>69</v>
      </c>
      <c r="Q19" s="921" t="s">
        <v>1323</v>
      </c>
      <c r="R19" s="1723" t="s">
        <v>1306</v>
      </c>
      <c r="S19" s="1736" t="s">
        <v>1282</v>
      </c>
      <c r="T19" s="921" t="s">
        <v>1330</v>
      </c>
      <c r="U19" s="921" t="s">
        <v>1331</v>
      </c>
      <c r="V19" s="921" t="s">
        <v>1323</v>
      </c>
      <c r="W19" s="921" t="s">
        <v>1309</v>
      </c>
      <c r="X19" s="1723"/>
      <c r="Y19" s="1736" t="s">
        <v>1310</v>
      </c>
      <c r="Z19" s="921" t="s">
        <v>1323</v>
      </c>
      <c r="AA19" s="921" t="s">
        <v>1330</v>
      </c>
      <c r="AB19" s="921" t="s">
        <v>1237</v>
      </c>
      <c r="AC19" s="921" t="s">
        <v>1314</v>
      </c>
      <c r="AD19" s="1723" t="s">
        <v>1317</v>
      </c>
    </row>
    <row r="20" spans="1:30" ht="22.5" x14ac:dyDescent="0.2">
      <c r="A20" s="1224"/>
      <c r="B20" s="1222"/>
      <c r="C20" s="1222"/>
      <c r="D20" s="1742"/>
      <c r="E20" s="921" t="s">
        <v>1317</v>
      </c>
      <c r="F20" s="921" t="s">
        <v>1295</v>
      </c>
      <c r="G20" s="921" t="s">
        <v>1323</v>
      </c>
      <c r="H20" s="1737" t="s">
        <v>1319</v>
      </c>
      <c r="I20" s="1736" t="s">
        <v>1329</v>
      </c>
      <c r="J20" s="921" t="s">
        <v>65</v>
      </c>
      <c r="K20" s="921" t="s">
        <v>72</v>
      </c>
      <c r="L20" s="921" t="s">
        <v>1319</v>
      </c>
      <c r="M20" s="1723"/>
      <c r="N20" s="1736" t="s">
        <v>1310</v>
      </c>
      <c r="O20" s="921" t="s">
        <v>1309</v>
      </c>
      <c r="P20" s="921" t="s">
        <v>1291</v>
      </c>
      <c r="Q20" s="921" t="s">
        <v>1315</v>
      </c>
      <c r="R20" s="1723" t="s">
        <v>1293</v>
      </c>
      <c r="S20" s="1736" t="s">
        <v>1312</v>
      </c>
      <c r="T20" s="921" t="s">
        <v>1320</v>
      </c>
      <c r="U20" s="921" t="s">
        <v>1250</v>
      </c>
      <c r="V20" s="921" t="s">
        <v>1289</v>
      </c>
      <c r="W20" s="921" t="s">
        <v>1328</v>
      </c>
      <c r="X20" s="1723"/>
      <c r="Y20" s="1736" t="s">
        <v>1305</v>
      </c>
      <c r="Z20" s="921" t="s">
        <v>1303</v>
      </c>
      <c r="AA20" s="921" t="s">
        <v>1328</v>
      </c>
      <c r="AB20" s="921" t="s">
        <v>65</v>
      </c>
      <c r="AC20" s="921" t="s">
        <v>1295</v>
      </c>
      <c r="AD20" s="1723" t="s">
        <v>1285</v>
      </c>
    </row>
    <row r="21" spans="1:30" ht="22.5" x14ac:dyDescent="0.2">
      <c r="A21" s="1224"/>
      <c r="B21" s="1222"/>
      <c r="C21" s="1222"/>
      <c r="D21" s="1742"/>
      <c r="E21" s="921" t="s">
        <v>65</v>
      </c>
      <c r="F21" s="921" t="s">
        <v>69</v>
      </c>
      <c r="G21" s="921" t="s">
        <v>1315</v>
      </c>
      <c r="H21" s="1737"/>
      <c r="I21" s="1736" t="s">
        <v>1322</v>
      </c>
      <c r="J21" s="921" t="s">
        <v>1324</v>
      </c>
      <c r="K21" s="921" t="s">
        <v>1312</v>
      </c>
      <c r="L21" s="921" t="s">
        <v>1326</v>
      </c>
      <c r="M21" s="1723"/>
      <c r="N21" s="1736" t="s">
        <v>1327</v>
      </c>
      <c r="O21" s="921" t="s">
        <v>65</v>
      </c>
      <c r="P21" s="921" t="s">
        <v>1289</v>
      </c>
      <c r="Q21" s="921" t="s">
        <v>74</v>
      </c>
      <c r="R21" s="1723" t="s">
        <v>1319</v>
      </c>
      <c r="S21" s="1736" t="s">
        <v>1324</v>
      </c>
      <c r="T21" s="921" t="s">
        <v>58</v>
      </c>
      <c r="U21" s="921" t="s">
        <v>1314</v>
      </c>
      <c r="V21" s="921" t="s">
        <v>1319</v>
      </c>
      <c r="W21" s="921" t="s">
        <v>1318</v>
      </c>
      <c r="X21" s="1737"/>
      <c r="Y21" s="1736" t="s">
        <v>1260</v>
      </c>
      <c r="Z21" s="921" t="s">
        <v>1281</v>
      </c>
      <c r="AA21" s="921" t="s">
        <v>339</v>
      </c>
      <c r="AB21" s="921" t="s">
        <v>69</v>
      </c>
      <c r="AC21" s="921" t="s">
        <v>1302</v>
      </c>
      <c r="AD21" s="1737" t="s">
        <v>60</v>
      </c>
    </row>
    <row r="22" spans="1:30" ht="12.75" x14ac:dyDescent="0.2">
      <c r="A22" s="1224"/>
      <c r="B22" s="1222"/>
      <c r="C22" s="1222"/>
      <c r="D22" s="1742"/>
      <c r="E22" s="921" t="s">
        <v>1324</v>
      </c>
      <c r="F22" s="921" t="s">
        <v>1289</v>
      </c>
      <c r="G22" s="921" t="s">
        <v>1321</v>
      </c>
      <c r="H22" s="1737"/>
      <c r="I22" s="1736" t="s">
        <v>64</v>
      </c>
      <c r="J22" s="921" t="s">
        <v>67</v>
      </c>
      <c r="K22" s="921" t="s">
        <v>1286</v>
      </c>
      <c r="L22" s="921" t="s">
        <v>1320</v>
      </c>
      <c r="M22" s="1723"/>
      <c r="N22" s="1736" t="s">
        <v>60</v>
      </c>
      <c r="O22" s="921" t="s">
        <v>1324</v>
      </c>
      <c r="P22" s="921" t="s">
        <v>72</v>
      </c>
      <c r="Q22" s="921" t="s">
        <v>341</v>
      </c>
      <c r="R22" s="1723" t="s">
        <v>1326</v>
      </c>
      <c r="S22" s="1736" t="s">
        <v>65</v>
      </c>
      <c r="T22" s="921" t="s">
        <v>60</v>
      </c>
      <c r="U22" s="921" t="s">
        <v>69</v>
      </c>
      <c r="V22" s="921" t="s">
        <v>1325</v>
      </c>
      <c r="W22" s="921" t="s">
        <v>1295</v>
      </c>
      <c r="X22" s="1723"/>
      <c r="Y22" s="1736" t="s">
        <v>1294</v>
      </c>
      <c r="Z22" s="921" t="s">
        <v>1304</v>
      </c>
      <c r="AA22" s="921" t="s">
        <v>1324</v>
      </c>
      <c r="AB22" s="921" t="s">
        <v>1312</v>
      </c>
      <c r="AC22" s="921" t="s">
        <v>67</v>
      </c>
      <c r="AD22" s="1723" t="s">
        <v>1306</v>
      </c>
    </row>
    <row r="23" spans="1:30" ht="22.5" x14ac:dyDescent="0.2">
      <c r="A23" s="1224"/>
      <c r="B23" s="1222"/>
      <c r="C23" s="1222"/>
      <c r="D23" s="1742"/>
      <c r="E23" s="824"/>
      <c r="F23" s="824"/>
      <c r="G23" s="824"/>
      <c r="H23" s="1723"/>
      <c r="I23" s="1736" t="s">
        <v>1314</v>
      </c>
      <c r="J23" s="921" t="s">
        <v>1020</v>
      </c>
      <c r="K23" s="921" t="s">
        <v>1323</v>
      </c>
      <c r="L23" s="921" t="s">
        <v>1263</v>
      </c>
      <c r="M23" s="1723"/>
      <c r="N23" s="1736" t="s">
        <v>1322</v>
      </c>
      <c r="O23" s="921" t="s">
        <v>1020</v>
      </c>
      <c r="P23" s="921" t="s">
        <v>1307</v>
      </c>
      <c r="Q23" s="921" t="s">
        <v>1321</v>
      </c>
      <c r="R23" s="1723"/>
      <c r="S23" s="1736" t="s">
        <v>341</v>
      </c>
      <c r="T23" s="921" t="s">
        <v>1280</v>
      </c>
      <c r="U23" s="921" t="s">
        <v>1306</v>
      </c>
      <c r="V23" s="921" t="s">
        <v>1296</v>
      </c>
      <c r="W23" s="921" t="s">
        <v>1301</v>
      </c>
      <c r="X23" s="1723"/>
      <c r="Y23" s="1736" t="s">
        <v>71</v>
      </c>
      <c r="Z23" s="921" t="s">
        <v>1320</v>
      </c>
      <c r="AA23" s="921" t="s">
        <v>1256</v>
      </c>
      <c r="AB23" s="921" t="s">
        <v>1319</v>
      </c>
      <c r="AC23" s="921" t="s">
        <v>1240</v>
      </c>
      <c r="AD23" s="1737" t="s">
        <v>1318</v>
      </c>
    </row>
    <row r="24" spans="1:30" ht="12.75" x14ac:dyDescent="0.2">
      <c r="A24" s="1224"/>
      <c r="B24" s="1222"/>
      <c r="C24" s="1222"/>
      <c r="D24" s="1738"/>
      <c r="E24" s="824"/>
      <c r="F24" s="824"/>
      <c r="G24" s="824"/>
      <c r="H24" s="1723"/>
      <c r="I24" s="1738" t="s">
        <v>1317</v>
      </c>
      <c r="J24" s="824" t="s">
        <v>1316</v>
      </c>
      <c r="K24" s="824" t="s">
        <v>1315</v>
      </c>
      <c r="L24" s="824"/>
      <c r="M24" s="1723"/>
      <c r="N24" s="1738" t="s">
        <v>1314</v>
      </c>
      <c r="O24" s="824" t="s">
        <v>1313</v>
      </c>
      <c r="P24" s="824" t="s">
        <v>1312</v>
      </c>
      <c r="Q24" s="824" t="s">
        <v>1302</v>
      </c>
      <c r="R24" s="1723"/>
      <c r="S24" s="1738" t="s">
        <v>1286</v>
      </c>
      <c r="T24" s="824" t="s">
        <v>1305</v>
      </c>
      <c r="U24" s="824" t="s">
        <v>1272</v>
      </c>
      <c r="V24" s="824" t="s">
        <v>1294</v>
      </c>
      <c r="W24" s="824" t="s">
        <v>1285</v>
      </c>
      <c r="X24" s="1723" t="s">
        <v>1304</v>
      </c>
      <c r="Y24" s="1738" t="s">
        <v>1241</v>
      </c>
      <c r="Z24" s="824" t="s">
        <v>1254</v>
      </c>
      <c r="AA24" s="824" t="s">
        <v>1282</v>
      </c>
      <c r="AB24" s="824" t="s">
        <v>1250</v>
      </c>
      <c r="AC24" s="824" t="s">
        <v>1293</v>
      </c>
      <c r="AD24" s="1723" t="s">
        <v>1013</v>
      </c>
    </row>
    <row r="25" spans="1:30" x14ac:dyDescent="0.2">
      <c r="A25" s="1224"/>
      <c r="B25" s="1222"/>
      <c r="C25" s="1222"/>
      <c r="D25" s="1743"/>
      <c r="E25" s="1730"/>
      <c r="F25" s="1730"/>
      <c r="G25" s="1730"/>
      <c r="H25" s="1731"/>
      <c r="I25" s="1732"/>
      <c r="J25" s="1734"/>
      <c r="K25" s="1734"/>
      <c r="L25" s="1733"/>
      <c r="M25" s="1731"/>
      <c r="N25" s="1732"/>
      <c r="O25" s="1734"/>
      <c r="P25" s="1734"/>
      <c r="Q25" s="1734"/>
      <c r="R25" s="1731"/>
      <c r="S25" s="1732"/>
      <c r="T25" s="1734"/>
      <c r="U25" s="1734"/>
      <c r="V25" s="1734"/>
      <c r="W25" s="1734"/>
      <c r="X25" s="1731"/>
      <c r="Y25" s="1729" t="s">
        <v>1276</v>
      </c>
      <c r="Z25" s="1730" t="s">
        <v>1287</v>
      </c>
      <c r="AA25" s="1730"/>
      <c r="AB25" s="1730"/>
      <c r="AC25" s="1730"/>
      <c r="AD25" s="1731"/>
    </row>
    <row r="26" spans="1:30" ht="12.75" customHeight="1" x14ac:dyDescent="0.2">
      <c r="A26" s="1224"/>
      <c r="B26" s="1222"/>
      <c r="C26" s="1222"/>
      <c r="D26" s="1739" t="s">
        <v>1311</v>
      </c>
      <c r="E26" s="921"/>
      <c r="F26" s="921"/>
      <c r="G26" s="921"/>
      <c r="H26" s="1737"/>
      <c r="I26" s="1736"/>
      <c r="J26" s="921"/>
      <c r="K26" s="921"/>
      <c r="L26" s="921"/>
      <c r="M26" s="1723"/>
      <c r="N26" s="1736"/>
      <c r="O26" s="921"/>
      <c r="P26" s="921"/>
      <c r="Q26" s="921"/>
      <c r="R26" s="1723"/>
      <c r="S26" s="1736"/>
      <c r="T26" s="921"/>
      <c r="U26" s="921"/>
      <c r="V26" s="921"/>
      <c r="W26" s="921"/>
      <c r="X26" s="1723"/>
      <c r="Y26" s="1736"/>
      <c r="Z26" s="921"/>
      <c r="AA26" s="921"/>
      <c r="AB26" s="921"/>
      <c r="AC26" s="921"/>
      <c r="AD26" s="1723"/>
    </row>
    <row r="27" spans="1:30" ht="33.75" x14ac:dyDescent="0.2">
      <c r="A27" s="1224"/>
      <c r="B27" s="1222"/>
      <c r="C27" s="1222"/>
      <c r="D27" s="1740"/>
      <c r="E27" s="1728" t="s">
        <v>1296</v>
      </c>
      <c r="F27" s="1728" t="s">
        <v>1310</v>
      </c>
      <c r="G27" s="1728" t="s">
        <v>1309</v>
      </c>
      <c r="H27" s="1741" t="s">
        <v>1263</v>
      </c>
      <c r="I27" s="1248" t="s">
        <v>1296</v>
      </c>
      <c r="J27" s="1728" t="s">
        <v>1308</v>
      </c>
      <c r="K27" s="1728" t="s">
        <v>1307</v>
      </c>
      <c r="L27" s="1728" t="s">
        <v>1306</v>
      </c>
      <c r="M27" s="1727"/>
      <c r="N27" s="1248" t="s">
        <v>1276</v>
      </c>
      <c r="O27" s="1728" t="s">
        <v>1305</v>
      </c>
      <c r="P27" s="1728" t="s">
        <v>71</v>
      </c>
      <c r="Q27" s="1728" t="s">
        <v>1304</v>
      </c>
      <c r="R27" s="1727" t="s">
        <v>1268</v>
      </c>
      <c r="S27" s="1248" t="s">
        <v>1303</v>
      </c>
      <c r="T27" s="1728" t="s">
        <v>1302</v>
      </c>
      <c r="U27" s="1728" t="s">
        <v>71</v>
      </c>
      <c r="V27" s="1728" t="s">
        <v>1290</v>
      </c>
      <c r="W27" s="1728" t="s">
        <v>1288</v>
      </c>
      <c r="X27" s="1727"/>
      <c r="Y27" s="1248" t="s">
        <v>1266</v>
      </c>
      <c r="Z27" s="1728" t="s">
        <v>1301</v>
      </c>
      <c r="AA27" s="1728" t="s">
        <v>1263</v>
      </c>
      <c r="AB27" s="1728" t="s">
        <v>1280</v>
      </c>
      <c r="AC27" s="1728" t="s">
        <v>1296</v>
      </c>
      <c r="AD27" s="1727" t="s">
        <v>1288</v>
      </c>
    </row>
    <row r="28" spans="1:30" ht="22.5" x14ac:dyDescent="0.2">
      <c r="A28" s="1224"/>
      <c r="B28" s="1222"/>
      <c r="C28" s="1222"/>
      <c r="D28" s="1742"/>
      <c r="E28" s="921" t="s">
        <v>1300</v>
      </c>
      <c r="F28" s="921" t="s">
        <v>1299</v>
      </c>
      <c r="G28" s="921" t="s">
        <v>1298</v>
      </c>
      <c r="H28" s="1737"/>
      <c r="I28" s="1736" t="s">
        <v>1285</v>
      </c>
      <c r="J28" s="921" t="s">
        <v>1262</v>
      </c>
      <c r="K28" s="921" t="s">
        <v>1297</v>
      </c>
      <c r="L28" s="921" t="s">
        <v>1293</v>
      </c>
      <c r="M28" s="1723"/>
      <c r="N28" s="1736" t="s">
        <v>1296</v>
      </c>
      <c r="O28" s="921" t="s">
        <v>1295</v>
      </c>
      <c r="P28" s="921" t="s">
        <v>1294</v>
      </c>
      <c r="Q28" s="921" t="s">
        <v>1282</v>
      </c>
      <c r="R28" s="1723" t="s">
        <v>1251</v>
      </c>
      <c r="S28" s="1736" t="s">
        <v>1268</v>
      </c>
      <c r="T28" s="921" t="s">
        <v>1293</v>
      </c>
      <c r="U28" s="921" t="s">
        <v>1292</v>
      </c>
      <c r="V28" s="921" t="s">
        <v>1291</v>
      </c>
      <c r="W28" s="921" t="s">
        <v>1262</v>
      </c>
      <c r="X28" s="1723"/>
      <c r="Y28" s="1736" t="s">
        <v>1272</v>
      </c>
      <c r="Z28" s="921" t="s">
        <v>1244</v>
      </c>
      <c r="AA28" s="921" t="s">
        <v>1291</v>
      </c>
      <c r="AB28" s="921" t="s">
        <v>1274</v>
      </c>
      <c r="AC28" s="921" t="s">
        <v>1290</v>
      </c>
      <c r="AD28" s="1723" t="s">
        <v>1251</v>
      </c>
    </row>
    <row r="29" spans="1:30" ht="22.5" x14ac:dyDescent="0.2">
      <c r="A29" s="1224"/>
      <c r="B29" s="1222"/>
      <c r="C29" s="1222"/>
      <c r="D29" s="1742"/>
      <c r="E29" s="921" t="s">
        <v>58</v>
      </c>
      <c r="F29" s="921" t="s">
        <v>1281</v>
      </c>
      <c r="G29" s="921" t="s">
        <v>1286</v>
      </c>
      <c r="H29" s="1737"/>
      <c r="I29" s="1736" t="s">
        <v>1281</v>
      </c>
      <c r="J29" s="921" t="s">
        <v>1289</v>
      </c>
      <c r="K29" s="921" t="s">
        <v>1257</v>
      </c>
      <c r="L29" s="921" t="s">
        <v>1279</v>
      </c>
      <c r="M29" s="1723"/>
      <c r="N29" s="1736" t="s">
        <v>1267</v>
      </c>
      <c r="O29" s="921" t="s">
        <v>1262</v>
      </c>
      <c r="P29" s="921" t="s">
        <v>1288</v>
      </c>
      <c r="Q29" s="921" t="s">
        <v>1287</v>
      </c>
      <c r="R29" s="1723" t="s">
        <v>1263</v>
      </c>
      <c r="S29" s="1736" t="s">
        <v>1281</v>
      </c>
      <c r="T29" s="921" t="s">
        <v>1260</v>
      </c>
      <c r="U29" s="921" t="s">
        <v>1238</v>
      </c>
      <c r="V29" s="921" t="s">
        <v>1267</v>
      </c>
      <c r="W29" s="921" t="s">
        <v>1254</v>
      </c>
      <c r="X29" s="1723"/>
      <c r="Y29" s="1736" t="s">
        <v>1238</v>
      </c>
      <c r="Z29" s="921" t="s">
        <v>1267</v>
      </c>
      <c r="AA29" s="921" t="s">
        <v>1273</v>
      </c>
      <c r="AB29" s="921" t="s">
        <v>1286</v>
      </c>
      <c r="AC29" s="921" t="s">
        <v>1271</v>
      </c>
      <c r="AD29" s="1723"/>
    </row>
    <row r="30" spans="1:30" ht="22.5" x14ac:dyDescent="0.2">
      <c r="A30" s="1224"/>
      <c r="B30" s="1222"/>
      <c r="C30" s="1222"/>
      <c r="D30" s="1743"/>
      <c r="E30" s="1734" t="s">
        <v>1285</v>
      </c>
      <c r="F30" s="1734" t="s">
        <v>1283</v>
      </c>
      <c r="G30" s="1734" t="s">
        <v>1284</v>
      </c>
      <c r="H30" s="1735"/>
      <c r="I30" s="1732" t="s">
        <v>1283</v>
      </c>
      <c r="J30" s="1734" t="s">
        <v>71</v>
      </c>
      <c r="K30" s="1734" t="s">
        <v>1282</v>
      </c>
      <c r="L30" s="1734" t="s">
        <v>1268</v>
      </c>
      <c r="M30" s="1731"/>
      <c r="N30" s="1732" t="s">
        <v>1281</v>
      </c>
      <c r="O30" s="1734" t="s">
        <v>1272</v>
      </c>
      <c r="P30" s="1734" t="s">
        <v>1280</v>
      </c>
      <c r="Q30" s="1734" t="s">
        <v>1279</v>
      </c>
      <c r="R30" s="1731"/>
      <c r="S30" s="1732"/>
      <c r="T30" s="1734"/>
      <c r="U30" s="1734"/>
      <c r="V30" s="1734"/>
      <c r="W30" s="1734"/>
      <c r="X30" s="1731"/>
      <c r="Y30" s="1732"/>
      <c r="Z30" s="1734"/>
      <c r="AA30" s="1734"/>
      <c r="AB30" s="1734"/>
      <c r="AC30" s="1734"/>
      <c r="AD30" s="1731"/>
    </row>
    <row r="31" spans="1:30" ht="12.75" customHeight="1" x14ac:dyDescent="0.2">
      <c r="A31" s="1224"/>
      <c r="B31" s="1222"/>
      <c r="C31" s="1222"/>
      <c r="D31" s="1739" t="s">
        <v>1278</v>
      </c>
      <c r="E31" s="921"/>
      <c r="F31" s="921"/>
      <c r="G31" s="921"/>
      <c r="H31" s="1737"/>
      <c r="I31" s="1736"/>
      <c r="J31" s="921"/>
      <c r="K31" s="921"/>
      <c r="L31" s="921"/>
      <c r="M31" s="1723"/>
      <c r="N31" s="1736"/>
      <c r="O31" s="921"/>
      <c r="P31" s="921"/>
      <c r="Q31" s="921"/>
      <c r="R31" s="1723"/>
      <c r="S31" s="1736"/>
      <c r="T31" s="921"/>
      <c r="U31" s="921"/>
      <c r="V31" s="921"/>
      <c r="W31" s="921"/>
      <c r="X31" s="1723"/>
      <c r="Y31" s="1736"/>
      <c r="Z31" s="921"/>
      <c r="AA31" s="921"/>
      <c r="AB31" s="921"/>
      <c r="AC31" s="921"/>
      <c r="AD31" s="1731"/>
    </row>
    <row r="32" spans="1:30" ht="33.75" x14ac:dyDescent="0.2">
      <c r="A32" s="1224"/>
      <c r="B32" s="1222"/>
      <c r="C32" s="1222"/>
      <c r="D32" s="1740"/>
      <c r="E32" s="1726" t="s">
        <v>1277</v>
      </c>
      <c r="F32" s="1726" t="s">
        <v>1270</v>
      </c>
      <c r="G32" s="1726" t="s">
        <v>1259</v>
      </c>
      <c r="H32" s="1727"/>
      <c r="I32" s="1248" t="s">
        <v>1276</v>
      </c>
      <c r="J32" s="1728" t="s">
        <v>1243</v>
      </c>
      <c r="K32" s="1728" t="s">
        <v>1237</v>
      </c>
      <c r="L32" s="1728" t="s">
        <v>1249</v>
      </c>
      <c r="M32" s="1727"/>
      <c r="N32" s="1248" t="s">
        <v>1269</v>
      </c>
      <c r="O32" s="1728" t="s">
        <v>1266</v>
      </c>
      <c r="P32" s="1728" t="s">
        <v>1257</v>
      </c>
      <c r="Q32" s="1728" t="s">
        <v>1275</v>
      </c>
      <c r="R32" s="1727"/>
      <c r="S32" s="1248" t="s">
        <v>1274</v>
      </c>
      <c r="T32" s="1728" t="s">
        <v>1237</v>
      </c>
      <c r="U32" s="1728" t="s">
        <v>1258</v>
      </c>
      <c r="V32" s="1728" t="s">
        <v>1266</v>
      </c>
      <c r="W32" s="1728" t="s">
        <v>1273</v>
      </c>
      <c r="X32" s="1727" t="s">
        <v>1271</v>
      </c>
      <c r="Y32" s="1248" t="s">
        <v>1269</v>
      </c>
      <c r="Z32" s="1728" t="s">
        <v>1258</v>
      </c>
      <c r="AA32" s="1728" t="s">
        <v>1261</v>
      </c>
      <c r="AB32" s="1728" t="s">
        <v>1257</v>
      </c>
      <c r="AC32" s="1728" t="s">
        <v>1270</v>
      </c>
      <c r="AD32" s="1723" t="s">
        <v>1245</v>
      </c>
    </row>
    <row r="33" spans="1:30" ht="22.5" x14ac:dyDescent="0.2">
      <c r="A33" s="1224"/>
      <c r="B33" s="1222"/>
      <c r="C33" s="1222"/>
      <c r="D33" s="1742"/>
      <c r="E33" s="824" t="s">
        <v>1254</v>
      </c>
      <c r="F33" s="824" t="s">
        <v>1265</v>
      </c>
      <c r="G33" s="824" t="s">
        <v>1252</v>
      </c>
      <c r="H33" s="1723"/>
      <c r="I33" s="1736" t="s">
        <v>1269</v>
      </c>
      <c r="J33" s="921" t="s">
        <v>253</v>
      </c>
      <c r="K33" s="921" t="s">
        <v>1272</v>
      </c>
      <c r="L33" s="921" t="s">
        <v>1241</v>
      </c>
      <c r="M33" s="1723"/>
      <c r="N33" s="1736" t="s">
        <v>1261</v>
      </c>
      <c r="O33" s="921" t="s">
        <v>1260</v>
      </c>
      <c r="P33" s="921" t="s">
        <v>1271</v>
      </c>
      <c r="Q33" s="921"/>
      <c r="R33" s="1723"/>
      <c r="S33" s="1736" t="s">
        <v>1246</v>
      </c>
      <c r="T33" s="921" t="s">
        <v>1270</v>
      </c>
      <c r="U33" s="921" t="s">
        <v>1269</v>
      </c>
      <c r="V33" s="921" t="s">
        <v>1261</v>
      </c>
      <c r="W33" s="921" t="s">
        <v>1013</v>
      </c>
      <c r="X33" s="1723" t="s">
        <v>253</v>
      </c>
      <c r="Y33" s="1736" t="s">
        <v>253</v>
      </c>
      <c r="Z33" s="921" t="s">
        <v>1236</v>
      </c>
      <c r="AA33" s="921" t="s">
        <v>1268</v>
      </c>
      <c r="AB33" s="921" t="s">
        <v>1246</v>
      </c>
      <c r="AC33" s="921" t="s">
        <v>1243</v>
      </c>
      <c r="AD33" s="1737" t="s">
        <v>1255</v>
      </c>
    </row>
    <row r="34" spans="1:30" ht="33.75" x14ac:dyDescent="0.2">
      <c r="A34" s="1224"/>
      <c r="B34" s="1222"/>
      <c r="C34" s="1222"/>
      <c r="D34" s="1744"/>
      <c r="E34" s="945"/>
      <c r="F34" s="945"/>
      <c r="G34" s="945"/>
      <c r="H34" s="1745"/>
      <c r="I34" s="1736" t="s">
        <v>1267</v>
      </c>
      <c r="J34" s="921" t="s">
        <v>1266</v>
      </c>
      <c r="K34" s="921" t="s">
        <v>1265</v>
      </c>
      <c r="L34" s="921" t="s">
        <v>1236</v>
      </c>
      <c r="M34" s="1723"/>
      <c r="N34" s="1736" t="s">
        <v>1254</v>
      </c>
      <c r="O34" s="921" t="s">
        <v>1264</v>
      </c>
      <c r="P34" s="921" t="s">
        <v>1244</v>
      </c>
      <c r="Q34" s="921"/>
      <c r="R34" s="1723"/>
      <c r="S34" s="1736" t="s">
        <v>1251</v>
      </c>
      <c r="T34" s="921" t="s">
        <v>1240</v>
      </c>
      <c r="U34" s="921" t="s">
        <v>1241</v>
      </c>
      <c r="V34" s="921" t="s">
        <v>1244</v>
      </c>
      <c r="W34" s="921" t="s">
        <v>1245</v>
      </c>
      <c r="X34" s="1723" t="s">
        <v>1263</v>
      </c>
      <c r="Y34" s="1736" t="s">
        <v>1242</v>
      </c>
      <c r="Z34" s="921" t="s">
        <v>1262</v>
      </c>
      <c r="AA34" s="921" t="s">
        <v>1248</v>
      </c>
      <c r="AB34" s="921" t="s">
        <v>1247</v>
      </c>
      <c r="AC34" s="921" t="s">
        <v>1249</v>
      </c>
      <c r="AD34" s="1723"/>
    </row>
    <row r="35" spans="1:30" ht="22.5" x14ac:dyDescent="0.2">
      <c r="A35" s="1224"/>
      <c r="B35" s="1222"/>
      <c r="C35" s="1222"/>
      <c r="D35" s="1744"/>
      <c r="E35" s="945"/>
      <c r="F35" s="945"/>
      <c r="G35" s="945"/>
      <c r="H35" s="1745"/>
      <c r="I35" s="1736" t="s">
        <v>1261</v>
      </c>
      <c r="J35" s="921" t="s">
        <v>1260</v>
      </c>
      <c r="K35" s="921" t="s">
        <v>1259</v>
      </c>
      <c r="L35" s="921" t="s">
        <v>1258</v>
      </c>
      <c r="M35" s="1723"/>
      <c r="N35" s="1736" t="s">
        <v>1246</v>
      </c>
      <c r="O35" s="921" t="s">
        <v>1245</v>
      </c>
      <c r="P35" s="921" t="s">
        <v>1238</v>
      </c>
      <c r="Q35" s="921"/>
      <c r="R35" s="1723"/>
      <c r="S35" s="1736" t="s">
        <v>1242</v>
      </c>
      <c r="T35" s="921" t="s">
        <v>1257</v>
      </c>
      <c r="U35" s="921" t="s">
        <v>1243</v>
      </c>
      <c r="V35" s="921" t="s">
        <v>1256</v>
      </c>
      <c r="W35" s="921" t="s">
        <v>1249</v>
      </c>
      <c r="X35" s="1737" t="s">
        <v>1255</v>
      </c>
      <c r="Y35" s="1736"/>
      <c r="Z35" s="921"/>
      <c r="AA35" s="921"/>
      <c r="AB35" s="921"/>
      <c r="AC35" s="921"/>
      <c r="AD35" s="1723"/>
    </row>
    <row r="36" spans="1:30" ht="22.5" x14ac:dyDescent="0.2">
      <c r="A36" s="1224"/>
      <c r="B36" s="1222"/>
      <c r="C36" s="1222"/>
      <c r="D36" s="1744"/>
      <c r="E36" s="945"/>
      <c r="F36" s="945"/>
      <c r="G36" s="945"/>
      <c r="H36" s="1745"/>
      <c r="I36" s="1736" t="s">
        <v>1254</v>
      </c>
      <c r="J36" s="921" t="s">
        <v>1253</v>
      </c>
      <c r="K36" s="921" t="s">
        <v>1252</v>
      </c>
      <c r="L36" s="921" t="s">
        <v>1251</v>
      </c>
      <c r="M36" s="1723"/>
      <c r="N36" s="1736" t="s">
        <v>1240</v>
      </c>
      <c r="O36" s="921" t="s">
        <v>1250</v>
      </c>
      <c r="P36" s="921" t="s">
        <v>1249</v>
      </c>
      <c r="Q36" s="921"/>
      <c r="R36" s="1723"/>
      <c r="S36" s="1736" t="s">
        <v>1248</v>
      </c>
      <c r="T36" s="921" t="s">
        <v>1247</v>
      </c>
      <c r="U36" s="921"/>
      <c r="V36" s="921"/>
      <c r="W36" s="921"/>
      <c r="X36" s="1723"/>
      <c r="Y36" s="1736"/>
      <c r="Z36" s="921"/>
      <c r="AA36" s="921"/>
      <c r="AB36" s="921"/>
      <c r="AC36" s="921"/>
      <c r="AD36" s="1723"/>
    </row>
    <row r="37" spans="1:30" x14ac:dyDescent="0.2">
      <c r="A37" s="1224"/>
      <c r="B37" s="1222"/>
      <c r="C37" s="1222"/>
      <c r="D37" s="1744"/>
      <c r="E37" s="945"/>
      <c r="F37" s="945"/>
      <c r="G37" s="945"/>
      <c r="H37" s="1745"/>
      <c r="I37" s="1736" t="s">
        <v>1246</v>
      </c>
      <c r="J37" s="921" t="s">
        <v>1245</v>
      </c>
      <c r="K37" s="921" t="s">
        <v>1244</v>
      </c>
      <c r="L37" s="1317"/>
      <c r="M37" s="1723"/>
      <c r="N37" s="1736" t="s">
        <v>1243</v>
      </c>
      <c r="O37" s="921" t="s">
        <v>1242</v>
      </c>
      <c r="P37" s="921" t="s">
        <v>1241</v>
      </c>
      <c r="Q37" s="416"/>
      <c r="R37" s="1723"/>
      <c r="S37" s="1736"/>
      <c r="T37" s="921"/>
      <c r="U37" s="921"/>
      <c r="V37" s="416"/>
      <c r="W37" s="416"/>
      <c r="X37" s="1723"/>
      <c r="Y37" s="1736"/>
      <c r="Z37" s="921"/>
      <c r="AA37" s="921"/>
      <c r="AB37" s="416"/>
      <c r="AC37" s="416"/>
      <c r="AD37" s="1723"/>
    </row>
    <row r="38" spans="1:30" ht="23.25" thickBot="1" x14ac:dyDescent="0.25">
      <c r="A38" s="1224"/>
      <c r="B38" s="1222"/>
      <c r="C38" s="1222"/>
      <c r="D38" s="1746"/>
      <c r="E38" s="1747"/>
      <c r="F38" s="1747"/>
      <c r="G38" s="1747"/>
      <c r="H38" s="1748"/>
      <c r="I38" s="1749" t="s">
        <v>1240</v>
      </c>
      <c r="J38" s="1750" t="s">
        <v>1239</v>
      </c>
      <c r="K38" s="1750" t="s">
        <v>1238</v>
      </c>
      <c r="L38" s="1751"/>
      <c r="M38" s="1752"/>
      <c r="N38" s="1749" t="s">
        <v>253</v>
      </c>
      <c r="O38" s="1750" t="s">
        <v>1237</v>
      </c>
      <c r="P38" s="1750" t="s">
        <v>1236</v>
      </c>
      <c r="Q38" s="1753"/>
      <c r="R38" s="1752"/>
      <c r="S38" s="1749"/>
      <c r="T38" s="1750"/>
      <c r="U38" s="1750"/>
      <c r="V38" s="1753"/>
      <c r="W38" s="1753"/>
      <c r="X38" s="1752"/>
      <c r="Y38" s="1749"/>
      <c r="Z38" s="1750"/>
      <c r="AA38" s="1750"/>
      <c r="AB38" s="1753"/>
      <c r="AC38" s="1753"/>
      <c r="AD38" s="1752"/>
    </row>
    <row r="39" spans="1:30" ht="12.75" x14ac:dyDescent="0.2">
      <c r="A39" s="1687"/>
      <c r="B39" s="1133"/>
      <c r="C39" s="1133"/>
      <c r="N39" s="428"/>
      <c r="O39" s="428"/>
      <c r="P39" s="428"/>
      <c r="Q39" s="428"/>
      <c r="R39" s="428"/>
      <c r="S39" s="428"/>
      <c r="T39" s="428"/>
      <c r="U39" s="428"/>
      <c r="V39" s="428"/>
      <c r="W39" s="428"/>
      <c r="X39" s="428"/>
      <c r="Y39" s="428"/>
      <c r="Z39" s="428"/>
      <c r="AA39" s="428"/>
    </row>
    <row r="40" spans="1:30" ht="15" customHeight="1" x14ac:dyDescent="0.2">
      <c r="A40" s="835">
        <v>5</v>
      </c>
      <c r="B40" s="835" t="s">
        <v>78</v>
      </c>
      <c r="C40" s="835"/>
      <c r="D40" s="3961" t="s">
        <v>1235</v>
      </c>
      <c r="E40" s="3962"/>
      <c r="F40" s="3962"/>
      <c r="G40" s="3962"/>
      <c r="H40" s="3962"/>
      <c r="I40" s="3962"/>
      <c r="J40" s="3962"/>
      <c r="K40" s="3962"/>
      <c r="L40" s="3962"/>
      <c r="M40" s="3962"/>
      <c r="N40" s="3962"/>
      <c r="O40" s="3962"/>
      <c r="P40" s="3962"/>
      <c r="Q40" s="3962"/>
      <c r="R40" s="3962"/>
      <c r="S40" s="3962"/>
      <c r="T40" s="3962"/>
      <c r="U40" s="3962"/>
      <c r="V40" s="3962"/>
      <c r="W40" s="3962"/>
      <c r="X40" s="3962"/>
      <c r="Y40" s="3962"/>
      <c r="Z40" s="3962"/>
      <c r="AA40" s="3962"/>
      <c r="AB40" s="3962"/>
      <c r="AC40" s="3962"/>
      <c r="AD40" s="3963"/>
    </row>
    <row r="41" spans="1:30" ht="68.25" customHeight="1" x14ac:dyDescent="0.2">
      <c r="A41" s="963">
        <v>6</v>
      </c>
      <c r="B41" s="963" t="s">
        <v>80</v>
      </c>
      <c r="C41" s="963"/>
      <c r="D41" s="3961" t="s">
        <v>1234</v>
      </c>
      <c r="E41" s="3962"/>
      <c r="F41" s="3962"/>
      <c r="G41" s="3962"/>
      <c r="H41" s="3962"/>
      <c r="I41" s="3962"/>
      <c r="J41" s="3962"/>
      <c r="K41" s="3962"/>
      <c r="L41" s="3962"/>
      <c r="M41" s="3962"/>
      <c r="N41" s="3962"/>
      <c r="O41" s="3962"/>
      <c r="P41" s="3962"/>
      <c r="Q41" s="3962"/>
      <c r="R41" s="3962"/>
      <c r="S41" s="3962"/>
      <c r="T41" s="3962"/>
      <c r="U41" s="3962"/>
      <c r="V41" s="3962"/>
      <c r="W41" s="3962"/>
      <c r="X41" s="3962"/>
      <c r="Y41" s="3962"/>
      <c r="Z41" s="3962"/>
      <c r="AA41" s="3962"/>
      <c r="AB41" s="3962"/>
      <c r="AC41" s="3962"/>
      <c r="AD41" s="3963"/>
    </row>
    <row r="42" spans="1:30" ht="12.75" customHeight="1" x14ac:dyDescent="0.2">
      <c r="A42" s="835">
        <v>7</v>
      </c>
      <c r="B42" s="835" t="s">
        <v>20</v>
      </c>
      <c r="C42" s="835"/>
      <c r="D42" s="3964" t="s">
        <v>1233</v>
      </c>
      <c r="E42" s="3965"/>
      <c r="F42" s="3965"/>
      <c r="G42" s="3965"/>
      <c r="H42" s="3965"/>
      <c r="I42" s="3965"/>
      <c r="J42" s="3965"/>
      <c r="K42" s="3965"/>
      <c r="L42" s="3965"/>
      <c r="M42" s="3965"/>
      <c r="N42" s="3965"/>
      <c r="O42" s="3965"/>
      <c r="P42" s="3965"/>
      <c r="Q42" s="3965"/>
      <c r="R42" s="3965"/>
      <c r="S42" s="3965"/>
      <c r="T42" s="3965"/>
      <c r="U42" s="3965"/>
      <c r="V42" s="3965"/>
      <c r="W42" s="3965"/>
      <c r="X42" s="3965"/>
      <c r="Y42" s="3965"/>
      <c r="Z42" s="3965"/>
      <c r="AA42" s="3965"/>
      <c r="AB42" s="3965"/>
      <c r="AC42" s="3965"/>
      <c r="AD42" s="3966"/>
    </row>
    <row r="43" spans="1:30" x14ac:dyDescent="0.25">
      <c r="N43" s="401"/>
      <c r="O43" s="892"/>
      <c r="P43" s="892"/>
      <c r="Q43" s="892"/>
      <c r="R43" s="892"/>
      <c r="S43" s="401"/>
      <c r="T43" s="892"/>
      <c r="U43" s="892"/>
      <c r="V43" s="892"/>
      <c r="W43" s="892"/>
      <c r="X43" s="892"/>
      <c r="Y43" s="892"/>
      <c r="Z43" s="892"/>
      <c r="AA43" s="892"/>
      <c r="AB43" s="892"/>
      <c r="AC43" s="892"/>
    </row>
    <row r="44" spans="1:30" x14ac:dyDescent="0.25">
      <c r="N44" s="401"/>
      <c r="O44" s="892"/>
      <c r="P44" s="892"/>
      <c r="Q44" s="892"/>
      <c r="R44" s="892"/>
      <c r="S44" s="401"/>
      <c r="T44" s="892"/>
      <c r="U44" s="892"/>
      <c r="V44" s="892"/>
      <c r="W44" s="892"/>
      <c r="X44" s="892"/>
      <c r="Y44" s="892"/>
      <c r="Z44" s="892"/>
      <c r="AA44" s="892"/>
      <c r="AB44" s="892"/>
      <c r="AC44" s="892"/>
    </row>
    <row r="45" spans="1:30" x14ac:dyDescent="0.25">
      <c r="G45" s="1754"/>
      <c r="N45" s="401"/>
      <c r="O45" s="892"/>
      <c r="P45" s="892"/>
      <c r="Q45" s="892"/>
      <c r="R45" s="892"/>
      <c r="S45" s="401"/>
      <c r="T45" s="892"/>
      <c r="U45" s="892"/>
      <c r="V45" s="892"/>
      <c r="W45" s="892"/>
      <c r="X45" s="892"/>
      <c r="Y45" s="892"/>
      <c r="Z45" s="892"/>
      <c r="AA45" s="892"/>
      <c r="AB45" s="892"/>
      <c r="AC45" s="892"/>
    </row>
    <row r="46" spans="1:30" x14ac:dyDescent="0.25">
      <c r="G46" s="1754"/>
      <c r="N46" s="401"/>
      <c r="S46" s="401"/>
    </row>
    <row r="47" spans="1:30" x14ac:dyDescent="0.25">
      <c r="G47" s="1754"/>
      <c r="N47" s="401"/>
      <c r="S47" s="401"/>
    </row>
    <row r="48" spans="1:30" x14ac:dyDescent="0.25">
      <c r="G48" s="1754"/>
      <c r="N48" s="401"/>
      <c r="S48" s="401"/>
    </row>
    <row r="49" spans="7:19" x14ac:dyDescent="0.25">
      <c r="G49" s="1754"/>
      <c r="N49" s="401"/>
      <c r="S49" s="401"/>
    </row>
    <row r="50" spans="7:19" x14ac:dyDescent="0.25">
      <c r="G50" s="1754"/>
      <c r="N50" s="401"/>
      <c r="S50" s="401"/>
    </row>
    <row r="51" spans="7:19" x14ac:dyDescent="0.25">
      <c r="G51" s="1754"/>
      <c r="N51" s="401"/>
      <c r="S51" s="401"/>
    </row>
    <row r="52" spans="7:19" x14ac:dyDescent="0.25">
      <c r="G52" s="1754"/>
      <c r="N52" s="401"/>
      <c r="S52" s="401"/>
    </row>
    <row r="53" spans="7:19" x14ac:dyDescent="0.25">
      <c r="G53" s="1754"/>
      <c r="N53" s="401"/>
      <c r="S53" s="401"/>
    </row>
    <row r="54" spans="7:19" x14ac:dyDescent="0.25">
      <c r="G54" s="1754"/>
      <c r="N54" s="401"/>
      <c r="S54" s="401"/>
    </row>
    <row r="55" spans="7:19" x14ac:dyDescent="0.25">
      <c r="G55" s="1754"/>
      <c r="N55" s="401"/>
      <c r="S55" s="401"/>
    </row>
    <row r="56" spans="7:19" x14ac:dyDescent="0.2">
      <c r="N56" s="401"/>
      <c r="S56" s="401"/>
    </row>
    <row r="57" spans="7:19" x14ac:dyDescent="0.2">
      <c r="N57" s="401"/>
      <c r="S57" s="401"/>
    </row>
    <row r="58" spans="7:19" x14ac:dyDescent="0.2">
      <c r="N58" s="401"/>
      <c r="S58" s="401"/>
    </row>
    <row r="59" spans="7:19" x14ac:dyDescent="0.2">
      <c r="N59" s="401"/>
      <c r="S59" s="401"/>
    </row>
    <row r="60" spans="7:19" x14ac:dyDescent="0.2">
      <c r="N60" s="401"/>
      <c r="S60" s="401"/>
    </row>
    <row r="61" spans="7:19" x14ac:dyDescent="0.2">
      <c r="N61" s="401"/>
      <c r="S61" s="401"/>
    </row>
    <row r="62" spans="7:19" x14ac:dyDescent="0.2">
      <c r="N62" s="401"/>
      <c r="S62" s="401"/>
    </row>
    <row r="63" spans="7:19" x14ac:dyDescent="0.2">
      <c r="N63" s="401"/>
      <c r="S63" s="401"/>
    </row>
    <row r="64" spans="7:19" x14ac:dyDescent="0.2">
      <c r="N64" s="401"/>
      <c r="S64" s="401"/>
    </row>
  </sheetData>
  <mergeCells count="6">
    <mergeCell ref="D41:AD41"/>
    <mergeCell ref="D42:AD42"/>
    <mergeCell ref="D2:G2"/>
    <mergeCell ref="D3:X3"/>
    <mergeCell ref="D4:X4"/>
    <mergeCell ref="D40:AD40"/>
  </mergeCells>
  <hyperlinks>
    <hyperlink ref="D42" r:id="rId1"/>
  </hyperlinks>
  <pageMargins left="0.74803149606299213" right="0.74803149606299213" top="0.98425196850393704" bottom="0.98425196850393704" header="0.51181102362204722" footer="0.51181102362204722"/>
  <pageSetup paperSize="9" scale="39" orientation="landscape" r:id="rId2"/>
  <headerFooter alignWithMargins="0">
    <oddHeader>&amp;C&amp;"-,Bold"DEVELOPMENT INDICATORS 2014</oddHeader>
    <oddFooter>&amp;LDepartment of Planning, Monitoring and Evaluation (DPME). &amp;CPage &amp;P of &amp;N&amp;R&amp;D</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D81"/>
  <sheetViews>
    <sheetView showGridLines="0" view="pageBreakPreview" topLeftCell="M1" zoomScaleNormal="100" zoomScaleSheetLayoutView="100" workbookViewId="0">
      <selection activeCell="AI12" sqref="AI12:AJ13"/>
    </sheetView>
  </sheetViews>
  <sheetFormatPr defaultColWidth="9.140625" defaultRowHeight="12" x14ac:dyDescent="0.2"/>
  <cols>
    <col min="1" max="1" width="3.7109375" style="1687" customWidth="1"/>
    <col min="2" max="2" width="14.42578125" style="1688" customWidth="1"/>
    <col min="3" max="3" width="3.7109375" style="1688" customWidth="1"/>
    <col min="4" max="4" width="18.28515625" style="428" customWidth="1"/>
    <col min="5" max="26" width="5.7109375" style="428" customWidth="1"/>
    <col min="27" max="36" width="5.5703125" style="428" customWidth="1"/>
    <col min="37" max="262" width="9.140625" style="428"/>
    <col min="263" max="263" width="3.7109375" style="428" customWidth="1"/>
    <col min="264" max="264" width="14.42578125" style="428" customWidth="1"/>
    <col min="265" max="265" width="3.7109375" style="428" customWidth="1"/>
    <col min="266" max="266" width="18.28515625" style="428" customWidth="1"/>
    <col min="267" max="289" width="5.7109375" style="428" customWidth="1"/>
    <col min="290" max="518" width="9.140625" style="428"/>
    <col min="519" max="519" width="3.7109375" style="428" customWidth="1"/>
    <col min="520" max="520" width="14.42578125" style="428" customWidth="1"/>
    <col min="521" max="521" width="3.7109375" style="428" customWidth="1"/>
    <col min="522" max="522" width="18.28515625" style="428" customWidth="1"/>
    <col min="523" max="545" width="5.7109375" style="428" customWidth="1"/>
    <col min="546" max="774" width="9.140625" style="428"/>
    <col min="775" max="775" width="3.7109375" style="428" customWidth="1"/>
    <col min="776" max="776" width="14.42578125" style="428" customWidth="1"/>
    <col min="777" max="777" width="3.7109375" style="428" customWidth="1"/>
    <col min="778" max="778" width="18.28515625" style="428" customWidth="1"/>
    <col min="779" max="801" width="5.7109375" style="428" customWidth="1"/>
    <col min="802" max="1030" width="9.140625" style="428"/>
    <col min="1031" max="1031" width="3.7109375" style="428" customWidth="1"/>
    <col min="1032" max="1032" width="14.42578125" style="428" customWidth="1"/>
    <col min="1033" max="1033" width="3.7109375" style="428" customWidth="1"/>
    <col min="1034" max="1034" width="18.28515625" style="428" customWidth="1"/>
    <col min="1035" max="1057" width="5.7109375" style="428" customWidth="1"/>
    <col min="1058" max="1286" width="9.140625" style="428"/>
    <col min="1287" max="1287" width="3.7109375" style="428" customWidth="1"/>
    <col min="1288" max="1288" width="14.42578125" style="428" customWidth="1"/>
    <col min="1289" max="1289" width="3.7109375" style="428" customWidth="1"/>
    <col min="1290" max="1290" width="18.28515625" style="428" customWidth="1"/>
    <col min="1291" max="1313" width="5.7109375" style="428" customWidth="1"/>
    <col min="1314" max="1542" width="9.140625" style="428"/>
    <col min="1543" max="1543" width="3.7109375" style="428" customWidth="1"/>
    <col min="1544" max="1544" width="14.42578125" style="428" customWidth="1"/>
    <col min="1545" max="1545" width="3.7109375" style="428" customWidth="1"/>
    <col min="1546" max="1546" width="18.28515625" style="428" customWidth="1"/>
    <col min="1547" max="1569" width="5.7109375" style="428" customWidth="1"/>
    <col min="1570" max="1798" width="9.140625" style="428"/>
    <col min="1799" max="1799" width="3.7109375" style="428" customWidth="1"/>
    <col min="1800" max="1800" width="14.42578125" style="428" customWidth="1"/>
    <col min="1801" max="1801" width="3.7109375" style="428" customWidth="1"/>
    <col min="1802" max="1802" width="18.28515625" style="428" customWidth="1"/>
    <col min="1803" max="1825" width="5.7109375" style="428" customWidth="1"/>
    <col min="1826" max="2054" width="9.140625" style="428"/>
    <col min="2055" max="2055" width="3.7109375" style="428" customWidth="1"/>
    <col min="2056" max="2056" width="14.42578125" style="428" customWidth="1"/>
    <col min="2057" max="2057" width="3.7109375" style="428" customWidth="1"/>
    <col min="2058" max="2058" width="18.28515625" style="428" customWidth="1"/>
    <col min="2059" max="2081" width="5.7109375" style="428" customWidth="1"/>
    <col min="2082" max="2310" width="9.140625" style="428"/>
    <col min="2311" max="2311" width="3.7109375" style="428" customWidth="1"/>
    <col min="2312" max="2312" width="14.42578125" style="428" customWidth="1"/>
    <col min="2313" max="2313" width="3.7109375" style="428" customWidth="1"/>
    <col min="2314" max="2314" width="18.28515625" style="428" customWidth="1"/>
    <col min="2315" max="2337" width="5.7109375" style="428" customWidth="1"/>
    <col min="2338" max="2566" width="9.140625" style="428"/>
    <col min="2567" max="2567" width="3.7109375" style="428" customWidth="1"/>
    <col min="2568" max="2568" width="14.42578125" style="428" customWidth="1"/>
    <col min="2569" max="2569" width="3.7109375" style="428" customWidth="1"/>
    <col min="2570" max="2570" width="18.28515625" style="428" customWidth="1"/>
    <col min="2571" max="2593" width="5.7109375" style="428" customWidth="1"/>
    <col min="2594" max="2822" width="9.140625" style="428"/>
    <col min="2823" max="2823" width="3.7109375" style="428" customWidth="1"/>
    <col min="2824" max="2824" width="14.42578125" style="428" customWidth="1"/>
    <col min="2825" max="2825" width="3.7109375" style="428" customWidth="1"/>
    <col min="2826" max="2826" width="18.28515625" style="428" customWidth="1"/>
    <col min="2827" max="2849" width="5.7109375" style="428" customWidth="1"/>
    <col min="2850" max="3078" width="9.140625" style="428"/>
    <col min="3079" max="3079" width="3.7109375" style="428" customWidth="1"/>
    <col min="3080" max="3080" width="14.42578125" style="428" customWidth="1"/>
    <col min="3081" max="3081" width="3.7109375" style="428" customWidth="1"/>
    <col min="3082" max="3082" width="18.28515625" style="428" customWidth="1"/>
    <col min="3083" max="3105" width="5.7109375" style="428" customWidth="1"/>
    <col min="3106" max="3334" width="9.140625" style="428"/>
    <col min="3335" max="3335" width="3.7109375" style="428" customWidth="1"/>
    <col min="3336" max="3336" width="14.42578125" style="428" customWidth="1"/>
    <col min="3337" max="3337" width="3.7109375" style="428" customWidth="1"/>
    <col min="3338" max="3338" width="18.28515625" style="428" customWidth="1"/>
    <col min="3339" max="3361" width="5.7109375" style="428" customWidth="1"/>
    <col min="3362" max="3590" width="9.140625" style="428"/>
    <col min="3591" max="3591" width="3.7109375" style="428" customWidth="1"/>
    <col min="3592" max="3592" width="14.42578125" style="428" customWidth="1"/>
    <col min="3593" max="3593" width="3.7109375" style="428" customWidth="1"/>
    <col min="3594" max="3594" width="18.28515625" style="428" customWidth="1"/>
    <col min="3595" max="3617" width="5.7109375" style="428" customWidth="1"/>
    <col min="3618" max="3846" width="9.140625" style="428"/>
    <col min="3847" max="3847" width="3.7109375" style="428" customWidth="1"/>
    <col min="3848" max="3848" width="14.42578125" style="428" customWidth="1"/>
    <col min="3849" max="3849" width="3.7109375" style="428" customWidth="1"/>
    <col min="3850" max="3850" width="18.28515625" style="428" customWidth="1"/>
    <col min="3851" max="3873" width="5.7109375" style="428" customWidth="1"/>
    <col min="3874" max="4102" width="9.140625" style="428"/>
    <col min="4103" max="4103" width="3.7109375" style="428" customWidth="1"/>
    <col min="4104" max="4104" width="14.42578125" style="428" customWidth="1"/>
    <col min="4105" max="4105" width="3.7109375" style="428" customWidth="1"/>
    <col min="4106" max="4106" width="18.28515625" style="428" customWidth="1"/>
    <col min="4107" max="4129" width="5.7109375" style="428" customWidth="1"/>
    <col min="4130" max="4358" width="9.140625" style="428"/>
    <col min="4359" max="4359" width="3.7109375" style="428" customWidth="1"/>
    <col min="4360" max="4360" width="14.42578125" style="428" customWidth="1"/>
    <col min="4361" max="4361" width="3.7109375" style="428" customWidth="1"/>
    <col min="4362" max="4362" width="18.28515625" style="428" customWidth="1"/>
    <col min="4363" max="4385" width="5.7109375" style="428" customWidth="1"/>
    <col min="4386" max="4614" width="9.140625" style="428"/>
    <col min="4615" max="4615" width="3.7109375" style="428" customWidth="1"/>
    <col min="4616" max="4616" width="14.42578125" style="428" customWidth="1"/>
    <col min="4617" max="4617" width="3.7109375" style="428" customWidth="1"/>
    <col min="4618" max="4618" width="18.28515625" style="428" customWidth="1"/>
    <col min="4619" max="4641" width="5.7109375" style="428" customWidth="1"/>
    <col min="4642" max="4870" width="9.140625" style="428"/>
    <col min="4871" max="4871" width="3.7109375" style="428" customWidth="1"/>
    <col min="4872" max="4872" width="14.42578125" style="428" customWidth="1"/>
    <col min="4873" max="4873" width="3.7109375" style="428" customWidth="1"/>
    <col min="4874" max="4874" width="18.28515625" style="428" customWidth="1"/>
    <col min="4875" max="4897" width="5.7109375" style="428" customWidth="1"/>
    <col min="4898" max="5126" width="9.140625" style="428"/>
    <col min="5127" max="5127" width="3.7109375" style="428" customWidth="1"/>
    <col min="5128" max="5128" width="14.42578125" style="428" customWidth="1"/>
    <col min="5129" max="5129" width="3.7109375" style="428" customWidth="1"/>
    <col min="5130" max="5130" width="18.28515625" style="428" customWidth="1"/>
    <col min="5131" max="5153" width="5.7109375" style="428" customWidth="1"/>
    <col min="5154" max="5382" width="9.140625" style="428"/>
    <col min="5383" max="5383" width="3.7109375" style="428" customWidth="1"/>
    <col min="5384" max="5384" width="14.42578125" style="428" customWidth="1"/>
    <col min="5385" max="5385" width="3.7109375" style="428" customWidth="1"/>
    <col min="5386" max="5386" width="18.28515625" style="428" customWidth="1"/>
    <col min="5387" max="5409" width="5.7109375" style="428" customWidth="1"/>
    <col min="5410" max="5638" width="9.140625" style="428"/>
    <col min="5639" max="5639" width="3.7109375" style="428" customWidth="1"/>
    <col min="5640" max="5640" width="14.42578125" style="428" customWidth="1"/>
    <col min="5641" max="5641" width="3.7109375" style="428" customWidth="1"/>
    <col min="5642" max="5642" width="18.28515625" style="428" customWidth="1"/>
    <col min="5643" max="5665" width="5.7109375" style="428" customWidth="1"/>
    <col min="5666" max="5894" width="9.140625" style="428"/>
    <col min="5895" max="5895" width="3.7109375" style="428" customWidth="1"/>
    <col min="5896" max="5896" width="14.42578125" style="428" customWidth="1"/>
    <col min="5897" max="5897" width="3.7109375" style="428" customWidth="1"/>
    <col min="5898" max="5898" width="18.28515625" style="428" customWidth="1"/>
    <col min="5899" max="5921" width="5.7109375" style="428" customWidth="1"/>
    <col min="5922" max="6150" width="9.140625" style="428"/>
    <col min="6151" max="6151" width="3.7109375" style="428" customWidth="1"/>
    <col min="6152" max="6152" width="14.42578125" style="428" customWidth="1"/>
    <col min="6153" max="6153" width="3.7109375" style="428" customWidth="1"/>
    <col min="6154" max="6154" width="18.28515625" style="428" customWidth="1"/>
    <col min="6155" max="6177" width="5.7109375" style="428" customWidth="1"/>
    <col min="6178" max="6406" width="9.140625" style="428"/>
    <col min="6407" max="6407" width="3.7109375" style="428" customWidth="1"/>
    <col min="6408" max="6408" width="14.42578125" style="428" customWidth="1"/>
    <col min="6409" max="6409" width="3.7109375" style="428" customWidth="1"/>
    <col min="6410" max="6410" width="18.28515625" style="428" customWidth="1"/>
    <col min="6411" max="6433" width="5.7109375" style="428" customWidth="1"/>
    <col min="6434" max="6662" width="9.140625" style="428"/>
    <col min="6663" max="6663" width="3.7109375" style="428" customWidth="1"/>
    <col min="6664" max="6664" width="14.42578125" style="428" customWidth="1"/>
    <col min="6665" max="6665" width="3.7109375" style="428" customWidth="1"/>
    <col min="6666" max="6666" width="18.28515625" style="428" customWidth="1"/>
    <col min="6667" max="6689" width="5.7109375" style="428" customWidth="1"/>
    <col min="6690" max="6918" width="9.140625" style="428"/>
    <col min="6919" max="6919" width="3.7109375" style="428" customWidth="1"/>
    <col min="6920" max="6920" width="14.42578125" style="428" customWidth="1"/>
    <col min="6921" max="6921" width="3.7109375" style="428" customWidth="1"/>
    <col min="6922" max="6922" width="18.28515625" style="428" customWidth="1"/>
    <col min="6923" max="6945" width="5.7109375" style="428" customWidth="1"/>
    <col min="6946" max="7174" width="9.140625" style="428"/>
    <col min="7175" max="7175" width="3.7109375" style="428" customWidth="1"/>
    <col min="7176" max="7176" width="14.42578125" style="428" customWidth="1"/>
    <col min="7177" max="7177" width="3.7109375" style="428" customWidth="1"/>
    <col min="7178" max="7178" width="18.28515625" style="428" customWidth="1"/>
    <col min="7179" max="7201" width="5.7109375" style="428" customWidth="1"/>
    <col min="7202" max="7430" width="9.140625" style="428"/>
    <col min="7431" max="7431" width="3.7109375" style="428" customWidth="1"/>
    <col min="7432" max="7432" width="14.42578125" style="428" customWidth="1"/>
    <col min="7433" max="7433" width="3.7109375" style="428" customWidth="1"/>
    <col min="7434" max="7434" width="18.28515625" style="428" customWidth="1"/>
    <col min="7435" max="7457" width="5.7109375" style="428" customWidth="1"/>
    <col min="7458" max="7686" width="9.140625" style="428"/>
    <col min="7687" max="7687" width="3.7109375" style="428" customWidth="1"/>
    <col min="7688" max="7688" width="14.42578125" style="428" customWidth="1"/>
    <col min="7689" max="7689" width="3.7109375" style="428" customWidth="1"/>
    <col min="7690" max="7690" width="18.28515625" style="428" customWidth="1"/>
    <col min="7691" max="7713" width="5.7109375" style="428" customWidth="1"/>
    <col min="7714" max="7942" width="9.140625" style="428"/>
    <col min="7943" max="7943" width="3.7109375" style="428" customWidth="1"/>
    <col min="7944" max="7944" width="14.42578125" style="428" customWidth="1"/>
    <col min="7945" max="7945" width="3.7109375" style="428" customWidth="1"/>
    <col min="7946" max="7946" width="18.28515625" style="428" customWidth="1"/>
    <col min="7947" max="7969" width="5.7109375" style="428" customWidth="1"/>
    <col min="7970" max="8198" width="9.140625" style="428"/>
    <col min="8199" max="8199" width="3.7109375" style="428" customWidth="1"/>
    <col min="8200" max="8200" width="14.42578125" style="428" customWidth="1"/>
    <col min="8201" max="8201" width="3.7109375" style="428" customWidth="1"/>
    <col min="8202" max="8202" width="18.28515625" style="428" customWidth="1"/>
    <col min="8203" max="8225" width="5.7109375" style="428" customWidth="1"/>
    <col min="8226" max="8454" width="9.140625" style="428"/>
    <col min="8455" max="8455" width="3.7109375" style="428" customWidth="1"/>
    <col min="8456" max="8456" width="14.42578125" style="428" customWidth="1"/>
    <col min="8457" max="8457" width="3.7109375" style="428" customWidth="1"/>
    <col min="8458" max="8458" width="18.28515625" style="428" customWidth="1"/>
    <col min="8459" max="8481" width="5.7109375" style="428" customWidth="1"/>
    <col min="8482" max="8710" width="9.140625" style="428"/>
    <col min="8711" max="8711" width="3.7109375" style="428" customWidth="1"/>
    <col min="8712" max="8712" width="14.42578125" style="428" customWidth="1"/>
    <col min="8713" max="8713" width="3.7109375" style="428" customWidth="1"/>
    <col min="8714" max="8714" width="18.28515625" style="428" customWidth="1"/>
    <col min="8715" max="8737" width="5.7109375" style="428" customWidth="1"/>
    <col min="8738" max="8966" width="9.140625" style="428"/>
    <col min="8967" max="8967" width="3.7109375" style="428" customWidth="1"/>
    <col min="8968" max="8968" width="14.42578125" style="428" customWidth="1"/>
    <col min="8969" max="8969" width="3.7109375" style="428" customWidth="1"/>
    <col min="8970" max="8970" width="18.28515625" style="428" customWidth="1"/>
    <col min="8971" max="8993" width="5.7109375" style="428" customWidth="1"/>
    <col min="8994" max="9222" width="9.140625" style="428"/>
    <col min="9223" max="9223" width="3.7109375" style="428" customWidth="1"/>
    <col min="9224" max="9224" width="14.42578125" style="428" customWidth="1"/>
    <col min="9225" max="9225" width="3.7109375" style="428" customWidth="1"/>
    <col min="9226" max="9226" width="18.28515625" style="428" customWidth="1"/>
    <col min="9227" max="9249" width="5.7109375" style="428" customWidth="1"/>
    <col min="9250" max="9478" width="9.140625" style="428"/>
    <col min="9479" max="9479" width="3.7109375" style="428" customWidth="1"/>
    <col min="9480" max="9480" width="14.42578125" style="428" customWidth="1"/>
    <col min="9481" max="9481" width="3.7109375" style="428" customWidth="1"/>
    <col min="9482" max="9482" width="18.28515625" style="428" customWidth="1"/>
    <col min="9483" max="9505" width="5.7109375" style="428" customWidth="1"/>
    <col min="9506" max="9734" width="9.140625" style="428"/>
    <col min="9735" max="9735" width="3.7109375" style="428" customWidth="1"/>
    <col min="9736" max="9736" width="14.42578125" style="428" customWidth="1"/>
    <col min="9737" max="9737" width="3.7109375" style="428" customWidth="1"/>
    <col min="9738" max="9738" width="18.28515625" style="428" customWidth="1"/>
    <col min="9739" max="9761" width="5.7109375" style="428" customWidth="1"/>
    <col min="9762" max="9990" width="9.140625" style="428"/>
    <col min="9991" max="9991" width="3.7109375" style="428" customWidth="1"/>
    <col min="9992" max="9992" width="14.42578125" style="428" customWidth="1"/>
    <col min="9993" max="9993" width="3.7109375" style="428" customWidth="1"/>
    <col min="9994" max="9994" width="18.28515625" style="428" customWidth="1"/>
    <col min="9995" max="10017" width="5.7109375" style="428" customWidth="1"/>
    <col min="10018" max="10246" width="9.140625" style="428"/>
    <col min="10247" max="10247" width="3.7109375" style="428" customWidth="1"/>
    <col min="10248" max="10248" width="14.42578125" style="428" customWidth="1"/>
    <col min="10249" max="10249" width="3.7109375" style="428" customWidth="1"/>
    <col min="10250" max="10250" width="18.28515625" style="428" customWidth="1"/>
    <col min="10251" max="10273" width="5.7109375" style="428" customWidth="1"/>
    <col min="10274" max="10502" width="9.140625" style="428"/>
    <col min="10503" max="10503" width="3.7109375" style="428" customWidth="1"/>
    <col min="10504" max="10504" width="14.42578125" style="428" customWidth="1"/>
    <col min="10505" max="10505" width="3.7109375" style="428" customWidth="1"/>
    <col min="10506" max="10506" width="18.28515625" style="428" customWidth="1"/>
    <col min="10507" max="10529" width="5.7109375" style="428" customWidth="1"/>
    <col min="10530" max="10758" width="9.140625" style="428"/>
    <col min="10759" max="10759" width="3.7109375" style="428" customWidth="1"/>
    <col min="10760" max="10760" width="14.42578125" style="428" customWidth="1"/>
    <col min="10761" max="10761" width="3.7109375" style="428" customWidth="1"/>
    <col min="10762" max="10762" width="18.28515625" style="428" customWidth="1"/>
    <col min="10763" max="10785" width="5.7109375" style="428" customWidth="1"/>
    <col min="10786" max="11014" width="9.140625" style="428"/>
    <col min="11015" max="11015" width="3.7109375" style="428" customWidth="1"/>
    <col min="11016" max="11016" width="14.42578125" style="428" customWidth="1"/>
    <col min="11017" max="11017" width="3.7109375" style="428" customWidth="1"/>
    <col min="11018" max="11018" width="18.28515625" style="428" customWidth="1"/>
    <col min="11019" max="11041" width="5.7109375" style="428" customWidth="1"/>
    <col min="11042" max="11270" width="9.140625" style="428"/>
    <col min="11271" max="11271" width="3.7109375" style="428" customWidth="1"/>
    <col min="11272" max="11272" width="14.42578125" style="428" customWidth="1"/>
    <col min="11273" max="11273" width="3.7109375" style="428" customWidth="1"/>
    <col min="11274" max="11274" width="18.28515625" style="428" customWidth="1"/>
    <col min="11275" max="11297" width="5.7109375" style="428" customWidth="1"/>
    <col min="11298" max="11526" width="9.140625" style="428"/>
    <col min="11527" max="11527" width="3.7109375" style="428" customWidth="1"/>
    <col min="11528" max="11528" width="14.42578125" style="428" customWidth="1"/>
    <col min="11529" max="11529" width="3.7109375" style="428" customWidth="1"/>
    <col min="11530" max="11530" width="18.28515625" style="428" customWidth="1"/>
    <col min="11531" max="11553" width="5.7109375" style="428" customWidth="1"/>
    <col min="11554" max="11782" width="9.140625" style="428"/>
    <col min="11783" max="11783" width="3.7109375" style="428" customWidth="1"/>
    <col min="11784" max="11784" width="14.42578125" style="428" customWidth="1"/>
    <col min="11785" max="11785" width="3.7109375" style="428" customWidth="1"/>
    <col min="11786" max="11786" width="18.28515625" style="428" customWidth="1"/>
    <col min="11787" max="11809" width="5.7109375" style="428" customWidth="1"/>
    <col min="11810" max="12038" width="9.140625" style="428"/>
    <col min="12039" max="12039" width="3.7109375" style="428" customWidth="1"/>
    <col min="12040" max="12040" width="14.42578125" style="428" customWidth="1"/>
    <col min="12041" max="12041" width="3.7109375" style="428" customWidth="1"/>
    <col min="12042" max="12042" width="18.28515625" style="428" customWidth="1"/>
    <col min="12043" max="12065" width="5.7109375" style="428" customWidth="1"/>
    <col min="12066" max="12294" width="9.140625" style="428"/>
    <col min="12295" max="12295" width="3.7109375" style="428" customWidth="1"/>
    <col min="12296" max="12296" width="14.42578125" style="428" customWidth="1"/>
    <col min="12297" max="12297" width="3.7109375" style="428" customWidth="1"/>
    <col min="12298" max="12298" width="18.28515625" style="428" customWidth="1"/>
    <col min="12299" max="12321" width="5.7109375" style="428" customWidth="1"/>
    <col min="12322" max="12550" width="9.140625" style="428"/>
    <col min="12551" max="12551" width="3.7109375" style="428" customWidth="1"/>
    <col min="12552" max="12552" width="14.42578125" style="428" customWidth="1"/>
    <col min="12553" max="12553" width="3.7109375" style="428" customWidth="1"/>
    <col min="12554" max="12554" width="18.28515625" style="428" customWidth="1"/>
    <col min="12555" max="12577" width="5.7109375" style="428" customWidth="1"/>
    <col min="12578" max="12806" width="9.140625" style="428"/>
    <col min="12807" max="12807" width="3.7109375" style="428" customWidth="1"/>
    <col min="12808" max="12808" width="14.42578125" style="428" customWidth="1"/>
    <col min="12809" max="12809" width="3.7109375" style="428" customWidth="1"/>
    <col min="12810" max="12810" width="18.28515625" style="428" customWidth="1"/>
    <col min="12811" max="12833" width="5.7109375" style="428" customWidth="1"/>
    <col min="12834" max="13062" width="9.140625" style="428"/>
    <col min="13063" max="13063" width="3.7109375" style="428" customWidth="1"/>
    <col min="13064" max="13064" width="14.42578125" style="428" customWidth="1"/>
    <col min="13065" max="13065" width="3.7109375" style="428" customWidth="1"/>
    <col min="13066" max="13066" width="18.28515625" style="428" customWidth="1"/>
    <col min="13067" max="13089" width="5.7109375" style="428" customWidth="1"/>
    <col min="13090" max="13318" width="9.140625" style="428"/>
    <col min="13319" max="13319" width="3.7109375" style="428" customWidth="1"/>
    <col min="13320" max="13320" width="14.42578125" style="428" customWidth="1"/>
    <col min="13321" max="13321" width="3.7109375" style="428" customWidth="1"/>
    <col min="13322" max="13322" width="18.28515625" style="428" customWidth="1"/>
    <col min="13323" max="13345" width="5.7109375" style="428" customWidth="1"/>
    <col min="13346" max="13574" width="9.140625" style="428"/>
    <col min="13575" max="13575" width="3.7109375" style="428" customWidth="1"/>
    <col min="13576" max="13576" width="14.42578125" style="428" customWidth="1"/>
    <col min="13577" max="13577" width="3.7109375" style="428" customWidth="1"/>
    <col min="13578" max="13578" width="18.28515625" style="428" customWidth="1"/>
    <col min="13579" max="13601" width="5.7109375" style="428" customWidth="1"/>
    <col min="13602" max="13830" width="9.140625" style="428"/>
    <col min="13831" max="13831" width="3.7109375" style="428" customWidth="1"/>
    <col min="13832" max="13832" width="14.42578125" style="428" customWidth="1"/>
    <col min="13833" max="13833" width="3.7109375" style="428" customWidth="1"/>
    <col min="13834" max="13834" width="18.28515625" style="428" customWidth="1"/>
    <col min="13835" max="13857" width="5.7109375" style="428" customWidth="1"/>
    <col min="13858" max="14086" width="9.140625" style="428"/>
    <col min="14087" max="14087" width="3.7109375" style="428" customWidth="1"/>
    <col min="14088" max="14088" width="14.42578125" style="428" customWidth="1"/>
    <col min="14089" max="14089" width="3.7109375" style="428" customWidth="1"/>
    <col min="14090" max="14090" width="18.28515625" style="428" customWidth="1"/>
    <col min="14091" max="14113" width="5.7109375" style="428" customWidth="1"/>
    <col min="14114" max="14342" width="9.140625" style="428"/>
    <col min="14343" max="14343" width="3.7109375" style="428" customWidth="1"/>
    <col min="14344" max="14344" width="14.42578125" style="428" customWidth="1"/>
    <col min="14345" max="14345" width="3.7109375" style="428" customWidth="1"/>
    <col min="14346" max="14346" width="18.28515625" style="428" customWidth="1"/>
    <col min="14347" max="14369" width="5.7109375" style="428" customWidth="1"/>
    <col min="14370" max="14598" width="9.140625" style="428"/>
    <col min="14599" max="14599" width="3.7109375" style="428" customWidth="1"/>
    <col min="14600" max="14600" width="14.42578125" style="428" customWidth="1"/>
    <col min="14601" max="14601" width="3.7109375" style="428" customWidth="1"/>
    <col min="14602" max="14602" width="18.28515625" style="428" customWidth="1"/>
    <col min="14603" max="14625" width="5.7109375" style="428" customWidth="1"/>
    <col min="14626" max="14854" width="9.140625" style="428"/>
    <col min="14855" max="14855" width="3.7109375" style="428" customWidth="1"/>
    <col min="14856" max="14856" width="14.42578125" style="428" customWidth="1"/>
    <col min="14857" max="14857" width="3.7109375" style="428" customWidth="1"/>
    <col min="14858" max="14858" width="18.28515625" style="428" customWidth="1"/>
    <col min="14859" max="14881" width="5.7109375" style="428" customWidth="1"/>
    <col min="14882" max="15110" width="9.140625" style="428"/>
    <col min="15111" max="15111" width="3.7109375" style="428" customWidth="1"/>
    <col min="15112" max="15112" width="14.42578125" style="428" customWidth="1"/>
    <col min="15113" max="15113" width="3.7109375" style="428" customWidth="1"/>
    <col min="15114" max="15114" width="18.28515625" style="428" customWidth="1"/>
    <col min="15115" max="15137" width="5.7109375" style="428" customWidth="1"/>
    <col min="15138" max="15366" width="9.140625" style="428"/>
    <col min="15367" max="15367" width="3.7109375" style="428" customWidth="1"/>
    <col min="15368" max="15368" width="14.42578125" style="428" customWidth="1"/>
    <col min="15369" max="15369" width="3.7109375" style="428" customWidth="1"/>
    <col min="15370" max="15370" width="18.28515625" style="428" customWidth="1"/>
    <col min="15371" max="15393" width="5.7109375" style="428" customWidth="1"/>
    <col min="15394" max="15622" width="9.140625" style="428"/>
    <col min="15623" max="15623" width="3.7109375" style="428" customWidth="1"/>
    <col min="15624" max="15624" width="14.42578125" style="428" customWidth="1"/>
    <col min="15625" max="15625" width="3.7109375" style="428" customWidth="1"/>
    <col min="15626" max="15626" width="18.28515625" style="428" customWidth="1"/>
    <col min="15627" max="15649" width="5.7109375" style="428" customWidth="1"/>
    <col min="15650" max="15878" width="9.140625" style="428"/>
    <col min="15879" max="15879" width="3.7109375" style="428" customWidth="1"/>
    <col min="15880" max="15880" width="14.42578125" style="428" customWidth="1"/>
    <col min="15881" max="15881" width="3.7109375" style="428" customWidth="1"/>
    <col min="15882" max="15882" width="18.28515625" style="428" customWidth="1"/>
    <col min="15883" max="15905" width="5.7109375" style="428" customWidth="1"/>
    <col min="15906" max="16134" width="9.140625" style="428"/>
    <col min="16135" max="16135" width="3.7109375" style="428" customWidth="1"/>
    <col min="16136" max="16136" width="14.42578125" style="428" customWidth="1"/>
    <col min="16137" max="16137" width="3.7109375" style="428" customWidth="1"/>
    <col min="16138" max="16138" width="18.28515625" style="428" customWidth="1"/>
    <col min="16139" max="16161" width="5.7109375" style="428" customWidth="1"/>
    <col min="16162" max="16384" width="9.140625" style="428"/>
  </cols>
  <sheetData>
    <row r="1" spans="1:264" s="964" customFormat="1" ht="15" x14ac:dyDescent="0.2">
      <c r="A1" s="965"/>
      <c r="B1" s="1277"/>
      <c r="C1" s="1277"/>
    </row>
    <row r="2" spans="1:264" s="964" customFormat="1" ht="14.25" customHeight="1" x14ac:dyDescent="0.25">
      <c r="A2" s="835">
        <v>1</v>
      </c>
      <c r="B2" s="835" t="s">
        <v>24</v>
      </c>
      <c r="C2" s="835">
        <f>1+'Budget Process'!C2</f>
        <v>84</v>
      </c>
      <c r="D2" s="3615" t="s">
        <v>1361</v>
      </c>
      <c r="E2" s="3616"/>
      <c r="F2" s="3616"/>
      <c r="G2" s="3616"/>
      <c r="H2" s="3616"/>
      <c r="I2" s="3616"/>
      <c r="J2" s="3616"/>
      <c r="K2" s="3616"/>
      <c r="L2" s="1462"/>
      <c r="M2" s="1462"/>
      <c r="N2" s="1462"/>
      <c r="O2" s="1462"/>
      <c r="P2" s="1462"/>
      <c r="Q2" s="1462"/>
      <c r="R2" s="1462"/>
      <c r="S2" s="1462"/>
      <c r="T2" s="1462"/>
      <c r="U2" s="1705"/>
      <c r="V2" s="1705"/>
      <c r="W2" s="1705"/>
      <c r="X2" s="1705"/>
      <c r="Y2" s="1705"/>
      <c r="Z2" s="1705"/>
      <c r="AA2" s="1705"/>
      <c r="AB2" s="1705"/>
      <c r="AC2" s="1705"/>
      <c r="AD2" s="1705"/>
      <c r="AE2" s="1705"/>
      <c r="AF2" s="1705"/>
      <c r="AG2" s="1706"/>
    </row>
    <row r="3" spans="1:264" s="964" customFormat="1" ht="14.25" customHeight="1" x14ac:dyDescent="0.25">
      <c r="A3" s="835">
        <v>2</v>
      </c>
      <c r="B3" s="835" t="s">
        <v>26</v>
      </c>
      <c r="C3" s="835"/>
      <c r="D3" s="3615" t="s">
        <v>1206</v>
      </c>
      <c r="E3" s="3616"/>
      <c r="F3" s="3616"/>
      <c r="G3" s="3616"/>
      <c r="H3" s="3616"/>
      <c r="I3" s="3616"/>
      <c r="J3" s="3616"/>
      <c r="K3" s="3616"/>
      <c r="L3" s="3616"/>
      <c r="M3" s="3616"/>
      <c r="N3" s="3616"/>
      <c r="O3" s="3616"/>
      <c r="P3" s="3616"/>
      <c r="Q3" s="3616"/>
      <c r="R3" s="3616"/>
      <c r="S3" s="3616"/>
      <c r="T3" s="3616"/>
      <c r="U3" s="3955"/>
      <c r="V3" s="3955"/>
      <c r="W3" s="3955"/>
      <c r="X3" s="3955"/>
      <c r="Y3" s="3955"/>
      <c r="Z3" s="3955"/>
      <c r="AA3" s="3955"/>
      <c r="AB3" s="3955"/>
      <c r="AC3" s="3955"/>
      <c r="AD3" s="3955"/>
      <c r="AE3" s="3955"/>
      <c r="AF3" s="3955"/>
      <c r="AG3" s="3956"/>
    </row>
    <row r="4" spans="1:264" s="964" customFormat="1" ht="14.25" customHeight="1" x14ac:dyDescent="0.25">
      <c r="A4" s="835">
        <v>3</v>
      </c>
      <c r="B4" s="835" t="s">
        <v>28</v>
      </c>
      <c r="C4" s="835"/>
      <c r="D4" s="3615" t="s">
        <v>1360</v>
      </c>
      <c r="E4" s="3616"/>
      <c r="F4" s="3616"/>
      <c r="G4" s="3616"/>
      <c r="H4" s="3616"/>
      <c r="I4" s="3616"/>
      <c r="J4" s="3616"/>
      <c r="K4" s="3616"/>
      <c r="L4" s="3616"/>
      <c r="M4" s="3616"/>
      <c r="N4" s="3616"/>
      <c r="O4" s="3616"/>
      <c r="P4" s="3616"/>
      <c r="Q4" s="3616"/>
      <c r="R4" s="3616"/>
      <c r="S4" s="3616"/>
      <c r="T4" s="3616"/>
      <c r="U4" s="3955"/>
      <c r="V4" s="3955"/>
      <c r="W4" s="3955"/>
      <c r="X4" s="3955"/>
      <c r="Y4" s="3955"/>
      <c r="Z4" s="3955"/>
      <c r="AA4" s="3955"/>
      <c r="AB4" s="3955"/>
      <c r="AC4" s="3955"/>
      <c r="AD4" s="3955"/>
      <c r="AE4" s="3955"/>
      <c r="AF4" s="3955"/>
      <c r="AG4" s="3956"/>
    </row>
    <row r="5" spans="1:264" ht="15.75" x14ac:dyDescent="0.25">
      <c r="C5" s="418"/>
      <c r="D5" s="1707"/>
      <c r="U5" s="1094"/>
      <c r="V5" s="1094"/>
      <c r="W5" s="1094"/>
      <c r="X5" s="1094"/>
      <c r="Y5" s="1094"/>
      <c r="Z5" s="1094"/>
      <c r="AA5" s="1094"/>
      <c r="AB5" s="1094"/>
      <c r="AC5" s="1094"/>
      <c r="AD5" s="1094"/>
      <c r="AE5" s="1094"/>
      <c r="AF5" s="1094"/>
      <c r="AG5" s="1094"/>
      <c r="AH5" s="1094"/>
    </row>
    <row r="6" spans="1:264" s="432" customFormat="1" ht="12.75" x14ac:dyDescent="0.2">
      <c r="A6" s="835">
        <v>4</v>
      </c>
      <c r="B6" s="418" t="s">
        <v>1</v>
      </c>
      <c r="C6" s="1222"/>
      <c r="D6" s="424" t="s">
        <v>31</v>
      </c>
      <c r="E6" s="438" t="str">
        <f>D2</f>
        <v>Public opinion: Delivery of basic services</v>
      </c>
      <c r="G6" s="424"/>
      <c r="H6" s="424"/>
      <c r="I6" s="424"/>
      <c r="J6" s="424"/>
      <c r="K6" s="424"/>
      <c r="L6" s="424"/>
    </row>
    <row r="7" spans="1:264" s="432" customFormat="1" ht="12.75" x14ac:dyDescent="0.25">
      <c r="A7" s="418"/>
      <c r="B7" s="418"/>
      <c r="C7" s="824"/>
      <c r="D7" s="3092"/>
      <c r="E7" s="3797">
        <v>2000</v>
      </c>
      <c r="F7" s="3967"/>
      <c r="G7" s="3797">
        <v>2001</v>
      </c>
      <c r="H7" s="3967"/>
      <c r="I7" s="3797">
        <v>2002</v>
      </c>
      <c r="J7" s="3967"/>
      <c r="K7" s="3797">
        <v>2003</v>
      </c>
      <c r="L7" s="3967"/>
      <c r="M7" s="3971">
        <v>2004</v>
      </c>
      <c r="N7" s="3972"/>
      <c r="O7" s="3971">
        <v>2005</v>
      </c>
      <c r="P7" s="3972"/>
      <c r="Q7" s="3971">
        <v>2006</v>
      </c>
      <c r="R7" s="3972"/>
      <c r="S7" s="3971">
        <v>2007</v>
      </c>
      <c r="T7" s="3972"/>
      <c r="U7" s="3971">
        <v>2008</v>
      </c>
      <c r="V7" s="3972"/>
      <c r="W7" s="3971">
        <v>2009</v>
      </c>
      <c r="X7" s="3972"/>
      <c r="Y7" s="3971">
        <v>2010</v>
      </c>
      <c r="Z7" s="3972"/>
      <c r="AA7" s="3971">
        <v>2011</v>
      </c>
      <c r="AB7" s="3972"/>
      <c r="AC7" s="3971">
        <v>2012</v>
      </c>
      <c r="AD7" s="3972"/>
      <c r="AE7" s="3971">
        <v>2013</v>
      </c>
      <c r="AF7" s="3972"/>
      <c r="AG7" s="3971">
        <v>2014</v>
      </c>
      <c r="AH7" s="3972"/>
      <c r="AI7" s="3975">
        <v>2015</v>
      </c>
      <c r="AJ7" s="3976"/>
    </row>
    <row r="8" spans="1:264" s="420" customFormat="1" ht="12.75" x14ac:dyDescent="0.25">
      <c r="A8" s="1708"/>
      <c r="B8" s="1709"/>
      <c r="C8" s="1709"/>
      <c r="D8" s="3123"/>
      <c r="E8" s="1437" t="s">
        <v>1141</v>
      </c>
      <c r="F8" s="1710" t="s">
        <v>1140</v>
      </c>
      <c r="G8" s="1437" t="s">
        <v>1141</v>
      </c>
      <c r="H8" s="1710" t="s">
        <v>1140</v>
      </c>
      <c r="I8" s="1437" t="s">
        <v>1141</v>
      </c>
      <c r="J8" s="1710" t="s">
        <v>1140</v>
      </c>
      <c r="K8" s="1437" t="s">
        <v>1141</v>
      </c>
      <c r="L8" s="1710" t="s">
        <v>1140</v>
      </c>
      <c r="M8" s="1711" t="s">
        <v>1141</v>
      </c>
      <c r="N8" s="1712" t="s">
        <v>1140</v>
      </c>
      <c r="O8" s="1711" t="s">
        <v>1141</v>
      </c>
      <c r="P8" s="1712" t="s">
        <v>1140</v>
      </c>
      <c r="Q8" s="1711" t="s">
        <v>1141</v>
      </c>
      <c r="R8" s="1712" t="s">
        <v>1140</v>
      </c>
      <c r="S8" s="1711" t="s">
        <v>1141</v>
      </c>
      <c r="T8" s="1712" t="s">
        <v>1140</v>
      </c>
      <c r="U8" s="1711" t="s">
        <v>1141</v>
      </c>
      <c r="V8" s="1712" t="s">
        <v>1140</v>
      </c>
      <c r="W8" s="1711" t="s">
        <v>1141</v>
      </c>
      <c r="X8" s="1712" t="s">
        <v>1148</v>
      </c>
      <c r="Y8" s="1711" t="s">
        <v>1142</v>
      </c>
      <c r="Z8" s="1712" t="s">
        <v>1140</v>
      </c>
      <c r="AA8" s="1711" t="s">
        <v>1141</v>
      </c>
      <c r="AB8" s="1712" t="s">
        <v>1140</v>
      </c>
      <c r="AC8" s="1711" t="s">
        <v>1141</v>
      </c>
      <c r="AD8" s="1712" t="s">
        <v>1140</v>
      </c>
      <c r="AE8" s="1711" t="s">
        <v>1141</v>
      </c>
      <c r="AF8" s="1712" t="s">
        <v>1140</v>
      </c>
      <c r="AG8" s="1711" t="s">
        <v>1141</v>
      </c>
      <c r="AH8" s="1712" t="s">
        <v>1140</v>
      </c>
      <c r="AI8" s="3125" t="s">
        <v>1141</v>
      </c>
      <c r="AJ8" s="3126" t="s">
        <v>1140</v>
      </c>
    </row>
    <row r="9" spans="1:264" s="446" customFormat="1" ht="12.75" x14ac:dyDescent="0.25">
      <c r="A9" s="1713"/>
      <c r="B9" s="1714"/>
      <c r="C9" s="1714"/>
      <c r="D9" s="3124" t="s">
        <v>1352</v>
      </c>
      <c r="E9" s="450">
        <v>72</v>
      </c>
      <c r="F9" s="1255">
        <v>67</v>
      </c>
      <c r="G9" s="450">
        <v>65</v>
      </c>
      <c r="H9" s="1255">
        <v>63</v>
      </c>
      <c r="I9" s="450">
        <v>74</v>
      </c>
      <c r="J9" s="1255">
        <v>71</v>
      </c>
      <c r="K9" s="450">
        <v>75</v>
      </c>
      <c r="L9" s="1255">
        <v>72</v>
      </c>
      <c r="M9" s="1715">
        <v>81</v>
      </c>
      <c r="N9" s="1256">
        <v>77</v>
      </c>
      <c r="O9" s="1715">
        <v>73</v>
      </c>
      <c r="P9" s="1256">
        <v>73</v>
      </c>
      <c r="Q9" s="1715">
        <v>76</v>
      </c>
      <c r="R9" s="1256">
        <v>72</v>
      </c>
      <c r="S9" s="1715">
        <v>68</v>
      </c>
      <c r="T9" s="1256">
        <v>62</v>
      </c>
      <c r="U9" s="1715">
        <v>58</v>
      </c>
      <c r="V9" s="1256">
        <v>58</v>
      </c>
      <c r="W9" s="1715">
        <v>61</v>
      </c>
      <c r="X9" s="1256">
        <v>57</v>
      </c>
      <c r="Y9" s="1715">
        <v>56.8</v>
      </c>
      <c r="Z9" s="1256">
        <v>54</v>
      </c>
      <c r="AA9" s="1715">
        <v>48</v>
      </c>
      <c r="AB9" s="1256">
        <v>51</v>
      </c>
      <c r="AC9" s="1715">
        <v>53.5</v>
      </c>
      <c r="AD9" s="1256">
        <v>51</v>
      </c>
      <c r="AE9" s="1715">
        <v>53</v>
      </c>
      <c r="AF9" s="1256">
        <v>53</v>
      </c>
      <c r="AG9" s="1715">
        <v>56</v>
      </c>
      <c r="AH9" s="1256">
        <v>56</v>
      </c>
      <c r="AI9" s="3127">
        <v>52</v>
      </c>
      <c r="AJ9" s="3128">
        <v>49</v>
      </c>
      <c r="AK9" s="420"/>
      <c r="AL9" s="420"/>
      <c r="AM9" s="420"/>
      <c r="AN9" s="420"/>
      <c r="AO9" s="420"/>
      <c r="AP9" s="420"/>
      <c r="AQ9" s="420"/>
      <c r="AR9" s="420"/>
      <c r="AS9" s="420"/>
      <c r="AT9" s="420"/>
      <c r="AU9" s="420"/>
      <c r="AV9" s="420"/>
      <c r="AW9" s="420"/>
      <c r="AX9" s="420"/>
      <c r="AY9" s="420"/>
      <c r="AZ9" s="420"/>
      <c r="BA9" s="420"/>
      <c r="BB9" s="420"/>
      <c r="BC9" s="420"/>
      <c r="BD9" s="420"/>
      <c r="BE9" s="420"/>
      <c r="BF9" s="420"/>
      <c r="BG9" s="420"/>
      <c r="BH9" s="420"/>
      <c r="BI9" s="420"/>
      <c r="BJ9" s="420"/>
      <c r="BK9" s="420"/>
      <c r="BL9" s="420"/>
      <c r="BM9" s="420"/>
      <c r="BN9" s="420"/>
      <c r="BO9" s="420"/>
      <c r="BP9" s="420"/>
      <c r="BQ9" s="420"/>
      <c r="BR9" s="420"/>
      <c r="BS9" s="420"/>
      <c r="BT9" s="420"/>
      <c r="BU9" s="420"/>
      <c r="BV9" s="420"/>
      <c r="BW9" s="420"/>
      <c r="BX9" s="420"/>
      <c r="BY9" s="420"/>
      <c r="BZ9" s="420"/>
      <c r="CA9" s="420"/>
      <c r="CB9" s="420"/>
      <c r="CC9" s="420"/>
      <c r="CD9" s="420"/>
      <c r="CE9" s="420"/>
      <c r="CF9" s="420"/>
      <c r="CG9" s="420"/>
      <c r="CH9" s="420"/>
      <c r="CI9" s="420"/>
      <c r="CJ9" s="420"/>
      <c r="CK9" s="420"/>
      <c r="CL9" s="420"/>
      <c r="CM9" s="420"/>
      <c r="CN9" s="420"/>
      <c r="CO9" s="420"/>
      <c r="CP9" s="420"/>
      <c r="CQ9" s="420"/>
      <c r="CR9" s="420"/>
      <c r="CS9" s="420"/>
      <c r="CT9" s="420"/>
      <c r="CU9" s="420"/>
      <c r="CV9" s="420"/>
      <c r="CW9" s="420"/>
      <c r="CX9" s="420"/>
      <c r="CY9" s="420"/>
      <c r="CZ9" s="420"/>
      <c r="DA9" s="420"/>
      <c r="DB9" s="420"/>
      <c r="DC9" s="420"/>
      <c r="DD9" s="420"/>
      <c r="DE9" s="420"/>
      <c r="DF9" s="420"/>
      <c r="DG9" s="420"/>
      <c r="DH9" s="420"/>
      <c r="DI9" s="420"/>
      <c r="DJ9" s="420"/>
      <c r="DK9" s="420"/>
      <c r="DL9" s="420"/>
      <c r="DM9" s="420"/>
      <c r="DN9" s="420"/>
      <c r="DO9" s="420"/>
      <c r="DP9" s="420"/>
      <c r="DQ9" s="420"/>
      <c r="DR9" s="420"/>
      <c r="DS9" s="420"/>
      <c r="DT9" s="420"/>
      <c r="DU9" s="420"/>
      <c r="DV9" s="420"/>
      <c r="DW9" s="420"/>
      <c r="DX9" s="420"/>
      <c r="DY9" s="420"/>
      <c r="DZ9" s="420"/>
      <c r="EA9" s="420"/>
      <c r="EB9" s="420"/>
      <c r="EC9" s="420"/>
      <c r="ED9" s="420"/>
      <c r="EE9" s="420"/>
      <c r="EF9" s="420"/>
      <c r="EG9" s="420"/>
      <c r="EH9" s="420"/>
      <c r="EI9" s="420"/>
      <c r="EJ9" s="420"/>
      <c r="EK9" s="420"/>
      <c r="EL9" s="420"/>
      <c r="EM9" s="420"/>
      <c r="EN9" s="420"/>
      <c r="EO9" s="420"/>
      <c r="EP9" s="420"/>
      <c r="EQ9" s="420"/>
      <c r="ER9" s="420"/>
      <c r="ES9" s="420"/>
      <c r="ET9" s="420"/>
      <c r="EU9" s="420"/>
      <c r="EV9" s="420"/>
      <c r="EW9" s="420"/>
      <c r="EX9" s="420"/>
      <c r="EY9" s="420"/>
      <c r="EZ9" s="420"/>
      <c r="FA9" s="420"/>
      <c r="FB9" s="420"/>
      <c r="FC9" s="420"/>
      <c r="FD9" s="420"/>
      <c r="FE9" s="420"/>
      <c r="FF9" s="420"/>
      <c r="FG9" s="420"/>
      <c r="FH9" s="420"/>
      <c r="FI9" s="420"/>
      <c r="FJ9" s="420"/>
      <c r="FK9" s="420"/>
      <c r="FL9" s="420"/>
      <c r="FM9" s="420"/>
      <c r="FN9" s="420"/>
      <c r="FO9" s="420"/>
      <c r="FP9" s="420"/>
      <c r="FQ9" s="420"/>
      <c r="FR9" s="420"/>
      <c r="FS9" s="420"/>
      <c r="FT9" s="420"/>
      <c r="FU9" s="420"/>
      <c r="FV9" s="420"/>
      <c r="FW9" s="420"/>
      <c r="FX9" s="420"/>
      <c r="FY9" s="420"/>
      <c r="FZ9" s="420"/>
      <c r="GA9" s="420"/>
      <c r="GB9" s="420"/>
      <c r="GC9" s="420"/>
      <c r="GD9" s="420"/>
      <c r="GE9" s="420"/>
      <c r="GF9" s="420"/>
      <c r="GG9" s="420"/>
      <c r="GH9" s="420"/>
      <c r="GI9" s="420"/>
      <c r="GJ9" s="420"/>
      <c r="GK9" s="420"/>
      <c r="GL9" s="420"/>
      <c r="GM9" s="420"/>
      <c r="GN9" s="420"/>
      <c r="GO9" s="420"/>
      <c r="GP9" s="420"/>
      <c r="GQ9" s="420"/>
      <c r="GR9" s="420"/>
      <c r="GS9" s="420"/>
      <c r="GT9" s="420"/>
      <c r="GU9" s="420"/>
      <c r="GV9" s="420"/>
      <c r="GW9" s="420"/>
      <c r="GX9" s="420"/>
      <c r="GY9" s="420"/>
      <c r="GZ9" s="420"/>
      <c r="HA9" s="420"/>
      <c r="HB9" s="420"/>
      <c r="HC9" s="420"/>
      <c r="HD9" s="420"/>
      <c r="HE9" s="420"/>
      <c r="HF9" s="420"/>
      <c r="HG9" s="420"/>
      <c r="HH9" s="420"/>
      <c r="HI9" s="420"/>
      <c r="HJ9" s="420"/>
      <c r="HK9" s="420"/>
      <c r="HL9" s="420"/>
      <c r="HM9" s="420"/>
      <c r="HN9" s="420"/>
      <c r="HO9" s="420"/>
      <c r="HP9" s="420"/>
      <c r="HQ9" s="420"/>
      <c r="HR9" s="420"/>
      <c r="HS9" s="420"/>
      <c r="HT9" s="420"/>
      <c r="HU9" s="420"/>
      <c r="HV9" s="420"/>
      <c r="HW9" s="420"/>
      <c r="HX9" s="420"/>
      <c r="HY9" s="420"/>
      <c r="HZ9" s="420"/>
      <c r="IA9" s="420"/>
      <c r="IB9" s="420"/>
      <c r="IC9" s="420"/>
      <c r="ID9" s="420"/>
      <c r="IE9" s="420"/>
      <c r="IF9" s="420"/>
      <c r="IG9" s="420"/>
      <c r="IH9" s="420"/>
      <c r="II9" s="420"/>
      <c r="IJ9" s="420"/>
      <c r="IK9" s="420"/>
      <c r="IL9" s="420"/>
      <c r="IM9" s="420"/>
      <c r="IN9" s="420"/>
      <c r="IO9" s="420"/>
      <c r="IP9" s="420"/>
      <c r="IQ9" s="420"/>
      <c r="IR9" s="420"/>
      <c r="IS9" s="420"/>
      <c r="IT9" s="420"/>
      <c r="IU9" s="420"/>
      <c r="IV9" s="420"/>
      <c r="IW9" s="420"/>
      <c r="IX9" s="420"/>
      <c r="IY9" s="420"/>
      <c r="IZ9" s="420"/>
      <c r="JA9" s="420"/>
      <c r="JB9" s="420"/>
      <c r="JC9" s="420"/>
      <c r="JD9" s="420"/>
    </row>
    <row r="10" spans="1:264" s="446" customFormat="1" ht="11.25" x14ac:dyDescent="0.2">
      <c r="A10" s="1713"/>
      <c r="B10" s="1714"/>
      <c r="C10" s="1714"/>
      <c r="D10" s="798"/>
      <c r="E10" s="446">
        <f>+AVERAGE(E9:F9)</f>
        <v>69.5</v>
      </c>
      <c r="G10" s="446">
        <f>+AVERAGE(G9:H9)</f>
        <v>64</v>
      </c>
      <c r="I10" s="446">
        <f>+AVERAGE(I9:J9)</f>
        <v>72.5</v>
      </c>
      <c r="K10" s="446">
        <f>+AVERAGE(K9:L9)</f>
        <v>73.5</v>
      </c>
      <c r="M10" s="446">
        <f>+AVERAGE(M9:N9)</f>
        <v>79</v>
      </c>
      <c r="O10" s="446">
        <f>+AVERAGE(O9:P9)</f>
        <v>73</v>
      </c>
      <c r="Q10" s="446">
        <f>+AVERAGE(Q9:R9)</f>
        <v>74</v>
      </c>
      <c r="S10" s="446">
        <f>+AVERAGE(S9:T9)</f>
        <v>65</v>
      </c>
      <c r="U10" s="446">
        <f>+AVERAGE(U9:V9)</f>
        <v>58</v>
      </c>
      <c r="W10" s="446">
        <f>+AVERAGE(W9:X9)</f>
        <v>59</v>
      </c>
      <c r="Y10" s="446">
        <f>+AVERAGE(Y9:Z9)</f>
        <v>55.4</v>
      </c>
      <c r="AA10" s="446">
        <f>+AVERAGE(AA9:AB9)</f>
        <v>49.5</v>
      </c>
      <c r="AC10" s="446">
        <f>+AVERAGE(AC9:AD9)</f>
        <v>52.25</v>
      </c>
      <c r="AE10" s="446">
        <f>+AVERAGE(AE9:AF9)</f>
        <v>53</v>
      </c>
      <c r="AG10" s="446">
        <f>+AVERAGE(AG9:AH9)</f>
        <v>56</v>
      </c>
      <c r="AI10" s="446">
        <f>+AVERAGE(AI9:AJ9)</f>
        <v>50.5</v>
      </c>
      <c r="AK10" s="420"/>
      <c r="AL10" s="420"/>
      <c r="AM10" s="420"/>
      <c r="AN10" s="420"/>
      <c r="AO10" s="420"/>
      <c r="AP10" s="420"/>
      <c r="AQ10" s="420"/>
      <c r="AR10" s="420"/>
      <c r="AS10" s="420"/>
      <c r="AT10" s="420"/>
      <c r="AU10" s="420"/>
      <c r="AV10" s="420"/>
      <c r="AW10" s="420"/>
      <c r="AX10" s="420"/>
      <c r="AY10" s="420"/>
      <c r="AZ10" s="420"/>
      <c r="BA10" s="420"/>
      <c r="BB10" s="420"/>
      <c r="BC10" s="420"/>
      <c r="BD10" s="420"/>
      <c r="BE10" s="420"/>
      <c r="BF10" s="420"/>
      <c r="BG10" s="420"/>
      <c r="BH10" s="420"/>
      <c r="BI10" s="420"/>
      <c r="BJ10" s="420"/>
      <c r="BK10" s="420"/>
      <c r="BL10" s="420"/>
      <c r="BM10" s="420"/>
      <c r="BN10" s="420"/>
      <c r="BO10" s="420"/>
      <c r="BP10" s="420"/>
      <c r="BQ10" s="420"/>
      <c r="BR10" s="420"/>
      <c r="BS10" s="420"/>
      <c r="BT10" s="420"/>
      <c r="BU10" s="420"/>
      <c r="BV10" s="420"/>
      <c r="BW10" s="420"/>
      <c r="BX10" s="420"/>
      <c r="BY10" s="420"/>
      <c r="BZ10" s="420"/>
      <c r="CA10" s="420"/>
      <c r="CB10" s="420"/>
      <c r="CC10" s="420"/>
      <c r="CD10" s="420"/>
      <c r="CE10" s="420"/>
      <c r="CF10" s="420"/>
      <c r="CG10" s="420"/>
      <c r="CH10" s="420"/>
      <c r="CI10" s="420"/>
      <c r="CJ10" s="420"/>
      <c r="CK10" s="420"/>
      <c r="CL10" s="420"/>
      <c r="CM10" s="420"/>
      <c r="CN10" s="420"/>
      <c r="CO10" s="420"/>
      <c r="CP10" s="420"/>
      <c r="CQ10" s="420"/>
      <c r="CR10" s="420"/>
      <c r="CS10" s="420"/>
      <c r="CT10" s="420"/>
      <c r="CU10" s="420"/>
      <c r="CV10" s="420"/>
      <c r="CW10" s="420"/>
      <c r="CX10" s="420"/>
      <c r="CY10" s="420"/>
      <c r="CZ10" s="420"/>
      <c r="DA10" s="420"/>
      <c r="DB10" s="420"/>
      <c r="DC10" s="420"/>
      <c r="DD10" s="420"/>
      <c r="DE10" s="420"/>
      <c r="DF10" s="420"/>
      <c r="DG10" s="420"/>
      <c r="DH10" s="420"/>
      <c r="DI10" s="420"/>
      <c r="DJ10" s="420"/>
      <c r="DK10" s="420"/>
      <c r="DL10" s="420"/>
      <c r="DM10" s="420"/>
      <c r="DN10" s="420"/>
      <c r="DO10" s="420"/>
      <c r="DP10" s="420"/>
      <c r="DQ10" s="420"/>
      <c r="DR10" s="420"/>
      <c r="DS10" s="420"/>
      <c r="DT10" s="420"/>
      <c r="DU10" s="420"/>
      <c r="DV10" s="420"/>
      <c r="DW10" s="420"/>
      <c r="DX10" s="420"/>
      <c r="DY10" s="420"/>
      <c r="DZ10" s="420"/>
      <c r="EA10" s="420"/>
      <c r="EB10" s="420"/>
      <c r="EC10" s="420"/>
      <c r="ED10" s="420"/>
      <c r="EE10" s="420"/>
      <c r="EF10" s="420"/>
      <c r="EG10" s="420"/>
      <c r="EH10" s="420"/>
      <c r="EI10" s="420"/>
      <c r="EJ10" s="420"/>
      <c r="EK10" s="420"/>
      <c r="EL10" s="420"/>
      <c r="EM10" s="420"/>
      <c r="EN10" s="420"/>
      <c r="EO10" s="420"/>
      <c r="EP10" s="420"/>
      <c r="EQ10" s="420"/>
      <c r="ER10" s="420"/>
      <c r="ES10" s="420"/>
      <c r="ET10" s="420"/>
      <c r="EU10" s="420"/>
      <c r="EV10" s="420"/>
      <c r="EW10" s="420"/>
      <c r="EX10" s="420"/>
      <c r="EY10" s="420"/>
      <c r="EZ10" s="420"/>
      <c r="FA10" s="420"/>
      <c r="FB10" s="420"/>
      <c r="FC10" s="420"/>
      <c r="FD10" s="420"/>
      <c r="FE10" s="420"/>
      <c r="FF10" s="420"/>
      <c r="FG10" s="420"/>
      <c r="FH10" s="420"/>
      <c r="FI10" s="420"/>
      <c r="FJ10" s="420"/>
      <c r="FK10" s="420"/>
      <c r="FL10" s="420"/>
      <c r="FM10" s="420"/>
      <c r="FN10" s="420"/>
      <c r="FO10" s="420"/>
      <c r="FP10" s="420"/>
      <c r="FQ10" s="420"/>
      <c r="FR10" s="420"/>
      <c r="FS10" s="420"/>
      <c r="FT10" s="420"/>
      <c r="FU10" s="420"/>
      <c r="FV10" s="420"/>
      <c r="FW10" s="420"/>
      <c r="FX10" s="420"/>
      <c r="FY10" s="420"/>
      <c r="FZ10" s="420"/>
      <c r="GA10" s="420"/>
      <c r="GB10" s="420"/>
      <c r="GC10" s="420"/>
      <c r="GD10" s="420"/>
      <c r="GE10" s="420"/>
      <c r="GF10" s="420"/>
      <c r="GG10" s="420"/>
      <c r="GH10" s="420"/>
      <c r="GI10" s="420"/>
      <c r="GJ10" s="420"/>
      <c r="GK10" s="420"/>
      <c r="GL10" s="420"/>
      <c r="GM10" s="420"/>
      <c r="GN10" s="420"/>
      <c r="GO10" s="420"/>
      <c r="GP10" s="420"/>
      <c r="GQ10" s="420"/>
      <c r="GR10" s="420"/>
      <c r="GS10" s="420"/>
      <c r="GT10" s="420"/>
      <c r="GU10" s="420"/>
      <c r="GV10" s="420"/>
      <c r="GW10" s="420"/>
      <c r="GX10" s="420"/>
      <c r="GY10" s="420"/>
      <c r="GZ10" s="420"/>
      <c r="HA10" s="420"/>
      <c r="HB10" s="420"/>
      <c r="HC10" s="420"/>
      <c r="HD10" s="420"/>
      <c r="HE10" s="420"/>
      <c r="HF10" s="420"/>
      <c r="HG10" s="420"/>
      <c r="HH10" s="420"/>
      <c r="HI10" s="420"/>
      <c r="HJ10" s="420"/>
      <c r="HK10" s="420"/>
      <c r="HL10" s="420"/>
      <c r="HM10" s="420"/>
      <c r="HN10" s="420"/>
      <c r="HO10" s="420"/>
      <c r="HP10" s="420"/>
      <c r="HQ10" s="420"/>
      <c r="HR10" s="420"/>
      <c r="HS10" s="420"/>
      <c r="HT10" s="420"/>
      <c r="HU10" s="420"/>
      <c r="HV10" s="420"/>
      <c r="HW10" s="420"/>
      <c r="HX10" s="420"/>
      <c r="HY10" s="420"/>
      <c r="HZ10" s="420"/>
      <c r="IA10" s="420"/>
      <c r="IB10" s="420"/>
      <c r="IC10" s="420"/>
      <c r="ID10" s="420"/>
      <c r="IE10" s="420"/>
      <c r="IF10" s="420"/>
      <c r="IG10" s="420"/>
      <c r="IH10" s="420"/>
      <c r="II10" s="420"/>
      <c r="IJ10" s="420"/>
      <c r="IK10" s="420"/>
      <c r="IL10" s="420"/>
      <c r="IM10" s="420"/>
      <c r="IN10" s="420"/>
      <c r="IO10" s="420"/>
      <c r="IP10" s="420"/>
      <c r="IQ10" s="420"/>
      <c r="IR10" s="420"/>
      <c r="IS10" s="420"/>
      <c r="IT10" s="420"/>
      <c r="IU10" s="420"/>
      <c r="IV10" s="420"/>
      <c r="IW10" s="420"/>
      <c r="IX10" s="420"/>
      <c r="IY10" s="420"/>
      <c r="IZ10" s="420"/>
      <c r="JA10" s="420"/>
      <c r="JB10" s="420"/>
      <c r="JC10" s="420"/>
      <c r="JD10" s="420"/>
    </row>
    <row r="11" spans="1:264" s="446" customFormat="1" ht="11.25" x14ac:dyDescent="0.2">
      <c r="A11" s="1713"/>
      <c r="B11" s="1714"/>
      <c r="C11" s="1714"/>
      <c r="D11" s="424" t="s">
        <v>55</v>
      </c>
      <c r="E11" s="438" t="s">
        <v>1359</v>
      </c>
      <c r="AK11" s="420"/>
      <c r="AL11" s="420"/>
      <c r="AM11" s="420"/>
      <c r="AN11" s="420"/>
      <c r="AO11" s="420"/>
      <c r="AP11" s="420"/>
      <c r="AQ11" s="420"/>
      <c r="AR11" s="420"/>
      <c r="AS11" s="420"/>
      <c r="AT11" s="420"/>
      <c r="AU11" s="420"/>
      <c r="AV11" s="420"/>
      <c r="AW11" s="420"/>
      <c r="AX11" s="420"/>
      <c r="AY11" s="420"/>
      <c r="AZ11" s="420"/>
      <c r="BA11" s="420"/>
      <c r="BB11" s="420"/>
      <c r="BC11" s="420"/>
      <c r="BD11" s="420"/>
      <c r="BE11" s="420"/>
      <c r="BF11" s="420"/>
      <c r="BG11" s="420"/>
      <c r="BH11" s="420"/>
      <c r="BI11" s="420"/>
      <c r="BJ11" s="420"/>
      <c r="BK11" s="420"/>
      <c r="BL11" s="420"/>
      <c r="BM11" s="420"/>
      <c r="BN11" s="420"/>
      <c r="BO11" s="420"/>
      <c r="BP11" s="420"/>
      <c r="BQ11" s="420"/>
      <c r="BR11" s="420"/>
      <c r="BS11" s="420"/>
      <c r="BT11" s="420"/>
      <c r="BU11" s="420"/>
      <c r="BV11" s="420"/>
      <c r="BW11" s="420"/>
      <c r="BX11" s="420"/>
      <c r="BY11" s="420"/>
      <c r="BZ11" s="420"/>
      <c r="CA11" s="420"/>
      <c r="CB11" s="420"/>
      <c r="CC11" s="420"/>
      <c r="CD11" s="420"/>
      <c r="CE11" s="420"/>
      <c r="CF11" s="420"/>
      <c r="CG11" s="420"/>
      <c r="CH11" s="420"/>
      <c r="CI11" s="420"/>
      <c r="CJ11" s="420"/>
      <c r="CK11" s="420"/>
      <c r="CL11" s="420"/>
      <c r="CM11" s="420"/>
      <c r="CN11" s="420"/>
      <c r="CO11" s="420"/>
      <c r="CP11" s="420"/>
      <c r="CQ11" s="420"/>
      <c r="CR11" s="420"/>
      <c r="CS11" s="420"/>
      <c r="CT11" s="420"/>
      <c r="CU11" s="420"/>
      <c r="CV11" s="420"/>
      <c r="CW11" s="420"/>
      <c r="CX11" s="420"/>
      <c r="CY11" s="420"/>
      <c r="CZ11" s="420"/>
      <c r="DA11" s="420"/>
      <c r="DB11" s="420"/>
      <c r="DC11" s="420"/>
      <c r="DD11" s="420"/>
      <c r="DE11" s="420"/>
      <c r="DF11" s="420"/>
      <c r="DG11" s="420"/>
      <c r="DH11" s="420"/>
      <c r="DI11" s="420"/>
      <c r="DJ11" s="420"/>
      <c r="DK11" s="420"/>
      <c r="DL11" s="420"/>
      <c r="DM11" s="420"/>
      <c r="DN11" s="420"/>
      <c r="DO11" s="420"/>
      <c r="DP11" s="420"/>
      <c r="DQ11" s="420"/>
      <c r="DR11" s="420"/>
      <c r="DS11" s="420"/>
      <c r="DT11" s="420"/>
      <c r="DU11" s="420"/>
      <c r="DV11" s="420"/>
      <c r="DW11" s="420"/>
      <c r="DX11" s="420"/>
      <c r="DY11" s="420"/>
      <c r="DZ11" s="420"/>
      <c r="EA11" s="420"/>
      <c r="EB11" s="420"/>
      <c r="EC11" s="420"/>
      <c r="ED11" s="420"/>
      <c r="EE11" s="420"/>
      <c r="EF11" s="420"/>
      <c r="EG11" s="420"/>
      <c r="EH11" s="420"/>
      <c r="EI11" s="420"/>
      <c r="EJ11" s="420"/>
      <c r="EK11" s="420"/>
      <c r="EL11" s="420"/>
      <c r="EM11" s="420"/>
      <c r="EN11" s="420"/>
      <c r="EO11" s="420"/>
      <c r="EP11" s="420"/>
      <c r="EQ11" s="420"/>
      <c r="ER11" s="420"/>
      <c r="ES11" s="420"/>
      <c r="ET11" s="420"/>
      <c r="EU11" s="420"/>
      <c r="EV11" s="420"/>
      <c r="EW11" s="420"/>
      <c r="EX11" s="420"/>
      <c r="EY11" s="420"/>
      <c r="EZ11" s="420"/>
      <c r="FA11" s="420"/>
      <c r="FB11" s="420"/>
      <c r="FC11" s="420"/>
      <c r="FD11" s="420"/>
      <c r="FE11" s="420"/>
      <c r="FF11" s="420"/>
      <c r="FG11" s="420"/>
      <c r="FH11" s="420"/>
      <c r="FI11" s="420"/>
      <c r="FJ11" s="420"/>
      <c r="FK11" s="420"/>
      <c r="FL11" s="420"/>
      <c r="FM11" s="420"/>
      <c r="FN11" s="420"/>
      <c r="FO11" s="420"/>
      <c r="FP11" s="420"/>
      <c r="FQ11" s="420"/>
      <c r="FR11" s="420"/>
      <c r="FS11" s="420"/>
      <c r="FT11" s="420"/>
      <c r="FU11" s="420"/>
      <c r="FV11" s="420"/>
      <c r="FW11" s="420"/>
      <c r="FX11" s="420"/>
      <c r="FY11" s="420"/>
      <c r="FZ11" s="420"/>
      <c r="GA11" s="420"/>
      <c r="GB11" s="420"/>
      <c r="GC11" s="420"/>
      <c r="GD11" s="420"/>
      <c r="GE11" s="420"/>
      <c r="GF11" s="420"/>
      <c r="GG11" s="420"/>
      <c r="GH11" s="420"/>
      <c r="GI11" s="420"/>
      <c r="GJ11" s="420"/>
      <c r="GK11" s="420"/>
      <c r="GL11" s="420"/>
      <c r="GM11" s="420"/>
      <c r="GN11" s="420"/>
      <c r="GO11" s="420"/>
      <c r="GP11" s="420"/>
      <c r="GQ11" s="420"/>
      <c r="GR11" s="420"/>
      <c r="GS11" s="420"/>
      <c r="GT11" s="420"/>
      <c r="GU11" s="420"/>
      <c r="GV11" s="420"/>
      <c r="GW11" s="420"/>
      <c r="GX11" s="420"/>
      <c r="GY11" s="420"/>
      <c r="GZ11" s="420"/>
      <c r="HA11" s="420"/>
      <c r="HB11" s="420"/>
      <c r="HC11" s="420"/>
      <c r="HD11" s="420"/>
      <c r="HE11" s="420"/>
      <c r="HF11" s="420"/>
      <c r="HG11" s="420"/>
      <c r="HH11" s="420"/>
      <c r="HI11" s="420"/>
      <c r="HJ11" s="420"/>
      <c r="HK11" s="420"/>
      <c r="HL11" s="420"/>
      <c r="HM11" s="420"/>
      <c r="HN11" s="420"/>
      <c r="HO11" s="420"/>
      <c r="HP11" s="420"/>
      <c r="HQ11" s="420"/>
      <c r="HR11" s="420"/>
      <c r="HS11" s="420"/>
      <c r="HT11" s="420"/>
      <c r="HU11" s="420"/>
      <c r="HV11" s="420"/>
      <c r="HW11" s="420"/>
      <c r="HX11" s="420"/>
      <c r="HY11" s="420"/>
      <c r="HZ11" s="420"/>
      <c r="IA11" s="420"/>
      <c r="IB11" s="420"/>
      <c r="IC11" s="420"/>
      <c r="ID11" s="420"/>
      <c r="IE11" s="420"/>
      <c r="IF11" s="420"/>
      <c r="IG11" s="420"/>
      <c r="IH11" s="420"/>
      <c r="II11" s="420"/>
      <c r="IJ11" s="420"/>
      <c r="IK11" s="420"/>
      <c r="IL11" s="420"/>
      <c r="IM11" s="420"/>
      <c r="IN11" s="420"/>
      <c r="IO11" s="420"/>
      <c r="IP11" s="420"/>
      <c r="IQ11" s="420"/>
      <c r="IR11" s="420"/>
      <c r="IS11" s="420"/>
      <c r="IT11" s="420"/>
      <c r="IU11" s="420"/>
      <c r="IV11" s="420"/>
      <c r="IW11" s="420"/>
      <c r="IX11" s="420"/>
      <c r="IY11" s="420"/>
      <c r="IZ11" s="420"/>
      <c r="JA11" s="420"/>
      <c r="JB11" s="420"/>
      <c r="JC11" s="420"/>
      <c r="JD11" s="420"/>
    </row>
    <row r="12" spans="1:264" s="432" customFormat="1" ht="12.75" x14ac:dyDescent="0.2">
      <c r="A12" s="418"/>
      <c r="B12" s="418"/>
      <c r="C12" s="824"/>
      <c r="D12" s="3092"/>
      <c r="E12" s="3969">
        <v>2000</v>
      </c>
      <c r="F12" s="3969"/>
      <c r="G12" s="3969">
        <v>2001</v>
      </c>
      <c r="H12" s="3969"/>
      <c r="I12" s="3969">
        <v>2002</v>
      </c>
      <c r="J12" s="3969"/>
      <c r="K12" s="3969">
        <v>2003</v>
      </c>
      <c r="L12" s="3969"/>
      <c r="M12" s="3969">
        <v>2004</v>
      </c>
      <c r="N12" s="3969"/>
      <c r="O12" s="3969">
        <v>2005</v>
      </c>
      <c r="P12" s="3969"/>
      <c r="Q12" s="3969">
        <v>2006</v>
      </c>
      <c r="R12" s="3969"/>
      <c r="S12" s="3969">
        <v>2007</v>
      </c>
      <c r="T12" s="3969"/>
      <c r="U12" s="3969">
        <v>2008</v>
      </c>
      <c r="V12" s="3969"/>
      <c r="W12" s="3969">
        <v>2009</v>
      </c>
      <c r="X12" s="3969"/>
      <c r="Y12" s="3969">
        <v>2010</v>
      </c>
      <c r="Z12" s="3969"/>
      <c r="AA12" s="3969">
        <v>2011</v>
      </c>
      <c r="AB12" s="3969"/>
      <c r="AC12" s="3969">
        <v>2012</v>
      </c>
      <c r="AD12" s="3969"/>
      <c r="AE12" s="3969">
        <v>2013</v>
      </c>
      <c r="AF12" s="3969" t="s">
        <v>1358</v>
      </c>
      <c r="AG12" s="3969">
        <v>2014</v>
      </c>
      <c r="AH12" s="3969">
        <v>2015</v>
      </c>
      <c r="AI12" s="3969">
        <v>2015</v>
      </c>
      <c r="AJ12" s="3973">
        <v>2015</v>
      </c>
    </row>
    <row r="13" spans="1:264" s="446" customFormat="1" ht="11.25" x14ac:dyDescent="0.2">
      <c r="A13" s="1713"/>
      <c r="B13" s="1714"/>
      <c r="C13" s="1714"/>
      <c r="D13" s="2447" t="s">
        <v>1357</v>
      </c>
      <c r="E13" s="3970"/>
      <c r="F13" s="3970"/>
      <c r="G13" s="3970"/>
      <c r="H13" s="3970"/>
      <c r="I13" s="3970"/>
      <c r="J13" s="3970"/>
      <c r="K13" s="3970"/>
      <c r="L13" s="3970"/>
      <c r="M13" s="3970">
        <v>10</v>
      </c>
      <c r="N13" s="3970"/>
      <c r="O13" s="3970">
        <v>34</v>
      </c>
      <c r="P13" s="3970"/>
      <c r="Q13" s="3970">
        <v>2</v>
      </c>
      <c r="R13" s="3970"/>
      <c r="S13" s="3970">
        <v>32</v>
      </c>
      <c r="T13" s="3970"/>
      <c r="U13" s="3970">
        <v>27</v>
      </c>
      <c r="V13" s="3970"/>
      <c r="W13" s="3970">
        <v>107</v>
      </c>
      <c r="X13" s="3970"/>
      <c r="Y13" s="3970">
        <v>111</v>
      </c>
      <c r="Z13" s="3970"/>
      <c r="AA13" s="3970">
        <v>82</v>
      </c>
      <c r="AB13" s="3970"/>
      <c r="AC13" s="3970">
        <v>173</v>
      </c>
      <c r="AD13" s="3970"/>
      <c r="AE13" s="3970">
        <v>155</v>
      </c>
      <c r="AF13" s="3970">
        <v>134</v>
      </c>
      <c r="AG13" s="3970">
        <v>191</v>
      </c>
      <c r="AH13" s="3970"/>
      <c r="AI13" s="3970">
        <v>164</v>
      </c>
      <c r="AJ13" s="3974"/>
      <c r="AL13" s="420"/>
      <c r="AM13" s="420"/>
      <c r="AN13" s="420"/>
      <c r="AO13" s="420"/>
      <c r="AP13" s="420"/>
      <c r="AQ13" s="420"/>
      <c r="AR13" s="420"/>
      <c r="AS13" s="420"/>
      <c r="AT13" s="420"/>
      <c r="AU13" s="420"/>
      <c r="AV13" s="420"/>
      <c r="AW13" s="420"/>
      <c r="AX13" s="420"/>
      <c r="AY13" s="420"/>
      <c r="AZ13" s="420"/>
      <c r="BA13" s="420"/>
      <c r="BB13" s="420"/>
      <c r="BC13" s="420"/>
      <c r="BD13" s="420"/>
      <c r="BE13" s="420"/>
      <c r="BF13" s="420"/>
      <c r="BG13" s="420"/>
      <c r="BH13" s="420"/>
      <c r="BI13" s="420"/>
      <c r="BJ13" s="420"/>
      <c r="BK13" s="420"/>
      <c r="BL13" s="420"/>
      <c r="BM13" s="420"/>
      <c r="BN13" s="420"/>
      <c r="BO13" s="420"/>
      <c r="BP13" s="420"/>
      <c r="BQ13" s="420"/>
      <c r="BR13" s="420"/>
      <c r="BS13" s="420"/>
      <c r="BT13" s="420"/>
      <c r="BU13" s="420"/>
      <c r="BV13" s="420"/>
      <c r="BW13" s="420"/>
      <c r="BX13" s="420"/>
      <c r="BY13" s="420"/>
      <c r="BZ13" s="420"/>
      <c r="CA13" s="420"/>
      <c r="CB13" s="420"/>
      <c r="CC13" s="420"/>
      <c r="CD13" s="420"/>
      <c r="CE13" s="420"/>
      <c r="CF13" s="420"/>
      <c r="CG13" s="420"/>
      <c r="CH13" s="420"/>
      <c r="CI13" s="420"/>
      <c r="CJ13" s="420"/>
      <c r="CK13" s="420"/>
      <c r="CL13" s="420"/>
      <c r="CM13" s="420"/>
      <c r="CN13" s="420"/>
      <c r="CO13" s="420"/>
      <c r="CP13" s="420"/>
      <c r="CQ13" s="420"/>
      <c r="CR13" s="420"/>
      <c r="CS13" s="420"/>
      <c r="CT13" s="420"/>
      <c r="CU13" s="420"/>
      <c r="CV13" s="420"/>
      <c r="CW13" s="420"/>
      <c r="CX13" s="420"/>
      <c r="CY13" s="420"/>
      <c r="CZ13" s="420"/>
      <c r="DA13" s="420"/>
      <c r="DB13" s="420"/>
      <c r="DC13" s="420"/>
      <c r="DD13" s="420"/>
      <c r="DE13" s="420"/>
      <c r="DF13" s="420"/>
      <c r="DG13" s="420"/>
      <c r="DH13" s="420"/>
      <c r="DI13" s="420"/>
      <c r="DJ13" s="420"/>
      <c r="DK13" s="420"/>
      <c r="DL13" s="420"/>
      <c r="DM13" s="420"/>
      <c r="DN13" s="420"/>
      <c r="DO13" s="420"/>
      <c r="DP13" s="420"/>
      <c r="DQ13" s="420"/>
      <c r="DR13" s="420"/>
      <c r="DS13" s="420"/>
      <c r="DT13" s="420"/>
      <c r="DU13" s="420"/>
      <c r="DV13" s="420"/>
      <c r="DW13" s="420"/>
      <c r="DX13" s="420"/>
      <c r="DY13" s="420"/>
      <c r="DZ13" s="420"/>
      <c r="EA13" s="420"/>
      <c r="EB13" s="420"/>
      <c r="EC13" s="420"/>
      <c r="ED13" s="420"/>
      <c r="EE13" s="420"/>
      <c r="EF13" s="420"/>
      <c r="EG13" s="420"/>
      <c r="EH13" s="420"/>
      <c r="EI13" s="420"/>
      <c r="EJ13" s="420"/>
      <c r="EK13" s="420"/>
      <c r="EL13" s="420"/>
      <c r="EM13" s="420"/>
      <c r="EN13" s="420"/>
      <c r="EO13" s="420"/>
      <c r="EP13" s="420"/>
      <c r="EQ13" s="420"/>
      <c r="ER13" s="420"/>
      <c r="ES13" s="420"/>
      <c r="ET13" s="420"/>
      <c r="EU13" s="420"/>
      <c r="EV13" s="420"/>
      <c r="EW13" s="420"/>
      <c r="EX13" s="420"/>
      <c r="EY13" s="420"/>
      <c r="EZ13" s="420"/>
      <c r="FA13" s="420"/>
      <c r="FB13" s="420"/>
      <c r="FC13" s="420"/>
      <c r="FD13" s="420"/>
      <c r="FE13" s="420"/>
      <c r="FF13" s="420"/>
      <c r="FG13" s="420"/>
      <c r="FH13" s="420"/>
      <c r="FI13" s="420"/>
      <c r="FJ13" s="420"/>
      <c r="FK13" s="420"/>
      <c r="FL13" s="420"/>
      <c r="FM13" s="420"/>
      <c r="FN13" s="420"/>
      <c r="FO13" s="420"/>
      <c r="FP13" s="420"/>
      <c r="FQ13" s="420"/>
      <c r="FR13" s="420"/>
      <c r="FS13" s="420"/>
      <c r="FT13" s="420"/>
      <c r="FU13" s="420"/>
      <c r="FV13" s="420"/>
      <c r="FW13" s="420"/>
      <c r="FX13" s="420"/>
      <c r="FY13" s="420"/>
      <c r="FZ13" s="420"/>
      <c r="GA13" s="420"/>
      <c r="GB13" s="420"/>
      <c r="GC13" s="420"/>
      <c r="GD13" s="420"/>
      <c r="GE13" s="420"/>
      <c r="GF13" s="420"/>
      <c r="GG13" s="420"/>
      <c r="GH13" s="420"/>
      <c r="GI13" s="420"/>
      <c r="GJ13" s="420"/>
      <c r="GK13" s="420"/>
      <c r="GL13" s="420"/>
      <c r="GM13" s="420"/>
      <c r="GN13" s="420"/>
      <c r="GO13" s="420"/>
      <c r="GP13" s="420"/>
      <c r="GQ13" s="420"/>
      <c r="GR13" s="420"/>
      <c r="GS13" s="420"/>
      <c r="GT13" s="420"/>
      <c r="GU13" s="420"/>
      <c r="GV13" s="420"/>
      <c r="GW13" s="420"/>
      <c r="GX13" s="420"/>
      <c r="GY13" s="420"/>
      <c r="GZ13" s="420"/>
      <c r="HA13" s="420"/>
      <c r="HB13" s="420"/>
      <c r="HC13" s="420"/>
      <c r="HD13" s="420"/>
      <c r="HE13" s="420"/>
      <c r="HF13" s="420"/>
      <c r="HG13" s="420"/>
      <c r="HH13" s="420"/>
      <c r="HI13" s="420"/>
      <c r="HJ13" s="420"/>
      <c r="HK13" s="420"/>
      <c r="HL13" s="420"/>
      <c r="HM13" s="420"/>
      <c r="HN13" s="420"/>
      <c r="HO13" s="420"/>
      <c r="HP13" s="420"/>
      <c r="HQ13" s="420"/>
      <c r="HR13" s="420"/>
      <c r="HS13" s="420"/>
      <c r="HT13" s="420"/>
      <c r="HU13" s="420"/>
      <c r="HV13" s="420"/>
      <c r="HW13" s="420"/>
      <c r="HX13" s="420"/>
      <c r="HY13" s="420"/>
      <c r="HZ13" s="420"/>
      <c r="IA13" s="420"/>
      <c r="IB13" s="420"/>
      <c r="IC13" s="420"/>
      <c r="ID13" s="420"/>
      <c r="IE13" s="420"/>
      <c r="IF13" s="420"/>
      <c r="IG13" s="420"/>
      <c r="IH13" s="420"/>
      <c r="II13" s="420"/>
      <c r="IJ13" s="420"/>
      <c r="IK13" s="420"/>
      <c r="IL13" s="420"/>
      <c r="IM13" s="420"/>
      <c r="IN13" s="420"/>
      <c r="IO13" s="420"/>
      <c r="IP13" s="420"/>
      <c r="IQ13" s="420"/>
      <c r="IR13" s="420"/>
      <c r="IS13" s="420"/>
      <c r="IT13" s="420"/>
      <c r="IU13" s="420"/>
      <c r="IV13" s="420"/>
      <c r="IW13" s="420"/>
      <c r="IX13" s="420"/>
      <c r="IY13" s="420"/>
      <c r="IZ13" s="420"/>
      <c r="JA13" s="420"/>
      <c r="JB13" s="420"/>
    </row>
    <row r="14" spans="1:264" s="446" customFormat="1" ht="11.25" x14ac:dyDescent="0.2">
      <c r="A14" s="1713"/>
      <c r="B14" s="1714"/>
      <c r="C14" s="1714"/>
      <c r="D14" s="798"/>
      <c r="AI14" s="420"/>
      <c r="AJ14" s="420"/>
      <c r="AK14" s="420"/>
      <c r="AL14" s="420"/>
      <c r="AM14" s="420"/>
      <c r="AN14" s="420"/>
      <c r="AO14" s="420"/>
      <c r="AP14" s="420"/>
      <c r="AQ14" s="420"/>
      <c r="AR14" s="420"/>
      <c r="AS14" s="420"/>
      <c r="AT14" s="420"/>
      <c r="AU14" s="420"/>
      <c r="AV14" s="420"/>
      <c r="AW14" s="420"/>
      <c r="AX14" s="420"/>
      <c r="AY14" s="420"/>
      <c r="AZ14" s="420"/>
      <c r="BA14" s="420"/>
      <c r="BB14" s="420"/>
      <c r="BC14" s="420"/>
      <c r="BD14" s="420"/>
      <c r="BE14" s="420"/>
      <c r="BF14" s="420"/>
      <c r="BG14" s="420"/>
      <c r="BH14" s="420"/>
      <c r="BI14" s="420"/>
      <c r="BJ14" s="420"/>
      <c r="BK14" s="420"/>
      <c r="BL14" s="420"/>
      <c r="BM14" s="420"/>
      <c r="BN14" s="420"/>
      <c r="BO14" s="420"/>
      <c r="BP14" s="420"/>
      <c r="BQ14" s="420"/>
      <c r="BR14" s="420"/>
      <c r="BS14" s="420"/>
      <c r="BT14" s="420"/>
      <c r="BU14" s="420"/>
      <c r="BV14" s="420"/>
      <c r="BW14" s="420"/>
      <c r="BX14" s="420"/>
      <c r="BY14" s="420"/>
      <c r="BZ14" s="420"/>
      <c r="CA14" s="420"/>
      <c r="CB14" s="420"/>
      <c r="CC14" s="420"/>
      <c r="CD14" s="420"/>
      <c r="CE14" s="420"/>
      <c r="CF14" s="420"/>
      <c r="CG14" s="420"/>
      <c r="CH14" s="420"/>
      <c r="CI14" s="420"/>
      <c r="CJ14" s="420"/>
      <c r="CK14" s="420"/>
      <c r="CL14" s="420"/>
      <c r="CM14" s="420"/>
      <c r="CN14" s="420"/>
      <c r="CO14" s="420"/>
      <c r="CP14" s="420"/>
      <c r="CQ14" s="420"/>
      <c r="CR14" s="420"/>
      <c r="CS14" s="420"/>
      <c r="CT14" s="420"/>
      <c r="CU14" s="420"/>
      <c r="CV14" s="420"/>
      <c r="CW14" s="420"/>
      <c r="CX14" s="420"/>
      <c r="CY14" s="420"/>
      <c r="CZ14" s="420"/>
      <c r="DA14" s="420"/>
      <c r="DB14" s="420"/>
      <c r="DC14" s="420"/>
      <c r="DD14" s="420"/>
      <c r="DE14" s="420"/>
      <c r="DF14" s="420"/>
      <c r="DG14" s="420"/>
      <c r="DH14" s="420"/>
      <c r="DI14" s="420"/>
      <c r="DJ14" s="420"/>
      <c r="DK14" s="420"/>
      <c r="DL14" s="420"/>
      <c r="DM14" s="420"/>
      <c r="DN14" s="420"/>
      <c r="DO14" s="420"/>
      <c r="DP14" s="420"/>
      <c r="DQ14" s="420"/>
      <c r="DR14" s="420"/>
      <c r="DS14" s="420"/>
      <c r="DT14" s="420"/>
      <c r="DU14" s="420"/>
      <c r="DV14" s="420"/>
      <c r="DW14" s="420"/>
      <c r="DX14" s="420"/>
      <c r="DY14" s="420"/>
      <c r="DZ14" s="420"/>
      <c r="EA14" s="420"/>
      <c r="EB14" s="420"/>
      <c r="EC14" s="420"/>
      <c r="ED14" s="420"/>
      <c r="EE14" s="420"/>
      <c r="EF14" s="420"/>
      <c r="EG14" s="420"/>
      <c r="EH14" s="420"/>
      <c r="EI14" s="420"/>
      <c r="EJ14" s="420"/>
      <c r="EK14" s="420"/>
      <c r="EL14" s="420"/>
      <c r="EM14" s="420"/>
      <c r="EN14" s="420"/>
      <c r="EO14" s="420"/>
      <c r="EP14" s="420"/>
      <c r="EQ14" s="420"/>
      <c r="ER14" s="420"/>
      <c r="ES14" s="420"/>
      <c r="ET14" s="420"/>
      <c r="EU14" s="420"/>
      <c r="EV14" s="420"/>
      <c r="EW14" s="420"/>
      <c r="EX14" s="420"/>
      <c r="EY14" s="420"/>
      <c r="EZ14" s="420"/>
      <c r="FA14" s="420"/>
      <c r="FB14" s="420"/>
      <c r="FC14" s="420"/>
      <c r="FD14" s="420"/>
      <c r="FE14" s="420"/>
      <c r="FF14" s="420"/>
      <c r="FG14" s="420"/>
      <c r="FH14" s="420"/>
      <c r="FI14" s="420"/>
      <c r="FJ14" s="420"/>
      <c r="FK14" s="420"/>
      <c r="FL14" s="420"/>
      <c r="FM14" s="420"/>
      <c r="FN14" s="420"/>
      <c r="FO14" s="420"/>
      <c r="FP14" s="420"/>
      <c r="FQ14" s="420"/>
      <c r="FR14" s="420"/>
      <c r="FS14" s="420"/>
      <c r="FT14" s="420"/>
      <c r="FU14" s="420"/>
      <c r="FV14" s="420"/>
      <c r="FW14" s="420"/>
      <c r="FX14" s="420"/>
      <c r="FY14" s="420"/>
      <c r="FZ14" s="420"/>
      <c r="GA14" s="420"/>
      <c r="GB14" s="420"/>
      <c r="GC14" s="420"/>
      <c r="GD14" s="420"/>
      <c r="GE14" s="420"/>
      <c r="GF14" s="420"/>
      <c r="GG14" s="420"/>
      <c r="GH14" s="420"/>
      <c r="GI14" s="420"/>
      <c r="GJ14" s="420"/>
      <c r="GK14" s="420"/>
      <c r="GL14" s="420"/>
      <c r="GM14" s="420"/>
      <c r="GN14" s="420"/>
      <c r="GO14" s="420"/>
      <c r="GP14" s="420"/>
      <c r="GQ14" s="420"/>
      <c r="GR14" s="420"/>
      <c r="GS14" s="420"/>
      <c r="GT14" s="420"/>
      <c r="GU14" s="420"/>
      <c r="GV14" s="420"/>
      <c r="GW14" s="420"/>
      <c r="GX14" s="420"/>
      <c r="GY14" s="420"/>
      <c r="GZ14" s="420"/>
      <c r="HA14" s="420"/>
      <c r="HB14" s="420"/>
      <c r="HC14" s="420"/>
      <c r="HD14" s="420"/>
      <c r="HE14" s="420"/>
      <c r="HF14" s="420"/>
      <c r="HG14" s="420"/>
      <c r="HH14" s="420"/>
      <c r="HI14" s="420"/>
      <c r="HJ14" s="420"/>
      <c r="HK14" s="420"/>
      <c r="HL14" s="420"/>
      <c r="HM14" s="420"/>
      <c r="HN14" s="420"/>
      <c r="HO14" s="420"/>
      <c r="HP14" s="420"/>
      <c r="HQ14" s="420"/>
      <c r="HR14" s="420"/>
      <c r="HS14" s="420"/>
      <c r="HT14" s="420"/>
      <c r="HU14" s="420"/>
      <c r="HV14" s="420"/>
      <c r="HW14" s="420"/>
      <c r="HX14" s="420"/>
      <c r="HY14" s="420"/>
      <c r="HZ14" s="420"/>
      <c r="IA14" s="420"/>
      <c r="IB14" s="420"/>
      <c r="IC14" s="420"/>
      <c r="ID14" s="420"/>
      <c r="IE14" s="420"/>
      <c r="IF14" s="420"/>
      <c r="IG14" s="420"/>
      <c r="IH14" s="420"/>
      <c r="II14" s="420"/>
      <c r="IJ14" s="420"/>
      <c r="IK14" s="420"/>
      <c r="IL14" s="420"/>
      <c r="IM14" s="420"/>
      <c r="IN14" s="420"/>
      <c r="IO14" s="420"/>
      <c r="IP14" s="420"/>
      <c r="IQ14" s="420"/>
      <c r="IR14" s="420"/>
      <c r="IS14" s="420"/>
      <c r="IT14" s="420"/>
      <c r="IU14" s="420"/>
      <c r="IV14" s="420"/>
      <c r="IW14" s="420"/>
      <c r="IX14" s="420"/>
      <c r="IY14" s="420"/>
      <c r="IZ14" s="420"/>
      <c r="JA14" s="420"/>
      <c r="JB14" s="420"/>
    </row>
    <row r="15" spans="1:264" s="446" customFormat="1" ht="11.25" x14ac:dyDescent="0.2">
      <c r="A15" s="1713"/>
      <c r="B15" s="1714"/>
      <c r="C15" s="1714"/>
      <c r="D15" s="798"/>
      <c r="AI15" s="420"/>
      <c r="AJ15" s="420"/>
      <c r="AK15" s="420"/>
      <c r="AL15" s="420"/>
      <c r="AM15" s="420"/>
      <c r="AN15" s="420"/>
      <c r="AO15" s="420"/>
      <c r="AP15" s="420"/>
      <c r="AQ15" s="420"/>
      <c r="AR15" s="420"/>
      <c r="AS15" s="420"/>
      <c r="AT15" s="420"/>
      <c r="AU15" s="420"/>
      <c r="AV15" s="420"/>
      <c r="AW15" s="420"/>
      <c r="AX15" s="420"/>
      <c r="AY15" s="420"/>
      <c r="AZ15" s="420"/>
      <c r="BA15" s="420"/>
      <c r="BB15" s="420"/>
      <c r="BC15" s="420"/>
      <c r="BD15" s="420"/>
      <c r="BE15" s="420"/>
      <c r="BF15" s="420"/>
      <c r="BG15" s="420"/>
      <c r="BH15" s="420"/>
      <c r="BI15" s="420"/>
      <c r="BJ15" s="420"/>
      <c r="BK15" s="420"/>
      <c r="BL15" s="420"/>
      <c r="BM15" s="420"/>
      <c r="BN15" s="420"/>
      <c r="BO15" s="420"/>
      <c r="BP15" s="420"/>
      <c r="BQ15" s="420"/>
      <c r="BR15" s="420"/>
      <c r="BS15" s="420"/>
      <c r="BT15" s="420"/>
      <c r="BU15" s="420"/>
      <c r="BV15" s="420"/>
      <c r="BW15" s="420"/>
      <c r="BX15" s="420"/>
      <c r="BY15" s="420"/>
      <c r="BZ15" s="420"/>
      <c r="CA15" s="420"/>
      <c r="CB15" s="420"/>
      <c r="CC15" s="420"/>
      <c r="CD15" s="420"/>
      <c r="CE15" s="420"/>
      <c r="CF15" s="420"/>
      <c r="CG15" s="420"/>
      <c r="CH15" s="420"/>
      <c r="CI15" s="420"/>
      <c r="CJ15" s="420"/>
      <c r="CK15" s="420"/>
      <c r="CL15" s="420"/>
      <c r="CM15" s="420"/>
      <c r="CN15" s="420"/>
      <c r="CO15" s="420"/>
      <c r="CP15" s="420"/>
      <c r="CQ15" s="420"/>
      <c r="CR15" s="420"/>
      <c r="CS15" s="420"/>
      <c r="CT15" s="420"/>
      <c r="CU15" s="420"/>
      <c r="CV15" s="420"/>
      <c r="CW15" s="420"/>
      <c r="CX15" s="420"/>
      <c r="CY15" s="420"/>
      <c r="CZ15" s="420"/>
      <c r="DA15" s="420"/>
      <c r="DB15" s="420"/>
      <c r="DC15" s="420"/>
      <c r="DD15" s="420"/>
      <c r="DE15" s="420"/>
      <c r="DF15" s="420"/>
      <c r="DG15" s="420"/>
      <c r="DH15" s="420"/>
      <c r="DI15" s="420"/>
      <c r="DJ15" s="420"/>
      <c r="DK15" s="420"/>
      <c r="DL15" s="420"/>
      <c r="DM15" s="420"/>
      <c r="DN15" s="420"/>
      <c r="DO15" s="420"/>
      <c r="DP15" s="420"/>
      <c r="DQ15" s="420"/>
      <c r="DR15" s="420"/>
      <c r="DS15" s="420"/>
      <c r="DT15" s="420"/>
      <c r="DU15" s="420"/>
      <c r="DV15" s="420"/>
      <c r="DW15" s="420"/>
      <c r="DX15" s="420"/>
      <c r="DY15" s="420"/>
      <c r="DZ15" s="420"/>
      <c r="EA15" s="420"/>
      <c r="EB15" s="420"/>
      <c r="EC15" s="420"/>
      <c r="ED15" s="420"/>
      <c r="EE15" s="420"/>
      <c r="EF15" s="420"/>
      <c r="EG15" s="420"/>
      <c r="EH15" s="420"/>
      <c r="EI15" s="420"/>
      <c r="EJ15" s="420"/>
      <c r="EK15" s="420"/>
      <c r="EL15" s="420"/>
      <c r="EM15" s="420"/>
      <c r="EN15" s="420"/>
      <c r="EO15" s="420"/>
      <c r="EP15" s="420"/>
      <c r="EQ15" s="420"/>
      <c r="ER15" s="420"/>
      <c r="ES15" s="420"/>
      <c r="ET15" s="420"/>
      <c r="EU15" s="420"/>
      <c r="EV15" s="420"/>
      <c r="EW15" s="420"/>
      <c r="EX15" s="420"/>
      <c r="EY15" s="420"/>
      <c r="EZ15" s="420"/>
      <c r="FA15" s="420"/>
      <c r="FB15" s="420"/>
      <c r="FC15" s="420"/>
      <c r="FD15" s="420"/>
      <c r="FE15" s="420"/>
      <c r="FF15" s="420"/>
      <c r="FG15" s="420"/>
      <c r="FH15" s="420"/>
      <c r="FI15" s="420"/>
      <c r="FJ15" s="420"/>
      <c r="FK15" s="420"/>
      <c r="FL15" s="420"/>
      <c r="FM15" s="420"/>
      <c r="FN15" s="420"/>
      <c r="FO15" s="420"/>
      <c r="FP15" s="420"/>
      <c r="FQ15" s="420"/>
      <c r="FR15" s="420"/>
      <c r="FS15" s="420"/>
      <c r="FT15" s="420"/>
      <c r="FU15" s="420"/>
      <c r="FV15" s="420"/>
      <c r="FW15" s="420"/>
      <c r="FX15" s="420"/>
      <c r="FY15" s="420"/>
      <c r="FZ15" s="420"/>
      <c r="GA15" s="420"/>
      <c r="GB15" s="420"/>
      <c r="GC15" s="420"/>
      <c r="GD15" s="420"/>
      <c r="GE15" s="420"/>
      <c r="GF15" s="420"/>
      <c r="GG15" s="420"/>
      <c r="GH15" s="420"/>
      <c r="GI15" s="420"/>
      <c r="GJ15" s="420"/>
      <c r="GK15" s="420"/>
      <c r="GL15" s="420"/>
      <c r="GM15" s="420"/>
      <c r="GN15" s="420"/>
      <c r="GO15" s="420"/>
      <c r="GP15" s="420"/>
      <c r="GQ15" s="420"/>
      <c r="GR15" s="420"/>
      <c r="GS15" s="420"/>
      <c r="GT15" s="420"/>
      <c r="GU15" s="420"/>
      <c r="GV15" s="420"/>
      <c r="GW15" s="420"/>
      <c r="GX15" s="420"/>
      <c r="GY15" s="420"/>
      <c r="GZ15" s="420"/>
      <c r="HA15" s="420"/>
      <c r="HB15" s="420"/>
      <c r="HC15" s="420"/>
      <c r="HD15" s="420"/>
      <c r="HE15" s="420"/>
      <c r="HF15" s="420"/>
      <c r="HG15" s="420"/>
      <c r="HH15" s="420"/>
      <c r="HI15" s="420"/>
      <c r="HJ15" s="420"/>
      <c r="HK15" s="420"/>
      <c r="HL15" s="420"/>
      <c r="HM15" s="420"/>
      <c r="HN15" s="420"/>
      <c r="HO15" s="420"/>
      <c r="HP15" s="420"/>
      <c r="HQ15" s="420"/>
      <c r="HR15" s="420"/>
      <c r="HS15" s="420"/>
      <c r="HT15" s="420"/>
      <c r="HU15" s="420"/>
      <c r="HV15" s="420"/>
      <c r="HW15" s="420"/>
      <c r="HX15" s="420"/>
      <c r="HY15" s="420"/>
      <c r="HZ15" s="420"/>
      <c r="IA15" s="420"/>
      <c r="IB15" s="420"/>
      <c r="IC15" s="420"/>
      <c r="ID15" s="420"/>
      <c r="IE15" s="420"/>
      <c r="IF15" s="420"/>
      <c r="IG15" s="420"/>
      <c r="IH15" s="420"/>
      <c r="II15" s="420"/>
      <c r="IJ15" s="420"/>
      <c r="IK15" s="420"/>
      <c r="IL15" s="420"/>
      <c r="IM15" s="420"/>
      <c r="IN15" s="420"/>
      <c r="IO15" s="420"/>
      <c r="IP15" s="420"/>
      <c r="IQ15" s="420"/>
      <c r="IR15" s="420"/>
      <c r="IS15" s="420"/>
      <c r="IT15" s="420"/>
      <c r="IU15" s="420"/>
      <c r="IV15" s="420"/>
      <c r="IW15" s="420"/>
      <c r="IX15" s="420"/>
      <c r="IY15" s="420"/>
      <c r="IZ15" s="420"/>
      <c r="JA15" s="420"/>
      <c r="JB15" s="420"/>
    </row>
    <row r="16" spans="1:264" s="446" customFormat="1" ht="11.25" x14ac:dyDescent="0.2">
      <c r="A16" s="1713"/>
      <c r="B16" s="1714"/>
      <c r="C16" s="1714"/>
      <c r="D16" s="798"/>
      <c r="AI16" s="420"/>
      <c r="AJ16" s="420"/>
      <c r="AK16" s="420"/>
      <c r="AL16" s="420"/>
      <c r="AM16" s="420"/>
      <c r="AN16" s="420"/>
      <c r="AO16" s="420"/>
      <c r="AP16" s="420"/>
      <c r="AQ16" s="420"/>
      <c r="AR16" s="420"/>
      <c r="AS16" s="420"/>
      <c r="AT16" s="420"/>
      <c r="AU16" s="420"/>
      <c r="AV16" s="420"/>
      <c r="AW16" s="420"/>
      <c r="AX16" s="420"/>
      <c r="AY16" s="420"/>
      <c r="AZ16" s="420"/>
      <c r="BA16" s="420"/>
      <c r="BB16" s="420"/>
      <c r="BC16" s="420"/>
      <c r="BD16" s="420"/>
      <c r="BE16" s="420"/>
      <c r="BF16" s="420"/>
      <c r="BG16" s="420"/>
      <c r="BH16" s="420"/>
      <c r="BI16" s="420"/>
      <c r="BJ16" s="420"/>
      <c r="BK16" s="420"/>
      <c r="BL16" s="420"/>
      <c r="BM16" s="420"/>
      <c r="BN16" s="420"/>
      <c r="BO16" s="420"/>
      <c r="BP16" s="420"/>
      <c r="BQ16" s="420"/>
      <c r="BR16" s="420"/>
      <c r="BS16" s="420"/>
      <c r="BT16" s="420"/>
      <c r="BU16" s="420"/>
      <c r="BV16" s="420"/>
      <c r="BW16" s="420"/>
      <c r="BX16" s="420"/>
      <c r="BY16" s="420"/>
      <c r="BZ16" s="420"/>
      <c r="CA16" s="420"/>
      <c r="CB16" s="420"/>
      <c r="CC16" s="420"/>
      <c r="CD16" s="420"/>
      <c r="CE16" s="420"/>
      <c r="CF16" s="420"/>
      <c r="CG16" s="420"/>
      <c r="CH16" s="420"/>
      <c r="CI16" s="420"/>
      <c r="CJ16" s="420"/>
      <c r="CK16" s="420"/>
      <c r="CL16" s="420"/>
      <c r="CM16" s="420"/>
      <c r="CN16" s="420"/>
      <c r="CO16" s="420"/>
      <c r="CP16" s="420"/>
      <c r="CQ16" s="420"/>
      <c r="CR16" s="420"/>
      <c r="CS16" s="420"/>
      <c r="CT16" s="420"/>
      <c r="CU16" s="420"/>
      <c r="CV16" s="420"/>
      <c r="CW16" s="420"/>
      <c r="CX16" s="420"/>
      <c r="CY16" s="420"/>
      <c r="CZ16" s="420"/>
      <c r="DA16" s="420"/>
      <c r="DB16" s="420"/>
      <c r="DC16" s="420"/>
      <c r="DD16" s="420"/>
      <c r="DE16" s="420"/>
      <c r="DF16" s="420"/>
      <c r="DG16" s="420"/>
      <c r="DH16" s="420"/>
      <c r="DI16" s="420"/>
      <c r="DJ16" s="420"/>
      <c r="DK16" s="420"/>
      <c r="DL16" s="420"/>
      <c r="DM16" s="420"/>
      <c r="DN16" s="420"/>
      <c r="DO16" s="420"/>
      <c r="DP16" s="420"/>
      <c r="DQ16" s="420"/>
      <c r="DR16" s="420"/>
      <c r="DS16" s="420"/>
      <c r="DT16" s="420"/>
      <c r="DU16" s="420"/>
      <c r="DV16" s="420"/>
      <c r="DW16" s="420"/>
      <c r="DX16" s="420"/>
      <c r="DY16" s="420"/>
      <c r="DZ16" s="420"/>
      <c r="EA16" s="420"/>
      <c r="EB16" s="420"/>
      <c r="EC16" s="420"/>
      <c r="ED16" s="420"/>
      <c r="EE16" s="420"/>
      <c r="EF16" s="420"/>
      <c r="EG16" s="420"/>
      <c r="EH16" s="420"/>
      <c r="EI16" s="420"/>
      <c r="EJ16" s="420"/>
      <c r="EK16" s="420"/>
      <c r="EL16" s="420"/>
      <c r="EM16" s="420"/>
      <c r="EN16" s="420"/>
      <c r="EO16" s="420"/>
      <c r="EP16" s="420"/>
      <c r="EQ16" s="420"/>
      <c r="ER16" s="420"/>
      <c r="ES16" s="420"/>
      <c r="ET16" s="420"/>
      <c r="EU16" s="420"/>
      <c r="EV16" s="420"/>
      <c r="EW16" s="420"/>
      <c r="EX16" s="420"/>
      <c r="EY16" s="420"/>
      <c r="EZ16" s="420"/>
      <c r="FA16" s="420"/>
      <c r="FB16" s="420"/>
      <c r="FC16" s="420"/>
      <c r="FD16" s="420"/>
      <c r="FE16" s="420"/>
      <c r="FF16" s="420"/>
      <c r="FG16" s="420"/>
      <c r="FH16" s="420"/>
      <c r="FI16" s="420"/>
      <c r="FJ16" s="420"/>
      <c r="FK16" s="420"/>
      <c r="FL16" s="420"/>
      <c r="FM16" s="420"/>
      <c r="FN16" s="420"/>
      <c r="FO16" s="420"/>
      <c r="FP16" s="420"/>
      <c r="FQ16" s="420"/>
      <c r="FR16" s="420"/>
      <c r="FS16" s="420"/>
      <c r="FT16" s="420"/>
      <c r="FU16" s="420"/>
      <c r="FV16" s="420"/>
      <c r="FW16" s="420"/>
      <c r="FX16" s="420"/>
      <c r="FY16" s="420"/>
      <c r="FZ16" s="420"/>
      <c r="GA16" s="420"/>
      <c r="GB16" s="420"/>
      <c r="GC16" s="420"/>
      <c r="GD16" s="420"/>
      <c r="GE16" s="420"/>
      <c r="GF16" s="420"/>
      <c r="GG16" s="420"/>
      <c r="GH16" s="420"/>
      <c r="GI16" s="420"/>
      <c r="GJ16" s="420"/>
      <c r="GK16" s="420"/>
      <c r="GL16" s="420"/>
      <c r="GM16" s="420"/>
      <c r="GN16" s="420"/>
      <c r="GO16" s="420"/>
      <c r="GP16" s="420"/>
      <c r="GQ16" s="420"/>
      <c r="GR16" s="420"/>
      <c r="GS16" s="420"/>
      <c r="GT16" s="420"/>
      <c r="GU16" s="420"/>
      <c r="GV16" s="420"/>
      <c r="GW16" s="420"/>
      <c r="GX16" s="420"/>
      <c r="GY16" s="420"/>
      <c r="GZ16" s="420"/>
      <c r="HA16" s="420"/>
      <c r="HB16" s="420"/>
      <c r="HC16" s="420"/>
      <c r="HD16" s="420"/>
      <c r="HE16" s="420"/>
      <c r="HF16" s="420"/>
      <c r="HG16" s="420"/>
      <c r="HH16" s="420"/>
      <c r="HI16" s="420"/>
      <c r="HJ16" s="420"/>
      <c r="HK16" s="420"/>
      <c r="HL16" s="420"/>
      <c r="HM16" s="420"/>
      <c r="HN16" s="420"/>
      <c r="HO16" s="420"/>
      <c r="HP16" s="420"/>
      <c r="HQ16" s="420"/>
      <c r="HR16" s="420"/>
      <c r="HS16" s="420"/>
      <c r="HT16" s="420"/>
      <c r="HU16" s="420"/>
      <c r="HV16" s="420"/>
      <c r="HW16" s="420"/>
      <c r="HX16" s="420"/>
      <c r="HY16" s="420"/>
      <c r="HZ16" s="420"/>
      <c r="IA16" s="420"/>
      <c r="IB16" s="420"/>
      <c r="IC16" s="420"/>
      <c r="ID16" s="420"/>
      <c r="IE16" s="420"/>
      <c r="IF16" s="420"/>
      <c r="IG16" s="420"/>
      <c r="IH16" s="420"/>
      <c r="II16" s="420"/>
      <c r="IJ16" s="420"/>
      <c r="IK16" s="420"/>
      <c r="IL16" s="420"/>
      <c r="IM16" s="420"/>
      <c r="IN16" s="420"/>
      <c r="IO16" s="420"/>
      <c r="IP16" s="420"/>
      <c r="IQ16" s="420"/>
      <c r="IR16" s="420"/>
      <c r="IS16" s="420"/>
      <c r="IT16" s="420"/>
      <c r="IU16" s="420"/>
      <c r="IV16" s="420"/>
      <c r="IW16" s="420"/>
      <c r="IX16" s="420"/>
      <c r="IY16" s="420"/>
      <c r="IZ16" s="420"/>
      <c r="JA16" s="420"/>
      <c r="JB16" s="420"/>
    </row>
    <row r="17" spans="1:34" ht="12.75" x14ac:dyDescent="0.2">
      <c r="A17" s="835">
        <v>5</v>
      </c>
      <c r="B17" s="835" t="s">
        <v>77</v>
      </c>
      <c r="C17" s="835"/>
      <c r="U17" s="1094"/>
      <c r="V17" s="1094"/>
      <c r="W17" s="1094"/>
      <c r="X17" s="1094"/>
      <c r="Y17" s="1094"/>
      <c r="Z17" s="1094"/>
      <c r="AA17" s="1094"/>
      <c r="AB17" s="1094"/>
      <c r="AC17" s="1094"/>
      <c r="AD17" s="1094"/>
      <c r="AE17" s="1094"/>
      <c r="AF17" s="1094"/>
      <c r="AG17" s="1094"/>
      <c r="AH17" s="1094"/>
    </row>
    <row r="18" spans="1:34" x14ac:dyDescent="0.2">
      <c r="U18" s="1094"/>
      <c r="V18" s="1094"/>
      <c r="W18" s="1094"/>
      <c r="X18" s="1094"/>
      <c r="Y18" s="1094"/>
      <c r="Z18" s="1094"/>
      <c r="AA18" s="1094"/>
      <c r="AB18" s="1094"/>
      <c r="AC18" s="1094"/>
      <c r="AD18" s="1094"/>
      <c r="AE18" s="1094"/>
      <c r="AF18" s="1094"/>
      <c r="AG18" s="1094"/>
      <c r="AH18" s="1094"/>
    </row>
    <row r="19" spans="1:34" x14ac:dyDescent="0.2">
      <c r="M19" s="429"/>
      <c r="U19" s="1094"/>
      <c r="V19" s="1094"/>
      <c r="W19" s="1094"/>
      <c r="X19" s="1094"/>
      <c r="Y19" s="1094"/>
      <c r="Z19" s="1094"/>
      <c r="AA19" s="1094"/>
      <c r="AB19" s="1094"/>
      <c r="AC19" s="1094"/>
      <c r="AD19" s="1094"/>
      <c r="AE19" s="1094"/>
      <c r="AF19" s="1094"/>
      <c r="AG19" s="1094"/>
      <c r="AH19" s="1094"/>
    </row>
    <row r="20" spans="1:34" x14ac:dyDescent="0.2">
      <c r="M20" s="439"/>
      <c r="U20" s="1094"/>
      <c r="V20" s="1094"/>
      <c r="W20" s="1094"/>
      <c r="X20" s="1094"/>
      <c r="Y20" s="1094"/>
      <c r="Z20" s="1094"/>
      <c r="AA20" s="1094"/>
      <c r="AB20" s="1094"/>
      <c r="AC20" s="1094"/>
      <c r="AD20" s="1094"/>
      <c r="AE20" s="1094"/>
      <c r="AF20" s="1094"/>
      <c r="AG20" s="1094"/>
      <c r="AH20" s="1094"/>
    </row>
    <row r="21" spans="1:34" x14ac:dyDescent="0.2">
      <c r="O21" s="429"/>
      <c r="U21" s="1094"/>
      <c r="V21" s="1094"/>
      <c r="W21" s="1094"/>
      <c r="X21" s="1094"/>
      <c r="Y21" s="1094"/>
      <c r="Z21" s="1094"/>
      <c r="AA21" s="1094"/>
      <c r="AB21" s="1094"/>
      <c r="AC21" s="1094"/>
      <c r="AD21" s="1094"/>
      <c r="AE21" s="1094"/>
      <c r="AF21" s="1094"/>
      <c r="AG21" s="1094"/>
      <c r="AH21" s="1094"/>
    </row>
    <row r="22" spans="1:34" x14ac:dyDescent="0.2">
      <c r="O22" s="429"/>
      <c r="U22" s="1094"/>
      <c r="V22" s="1094"/>
      <c r="W22" s="1094"/>
      <c r="X22" s="1094"/>
      <c r="Y22" s="1094"/>
      <c r="Z22" s="1094"/>
      <c r="AA22" s="1094"/>
      <c r="AB22" s="1094"/>
      <c r="AC22" s="1094"/>
      <c r="AD22" s="1094"/>
      <c r="AE22" s="1094"/>
      <c r="AF22" s="1094"/>
      <c r="AG22" s="1094"/>
      <c r="AH22" s="1094"/>
    </row>
    <row r="23" spans="1:34" x14ac:dyDescent="0.2">
      <c r="A23" s="428"/>
      <c r="B23" s="428"/>
      <c r="C23" s="428"/>
      <c r="O23" s="429"/>
      <c r="U23" s="1094"/>
      <c r="V23" s="1094"/>
      <c r="W23" s="1094"/>
      <c r="X23" s="1094"/>
      <c r="Y23" s="1094"/>
      <c r="Z23" s="1094"/>
      <c r="AA23" s="1094"/>
      <c r="AB23" s="1094"/>
      <c r="AC23" s="1094"/>
      <c r="AD23" s="1094"/>
      <c r="AE23" s="1094"/>
      <c r="AF23" s="1094"/>
      <c r="AG23" s="1094"/>
      <c r="AH23" s="1094"/>
    </row>
    <row r="24" spans="1:34" x14ac:dyDescent="0.2">
      <c r="A24" s="428"/>
      <c r="B24" s="428"/>
      <c r="C24" s="428"/>
      <c r="O24" s="429"/>
      <c r="U24" s="1094"/>
      <c r="V24" s="1094"/>
      <c r="W24" s="1094"/>
      <c r="X24" s="1094"/>
      <c r="Y24" s="1094"/>
      <c r="Z24" s="1094"/>
      <c r="AA24" s="1094"/>
      <c r="AB24" s="1094"/>
      <c r="AC24" s="1094"/>
      <c r="AD24" s="1094"/>
      <c r="AE24" s="1094"/>
      <c r="AF24" s="1094"/>
      <c r="AG24" s="1094"/>
      <c r="AH24" s="1094"/>
    </row>
    <row r="25" spans="1:34" x14ac:dyDescent="0.2">
      <c r="A25" s="428"/>
      <c r="B25" s="428"/>
      <c r="C25" s="428"/>
      <c r="O25" s="429"/>
      <c r="U25" s="1094"/>
      <c r="V25" s="1094"/>
      <c r="W25" s="1094"/>
      <c r="X25" s="1094"/>
      <c r="Y25" s="1094"/>
      <c r="Z25" s="1094"/>
      <c r="AA25" s="1094"/>
      <c r="AB25" s="1094"/>
      <c r="AC25" s="1094"/>
      <c r="AD25" s="1094"/>
      <c r="AE25" s="1094"/>
      <c r="AF25" s="1094"/>
      <c r="AG25" s="1094"/>
      <c r="AH25" s="1094"/>
    </row>
    <row r="26" spans="1:34" x14ac:dyDescent="0.2">
      <c r="A26" s="428"/>
      <c r="B26" s="428"/>
      <c r="C26" s="428"/>
      <c r="O26" s="439"/>
      <c r="V26" s="1094"/>
      <c r="W26" s="1094"/>
      <c r="X26" s="1094"/>
      <c r="Y26" s="1094"/>
      <c r="Z26" s="1094"/>
      <c r="AA26" s="1094"/>
      <c r="AB26" s="1094"/>
      <c r="AC26" s="1094"/>
      <c r="AD26" s="1094"/>
      <c r="AE26" s="1094"/>
      <c r="AF26" s="1094"/>
      <c r="AG26" s="1094"/>
      <c r="AH26" s="1094"/>
    </row>
    <row r="27" spans="1:34" x14ac:dyDescent="0.2">
      <c r="A27" s="428"/>
      <c r="B27" s="428"/>
      <c r="C27" s="428"/>
      <c r="M27" s="439"/>
      <c r="V27" s="1094"/>
      <c r="W27" s="1094"/>
      <c r="X27" s="1094"/>
      <c r="Y27" s="1094"/>
      <c r="Z27" s="1094"/>
      <c r="AA27" s="1094"/>
      <c r="AB27" s="1094"/>
      <c r="AC27" s="1094"/>
      <c r="AD27" s="1094"/>
      <c r="AE27" s="1094"/>
      <c r="AF27" s="1094"/>
      <c r="AG27" s="1094"/>
      <c r="AH27" s="1094"/>
    </row>
    <row r="28" spans="1:34" x14ac:dyDescent="0.2">
      <c r="A28" s="428"/>
      <c r="B28" s="428"/>
      <c r="C28" s="428"/>
      <c r="M28" s="439"/>
      <c r="V28" s="1094"/>
      <c r="W28" s="1094"/>
      <c r="X28" s="1094"/>
      <c r="Y28" s="1094"/>
      <c r="Z28" s="1094"/>
      <c r="AA28" s="1094"/>
      <c r="AB28" s="1094"/>
      <c r="AC28" s="1094"/>
      <c r="AD28" s="1094"/>
      <c r="AE28" s="1094"/>
      <c r="AF28" s="1094"/>
      <c r="AG28" s="1094"/>
      <c r="AH28" s="1094"/>
    </row>
    <row r="29" spans="1:34" x14ac:dyDescent="0.2">
      <c r="A29" s="428"/>
      <c r="B29" s="428"/>
      <c r="C29" s="428"/>
      <c r="M29" s="439"/>
      <c r="V29" s="1094"/>
      <c r="W29" s="1094"/>
      <c r="X29" s="1094"/>
      <c r="Y29" s="1094"/>
      <c r="Z29" s="1094"/>
      <c r="AA29" s="1094"/>
      <c r="AB29" s="1094"/>
      <c r="AC29" s="1094"/>
      <c r="AD29" s="1094"/>
      <c r="AE29" s="1094"/>
      <c r="AF29" s="1094"/>
      <c r="AG29" s="1094"/>
      <c r="AH29" s="1094"/>
    </row>
    <row r="30" spans="1:34" x14ac:dyDescent="0.2">
      <c r="A30" s="428"/>
      <c r="B30" s="428"/>
      <c r="C30" s="428"/>
      <c r="M30" s="439"/>
      <c r="V30" s="1094"/>
      <c r="W30" s="1094"/>
      <c r="X30" s="1094"/>
      <c r="Y30" s="1094"/>
      <c r="Z30" s="1094"/>
      <c r="AA30" s="1094"/>
      <c r="AB30" s="1094"/>
      <c r="AC30" s="1094"/>
      <c r="AD30" s="1094"/>
      <c r="AE30" s="1094"/>
      <c r="AF30" s="1094"/>
      <c r="AG30" s="1094"/>
      <c r="AH30" s="1094"/>
    </row>
    <row r="31" spans="1:34" x14ac:dyDescent="0.2">
      <c r="A31" s="428"/>
      <c r="B31" s="428"/>
      <c r="C31" s="428"/>
      <c r="M31" s="439"/>
      <c r="V31" s="1094"/>
      <c r="W31" s="1094"/>
      <c r="X31" s="1094"/>
      <c r="Y31" s="1094"/>
      <c r="Z31" s="1094"/>
      <c r="AA31" s="1094"/>
      <c r="AB31" s="1094"/>
      <c r="AC31" s="1094"/>
      <c r="AD31" s="1094"/>
      <c r="AE31" s="1094"/>
      <c r="AF31" s="1094"/>
      <c r="AG31" s="1094"/>
      <c r="AH31" s="1094"/>
    </row>
    <row r="32" spans="1:34" x14ac:dyDescent="0.2">
      <c r="A32" s="428"/>
      <c r="B32" s="428"/>
      <c r="C32" s="428"/>
      <c r="M32" s="439"/>
      <c r="V32" s="1094"/>
      <c r="W32" s="1094"/>
      <c r="X32" s="1094"/>
      <c r="Y32" s="1094"/>
      <c r="Z32" s="1094"/>
      <c r="AA32" s="1094"/>
      <c r="AB32" s="1094"/>
      <c r="AC32" s="1094"/>
      <c r="AD32" s="1094"/>
      <c r="AE32" s="1094"/>
      <c r="AF32" s="1094"/>
      <c r="AG32" s="1094"/>
      <c r="AH32" s="1094"/>
    </row>
    <row r="33" spans="1:33" x14ac:dyDescent="0.2">
      <c r="A33" s="428"/>
      <c r="B33" s="428"/>
      <c r="C33" s="428"/>
      <c r="M33" s="439"/>
    </row>
    <row r="34" spans="1:33" x14ac:dyDescent="0.2">
      <c r="A34" s="428"/>
      <c r="B34" s="428"/>
      <c r="C34" s="428"/>
      <c r="M34" s="439"/>
    </row>
    <row r="35" spans="1:33" x14ac:dyDescent="0.2">
      <c r="A35" s="428"/>
      <c r="B35" s="428"/>
      <c r="C35" s="428"/>
      <c r="M35" s="439"/>
    </row>
    <row r="36" spans="1:33" x14ac:dyDescent="0.2">
      <c r="A36" s="428"/>
      <c r="B36" s="428"/>
      <c r="C36" s="428"/>
      <c r="M36" s="439"/>
    </row>
    <row r="37" spans="1:33" x14ac:dyDescent="0.2">
      <c r="A37" s="428"/>
      <c r="B37" s="428"/>
      <c r="C37" s="428"/>
      <c r="M37" s="1246"/>
    </row>
    <row r="38" spans="1:33" x14ac:dyDescent="0.2">
      <c r="A38" s="428"/>
      <c r="B38" s="428"/>
      <c r="C38" s="428"/>
      <c r="M38" s="439"/>
    </row>
    <row r="41" spans="1:33" s="964" customFormat="1" ht="15" x14ac:dyDescent="0.25">
      <c r="A41" s="835">
        <v>6</v>
      </c>
      <c r="B41" s="835" t="s">
        <v>78</v>
      </c>
      <c r="C41" s="835"/>
      <c r="D41" s="3615" t="s">
        <v>1356</v>
      </c>
      <c r="E41" s="3616"/>
      <c r="F41" s="3616"/>
      <c r="G41" s="3616"/>
      <c r="H41" s="3616"/>
      <c r="I41" s="3616"/>
      <c r="J41" s="3616"/>
      <c r="K41" s="3616"/>
      <c r="L41" s="3616"/>
      <c r="M41" s="3616"/>
      <c r="N41" s="3616"/>
      <c r="O41" s="3616"/>
      <c r="P41" s="3616"/>
      <c r="Q41" s="3616"/>
      <c r="R41" s="3616"/>
      <c r="S41" s="3616"/>
      <c r="T41" s="3616"/>
      <c r="U41" s="3955"/>
      <c r="V41" s="3955"/>
      <c r="W41" s="3955"/>
      <c r="X41" s="3955"/>
      <c r="Y41" s="3955"/>
      <c r="Z41" s="3955"/>
      <c r="AA41" s="3955"/>
      <c r="AB41" s="3955"/>
      <c r="AC41" s="3955"/>
      <c r="AD41" s="3955"/>
      <c r="AE41" s="3955"/>
      <c r="AF41" s="3955"/>
      <c r="AG41" s="3956"/>
    </row>
    <row r="42" spans="1:33" s="964" customFormat="1" ht="17.25" customHeight="1" x14ac:dyDescent="0.25">
      <c r="A42" s="963">
        <v>7</v>
      </c>
      <c r="B42" s="963" t="s">
        <v>80</v>
      </c>
      <c r="C42" s="963"/>
      <c r="D42" s="3615"/>
      <c r="E42" s="3616"/>
      <c r="F42" s="3616"/>
      <c r="G42" s="3616"/>
      <c r="H42" s="3616"/>
      <c r="I42" s="3616"/>
      <c r="J42" s="3616"/>
      <c r="K42" s="3616"/>
      <c r="L42" s="3616"/>
      <c r="M42" s="3616"/>
      <c r="N42" s="3616"/>
      <c r="O42" s="3616"/>
      <c r="P42" s="3616"/>
      <c r="Q42" s="3616"/>
      <c r="R42" s="3616"/>
      <c r="S42" s="3616"/>
      <c r="T42" s="3616"/>
      <c r="U42" s="3616"/>
      <c r="V42" s="3616"/>
      <c r="W42" s="3616"/>
      <c r="X42" s="3616"/>
      <c r="Y42" s="3616"/>
      <c r="Z42" s="3616"/>
      <c r="AA42" s="3616"/>
      <c r="AB42" s="3616"/>
      <c r="AC42" s="3616"/>
      <c r="AD42" s="3616"/>
      <c r="AE42" s="3616"/>
      <c r="AF42" s="3616"/>
      <c r="AG42" s="3956"/>
    </row>
    <row r="43" spans="1:33" ht="66" customHeight="1" x14ac:dyDescent="0.25">
      <c r="A43" s="963">
        <v>8</v>
      </c>
      <c r="B43" s="835" t="s">
        <v>22</v>
      </c>
      <c r="C43" s="1704"/>
      <c r="D43" s="3615" t="s">
        <v>1355</v>
      </c>
      <c r="E43" s="3616"/>
      <c r="F43" s="3616"/>
      <c r="G43" s="3616"/>
      <c r="H43" s="3616"/>
      <c r="I43" s="3616"/>
      <c r="J43" s="3616"/>
      <c r="K43" s="3616"/>
      <c r="L43" s="3616"/>
      <c r="M43" s="3616"/>
      <c r="N43" s="3616"/>
      <c r="O43" s="3616"/>
      <c r="P43" s="3616"/>
      <c r="Q43" s="3616"/>
      <c r="R43" s="3616"/>
      <c r="S43" s="3616"/>
      <c r="T43" s="3616"/>
      <c r="U43" s="3955"/>
      <c r="V43" s="3955"/>
      <c r="W43" s="3955"/>
      <c r="X43" s="3955"/>
      <c r="Y43" s="3955"/>
      <c r="Z43" s="3955"/>
      <c r="AA43" s="3955"/>
      <c r="AB43" s="3955"/>
      <c r="AC43" s="3955"/>
      <c r="AD43" s="3955"/>
      <c r="AE43" s="3955"/>
      <c r="AF43" s="3955"/>
      <c r="AG43" s="3956"/>
    </row>
    <row r="44" spans="1:33" s="964" customFormat="1" ht="31.9" customHeight="1" x14ac:dyDescent="0.25">
      <c r="A44" s="963">
        <v>9</v>
      </c>
      <c r="B44" s="835" t="s">
        <v>20</v>
      </c>
      <c r="C44" s="835"/>
      <c r="D44" s="3615" t="s">
        <v>1354</v>
      </c>
      <c r="E44" s="3616"/>
      <c r="F44" s="3616"/>
      <c r="G44" s="3616"/>
      <c r="H44" s="3616"/>
      <c r="I44" s="3616"/>
      <c r="J44" s="3616"/>
      <c r="K44" s="3616"/>
      <c r="L44" s="3616"/>
      <c r="M44" s="3616"/>
      <c r="N44" s="3616"/>
      <c r="O44" s="3616"/>
      <c r="P44" s="3616"/>
      <c r="Q44" s="3616"/>
      <c r="R44" s="3616"/>
      <c r="S44" s="3616"/>
      <c r="T44" s="3616"/>
      <c r="U44" s="3955"/>
      <c r="V44" s="3955"/>
      <c r="W44" s="3955"/>
      <c r="X44" s="3955"/>
      <c r="Y44" s="3955"/>
      <c r="Z44" s="3955"/>
      <c r="AA44" s="3955"/>
      <c r="AB44" s="3955"/>
      <c r="AC44" s="3955"/>
      <c r="AD44" s="3955"/>
      <c r="AE44" s="3955"/>
      <c r="AF44" s="3955"/>
      <c r="AG44" s="3956"/>
    </row>
    <row r="47" spans="1:33" ht="12.75" x14ac:dyDescent="0.25">
      <c r="E47" s="1716"/>
      <c r="F47" s="1716"/>
      <c r="G47" s="1716"/>
      <c r="H47" s="1716"/>
      <c r="I47" s="1716"/>
      <c r="J47" s="1716"/>
      <c r="K47" s="1716"/>
      <c r="L47" s="1716"/>
      <c r="M47" s="1716"/>
      <c r="N47" s="1716"/>
      <c r="O47" s="1716"/>
      <c r="P47" s="1716"/>
      <c r="Q47" s="1716"/>
      <c r="R47" s="1716"/>
    </row>
    <row r="48" spans="1:33" ht="12.75" x14ac:dyDescent="0.25">
      <c r="E48" s="1717"/>
      <c r="F48" s="1717"/>
      <c r="G48" s="1717"/>
      <c r="H48" s="1717"/>
      <c r="I48" s="1717"/>
      <c r="J48" s="1717"/>
      <c r="K48" s="1717"/>
      <c r="L48" s="1717"/>
      <c r="M48" s="1717"/>
      <c r="N48" s="1717"/>
      <c r="O48" s="1717"/>
      <c r="P48" s="1717"/>
      <c r="Q48" s="1717"/>
      <c r="R48" s="1717"/>
    </row>
    <row r="49" spans="4:19" ht="12.75" hidden="1" x14ac:dyDescent="0.25">
      <c r="E49" s="1331"/>
      <c r="F49" s="1331"/>
      <c r="G49" s="1331"/>
      <c r="H49" s="1331"/>
      <c r="I49" s="1331"/>
      <c r="J49" s="1331"/>
      <c r="K49" s="1331"/>
      <c r="L49" s="1331"/>
      <c r="M49" s="1331"/>
      <c r="N49" s="1331"/>
      <c r="O49" s="1331"/>
      <c r="P49" s="1331"/>
      <c r="Q49" s="1331"/>
      <c r="R49" s="1331"/>
    </row>
    <row r="50" spans="4:19" hidden="1" x14ac:dyDescent="0.2"/>
    <row r="51" spans="4:19" hidden="1" x14ac:dyDescent="0.2"/>
    <row r="52" spans="4:19" hidden="1" x14ac:dyDescent="0.2">
      <c r="E52" s="428">
        <v>2000</v>
      </c>
      <c r="F52" s="428">
        <v>2001</v>
      </c>
      <c r="G52" s="428">
        <v>2002</v>
      </c>
      <c r="H52" s="428">
        <v>2003</v>
      </c>
      <c r="I52" s="428">
        <v>2004</v>
      </c>
      <c r="J52" s="428">
        <v>2005</v>
      </c>
      <c r="K52" s="428">
        <v>2006</v>
      </c>
      <c r="L52" s="428">
        <v>2007</v>
      </c>
      <c r="M52" s="428">
        <v>2008</v>
      </c>
      <c r="N52" s="428">
        <v>2009</v>
      </c>
      <c r="O52" s="428">
        <v>2010</v>
      </c>
      <c r="P52" s="428">
        <v>2011</v>
      </c>
      <c r="Q52" s="428">
        <v>2012</v>
      </c>
      <c r="R52" s="428">
        <v>2013</v>
      </c>
      <c r="S52" s="428">
        <v>2014</v>
      </c>
    </row>
    <row r="53" spans="4:19" hidden="1" x14ac:dyDescent="0.2">
      <c r="D53" s="428" t="s">
        <v>1352</v>
      </c>
      <c r="E53" s="428">
        <v>70</v>
      </c>
      <c r="F53" s="428">
        <v>64</v>
      </c>
      <c r="G53" s="428">
        <v>73</v>
      </c>
      <c r="H53" s="428">
        <v>74</v>
      </c>
      <c r="I53" s="428">
        <v>79</v>
      </c>
      <c r="J53" s="428">
        <v>73</v>
      </c>
      <c r="K53" s="428">
        <v>74</v>
      </c>
      <c r="L53" s="428">
        <v>65</v>
      </c>
      <c r="M53" s="428">
        <v>58</v>
      </c>
      <c r="N53" s="428">
        <v>59</v>
      </c>
      <c r="O53" s="428">
        <v>55</v>
      </c>
      <c r="P53" s="428">
        <v>50</v>
      </c>
      <c r="Q53" s="428">
        <v>52</v>
      </c>
      <c r="R53" s="428">
        <v>53</v>
      </c>
      <c r="S53" s="428">
        <v>56</v>
      </c>
    </row>
    <row r="54" spans="4:19" hidden="1" x14ac:dyDescent="0.2">
      <c r="D54" s="428" t="s">
        <v>1353</v>
      </c>
      <c r="I54" s="428">
        <v>10</v>
      </c>
      <c r="J54" s="428">
        <v>34</v>
      </c>
      <c r="K54" s="428">
        <v>2</v>
      </c>
      <c r="L54" s="428">
        <v>32</v>
      </c>
      <c r="M54" s="428">
        <v>27</v>
      </c>
      <c r="N54" s="428">
        <v>107</v>
      </c>
      <c r="O54" s="428">
        <v>111</v>
      </c>
      <c r="P54" s="428">
        <v>82</v>
      </c>
      <c r="Q54" s="428">
        <v>173</v>
      </c>
      <c r="R54" s="428">
        <v>155</v>
      </c>
      <c r="S54" s="428">
        <v>134</v>
      </c>
    </row>
    <row r="55" spans="4:19" hidden="1" x14ac:dyDescent="0.2"/>
    <row r="56" spans="4:19" hidden="1" x14ac:dyDescent="0.2"/>
    <row r="57" spans="4:19" hidden="1" x14ac:dyDescent="0.2"/>
    <row r="58" spans="4:19" hidden="1" x14ac:dyDescent="0.2"/>
    <row r="59" spans="4:19" hidden="1" x14ac:dyDescent="0.2"/>
    <row r="60" spans="4:19" hidden="1" x14ac:dyDescent="0.2"/>
    <row r="61" spans="4:19" hidden="1" x14ac:dyDescent="0.2"/>
    <row r="62" spans="4:19" hidden="1" x14ac:dyDescent="0.2"/>
    <row r="63" spans="4:19" hidden="1" x14ac:dyDescent="0.2"/>
    <row r="64" spans="4:19" hidden="1" x14ac:dyDescent="0.2"/>
    <row r="65" spans="4:34" hidden="1" x14ac:dyDescent="0.2"/>
    <row r="66" spans="4:34" hidden="1" x14ac:dyDescent="0.2"/>
    <row r="67" spans="4:34" hidden="1" x14ac:dyDescent="0.2"/>
    <row r="68" spans="4:34" hidden="1" x14ac:dyDescent="0.2"/>
    <row r="69" spans="4:34" hidden="1" x14ac:dyDescent="0.2"/>
    <row r="70" spans="4:34" hidden="1" x14ac:dyDescent="0.2"/>
    <row r="71" spans="4:34" hidden="1" x14ac:dyDescent="0.2"/>
    <row r="72" spans="4:34" hidden="1" x14ac:dyDescent="0.2"/>
    <row r="73" spans="4:34" ht="12" hidden="1" customHeight="1" x14ac:dyDescent="0.2">
      <c r="D73" s="660"/>
      <c r="E73" s="3797">
        <v>2000</v>
      </c>
      <c r="F73" s="3967"/>
      <c r="G73" s="3797">
        <v>2001</v>
      </c>
      <c r="H73" s="3967"/>
      <c r="I73" s="3797">
        <v>2002</v>
      </c>
      <c r="J73" s="3967"/>
      <c r="K73" s="3797">
        <v>2003</v>
      </c>
      <c r="L73" s="3967"/>
      <c r="M73" s="3797">
        <v>2004</v>
      </c>
      <c r="N73" s="3967"/>
      <c r="O73" s="3797">
        <v>2005</v>
      </c>
      <c r="P73" s="3967"/>
      <c r="Q73" s="3797">
        <v>2006</v>
      </c>
      <c r="R73" s="3967"/>
      <c r="S73" s="3968">
        <v>2007</v>
      </c>
      <c r="T73" s="3967"/>
      <c r="U73" s="3797">
        <v>2008</v>
      </c>
      <c r="V73" s="3967"/>
      <c r="W73" s="3797">
        <v>2009</v>
      </c>
      <c r="X73" s="3967"/>
      <c r="Y73" s="3797">
        <v>2010</v>
      </c>
      <c r="Z73" s="3967"/>
      <c r="AA73" s="3797">
        <v>2011</v>
      </c>
      <c r="AB73" s="3967"/>
      <c r="AC73" s="3797">
        <v>2011</v>
      </c>
      <c r="AD73" s="3967"/>
      <c r="AE73" s="3797">
        <v>2011</v>
      </c>
      <c r="AF73" s="3967"/>
      <c r="AG73" s="3797">
        <v>2012</v>
      </c>
      <c r="AH73" s="3967"/>
    </row>
    <row r="74" spans="4:34" hidden="1" x14ac:dyDescent="0.2">
      <c r="D74" s="784"/>
      <c r="E74" s="1437" t="s">
        <v>1141</v>
      </c>
      <c r="F74" s="1710" t="s">
        <v>1140</v>
      </c>
      <c r="G74" s="1437" t="s">
        <v>1141</v>
      </c>
      <c r="H74" s="1710" t="s">
        <v>1140</v>
      </c>
      <c r="I74" s="1437" t="s">
        <v>1141</v>
      </c>
      <c r="J74" s="1710" t="s">
        <v>1140</v>
      </c>
      <c r="K74" s="1437" t="s">
        <v>1141</v>
      </c>
      <c r="L74" s="1710" t="s">
        <v>1140</v>
      </c>
      <c r="M74" s="1437" t="s">
        <v>1141</v>
      </c>
      <c r="N74" s="1710" t="s">
        <v>1140</v>
      </c>
      <c r="O74" s="1437" t="s">
        <v>1141</v>
      </c>
      <c r="P74" s="1710" t="s">
        <v>1140</v>
      </c>
      <c r="Q74" s="1437" t="s">
        <v>1141</v>
      </c>
      <c r="R74" s="1710" t="s">
        <v>1140</v>
      </c>
      <c r="S74" s="1437" t="s">
        <v>1141</v>
      </c>
      <c r="T74" s="1710" t="s">
        <v>1140</v>
      </c>
      <c r="U74" s="1437" t="s">
        <v>1141</v>
      </c>
      <c r="V74" s="1710" t="s">
        <v>1140</v>
      </c>
      <c r="W74" s="1437" t="s">
        <v>1141</v>
      </c>
      <c r="X74" s="1710" t="s">
        <v>1148</v>
      </c>
      <c r="Y74" s="1437" t="s">
        <v>1142</v>
      </c>
      <c r="Z74" s="1710" t="s">
        <v>1140</v>
      </c>
      <c r="AA74" s="1437" t="s">
        <v>1141</v>
      </c>
      <c r="AB74" s="1710" t="s">
        <v>1140</v>
      </c>
      <c r="AC74" s="1437" t="s">
        <v>1141</v>
      </c>
      <c r="AD74" s="1710" t="s">
        <v>1140</v>
      </c>
      <c r="AE74" s="1437" t="s">
        <v>1141</v>
      </c>
      <c r="AF74" s="1710" t="s">
        <v>1140</v>
      </c>
      <c r="AG74" s="1437" t="s">
        <v>1141</v>
      </c>
      <c r="AH74" s="1710" t="s">
        <v>1140</v>
      </c>
    </row>
    <row r="75" spans="4:34" hidden="1" x14ac:dyDescent="0.2">
      <c r="D75" s="796" t="s">
        <v>1352</v>
      </c>
      <c r="E75" s="450">
        <v>72</v>
      </c>
      <c r="F75" s="1255">
        <v>67</v>
      </c>
      <c r="G75" s="450">
        <v>65</v>
      </c>
      <c r="H75" s="1255">
        <v>63</v>
      </c>
      <c r="I75" s="450">
        <v>74</v>
      </c>
      <c r="J75" s="1255">
        <v>71</v>
      </c>
      <c r="K75" s="450">
        <v>75</v>
      </c>
      <c r="L75" s="1255">
        <v>72</v>
      </c>
      <c r="M75" s="450">
        <v>81</v>
      </c>
      <c r="N75" s="1255">
        <v>77</v>
      </c>
      <c r="O75" s="450">
        <v>73</v>
      </c>
      <c r="P75" s="1255">
        <v>73</v>
      </c>
      <c r="Q75" s="450">
        <v>76</v>
      </c>
      <c r="R75" s="1255">
        <v>72</v>
      </c>
      <c r="S75" s="450">
        <v>68</v>
      </c>
      <c r="T75" s="1255">
        <v>62</v>
      </c>
      <c r="U75" s="450">
        <v>58</v>
      </c>
      <c r="V75" s="1255">
        <v>58</v>
      </c>
      <c r="W75" s="450">
        <v>61</v>
      </c>
      <c r="X75" s="1255">
        <v>57</v>
      </c>
      <c r="Y75" s="450">
        <v>56.8</v>
      </c>
      <c r="Z75" s="1255">
        <v>54</v>
      </c>
      <c r="AA75" s="450">
        <v>48</v>
      </c>
      <c r="AB75" s="1255">
        <v>51</v>
      </c>
      <c r="AC75" s="450">
        <v>48</v>
      </c>
      <c r="AD75" s="1255">
        <v>51</v>
      </c>
      <c r="AE75" s="450">
        <v>48</v>
      </c>
      <c r="AF75" s="1255">
        <v>51</v>
      </c>
      <c r="AG75" s="450">
        <v>53.5</v>
      </c>
      <c r="AH75" s="1255"/>
    </row>
    <row r="76" spans="4:34" hidden="1" x14ac:dyDescent="0.2">
      <c r="E76" s="428">
        <f>+AVERAGE(E75:F75)</f>
        <v>69.5</v>
      </c>
      <c r="G76" s="428">
        <f>+AVERAGE(G75:H75)</f>
        <v>64</v>
      </c>
      <c r="I76" s="428">
        <f>+AVERAGE(I75:J75)</f>
        <v>72.5</v>
      </c>
      <c r="K76" s="428">
        <f>+AVERAGE(K75:L75)</f>
        <v>73.5</v>
      </c>
      <c r="M76" s="428">
        <f>+AVERAGE(M75:N75)</f>
        <v>79</v>
      </c>
      <c r="O76" s="428">
        <f>+AVERAGE(O75:P75)</f>
        <v>73</v>
      </c>
      <c r="Q76" s="428">
        <f>+AVERAGE(Q75:R75)</f>
        <v>74</v>
      </c>
      <c r="S76" s="428">
        <f>+AVERAGE(S75:T75)</f>
        <v>65</v>
      </c>
      <c r="U76" s="428">
        <f>+AVERAGE(U75:V75)</f>
        <v>58</v>
      </c>
      <c r="W76" s="428">
        <f>+AVERAGE(W75:X75)</f>
        <v>59</v>
      </c>
      <c r="Y76" s="428">
        <f>+AVERAGE(Y75:Z75)</f>
        <v>55.4</v>
      </c>
      <c r="AA76" s="428">
        <f>+AVERAGE(AA75:AB75)</f>
        <v>49.5</v>
      </c>
      <c r="AC76" s="428">
        <f>+AVERAGE(AC75:AD75)</f>
        <v>49.5</v>
      </c>
      <c r="AE76" s="428">
        <f>+AVERAGE(AE75:AF75)</f>
        <v>49.5</v>
      </c>
      <c r="AG76" s="428">
        <f>+AVERAGE(AG75:AH75)</f>
        <v>53.5</v>
      </c>
    </row>
    <row r="77" spans="4:34" hidden="1" x14ac:dyDescent="0.2"/>
    <row r="78" spans="4:34" hidden="1" x14ac:dyDescent="0.2"/>
    <row r="79" spans="4:34" hidden="1" x14ac:dyDescent="0.2"/>
    <row r="80" spans="4:34" hidden="1" x14ac:dyDescent="0.2"/>
    <row r="81" hidden="1" x14ac:dyDescent="0.2"/>
  </sheetData>
  <mergeCells count="70">
    <mergeCell ref="AI12:AJ12"/>
    <mergeCell ref="AI13:AJ13"/>
    <mergeCell ref="AG12:AH12"/>
    <mergeCell ref="AG13:AH13"/>
    <mergeCell ref="AA7:AB7"/>
    <mergeCell ref="AC12:AD12"/>
    <mergeCell ref="AI7:AJ7"/>
    <mergeCell ref="AC13:AD13"/>
    <mergeCell ref="AE13:AF13"/>
    <mergeCell ref="AE12:AF12"/>
    <mergeCell ref="AA12:AB12"/>
    <mergeCell ref="Q7:R7"/>
    <mergeCell ref="S7:T7"/>
    <mergeCell ref="U7:V7"/>
    <mergeCell ref="D2:K2"/>
    <mergeCell ref="D3:AG3"/>
    <mergeCell ref="D4:AG4"/>
    <mergeCell ref="E7:F7"/>
    <mergeCell ref="G7:H7"/>
    <mergeCell ref="I7:J7"/>
    <mergeCell ref="K7:L7"/>
    <mergeCell ref="M7:N7"/>
    <mergeCell ref="O7:P7"/>
    <mergeCell ref="AG7:AH7"/>
    <mergeCell ref="AC7:AD7"/>
    <mergeCell ref="AE7:AF7"/>
    <mergeCell ref="O73:P73"/>
    <mergeCell ref="W7:X7"/>
    <mergeCell ref="Y7:Z7"/>
    <mergeCell ref="E13:F13"/>
    <mergeCell ref="G13:H13"/>
    <mergeCell ref="I13:J13"/>
    <mergeCell ref="K13:L13"/>
    <mergeCell ref="M13:N13"/>
    <mergeCell ref="Q12:R12"/>
    <mergeCell ref="E12:F12"/>
    <mergeCell ref="G12:H12"/>
    <mergeCell ref="I12:J12"/>
    <mergeCell ref="K12:L12"/>
    <mergeCell ref="M12:N12"/>
    <mergeCell ref="W12:X12"/>
    <mergeCell ref="Y12:Z12"/>
    <mergeCell ref="E73:F73"/>
    <mergeCell ref="G73:H73"/>
    <mergeCell ref="I73:J73"/>
    <mergeCell ref="K73:L73"/>
    <mergeCell ref="M73:N73"/>
    <mergeCell ref="S12:T12"/>
    <mergeCell ref="U12:V12"/>
    <mergeCell ref="D42:AG42"/>
    <mergeCell ref="D44:AG44"/>
    <mergeCell ref="D43:AG43"/>
    <mergeCell ref="W13:X13"/>
    <mergeCell ref="Y13:Z13"/>
    <mergeCell ref="AA13:AB13"/>
    <mergeCell ref="D41:AG41"/>
    <mergeCell ref="O13:P13"/>
    <mergeCell ref="Q13:R13"/>
    <mergeCell ref="S13:T13"/>
    <mergeCell ref="U13:V13"/>
    <mergeCell ref="O12:P12"/>
    <mergeCell ref="Q73:R73"/>
    <mergeCell ref="S73:T73"/>
    <mergeCell ref="AE73:AF73"/>
    <mergeCell ref="AG73:AH73"/>
    <mergeCell ref="U73:V73"/>
    <mergeCell ref="W73:X73"/>
    <mergeCell ref="AC73:AD73"/>
    <mergeCell ref="Y73:Z73"/>
    <mergeCell ref="AA73:AB73"/>
  </mergeCells>
  <pageMargins left="0.74803149606299213" right="0.74803149606299213" top="0.98425196850393704" bottom="0.98425196850393704" header="0.51181102362204722" footer="0.51181102362204722"/>
  <pageSetup paperSize="9" scale="5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40"/>
  <sheetViews>
    <sheetView showGridLines="0" view="pageBreakPreview" topLeftCell="A7" zoomScaleNormal="100" zoomScaleSheetLayoutView="100" workbookViewId="0">
      <selection activeCell="J18" sqref="J18"/>
    </sheetView>
  </sheetViews>
  <sheetFormatPr defaultColWidth="9.140625" defaultRowHeight="12" x14ac:dyDescent="0.2"/>
  <cols>
    <col min="1" max="1" width="3.7109375" style="1687" customWidth="1"/>
    <col min="2" max="2" width="14.42578125" style="1688" customWidth="1"/>
    <col min="3" max="3" width="3.7109375" style="1688" customWidth="1"/>
    <col min="4" max="4" width="22.5703125" style="428" customWidth="1"/>
    <col min="5" max="13" width="10.5703125" style="428" customWidth="1"/>
    <col min="14" max="14" width="11" style="428" customWidth="1"/>
    <col min="15" max="15" width="9" style="428" customWidth="1"/>
    <col min="16" max="16" width="9.140625" style="428"/>
    <col min="17" max="17" width="13.140625" style="428" customWidth="1"/>
    <col min="18" max="258" width="9.140625" style="428"/>
    <col min="259" max="259" width="3.7109375" style="428" customWidth="1"/>
    <col min="260" max="260" width="14.42578125" style="428" customWidth="1"/>
    <col min="261" max="261" width="3.7109375" style="428" customWidth="1"/>
    <col min="262" max="262" width="22.5703125" style="428" customWidth="1"/>
    <col min="263" max="269" width="10.5703125" style="428" customWidth="1"/>
    <col min="270" max="270" width="18.5703125" style="428" customWidth="1"/>
    <col min="271" max="271" width="9" style="428" customWidth="1"/>
    <col min="272" max="272" width="9.140625" style="428"/>
    <col min="273" max="273" width="13.140625" style="428" customWidth="1"/>
    <col min="274" max="274" width="9.140625" style="428"/>
    <col min="275" max="275" width="22.7109375" style="428" customWidth="1"/>
    <col min="276" max="514" width="9.140625" style="428"/>
    <col min="515" max="515" width="3.7109375" style="428" customWidth="1"/>
    <col min="516" max="516" width="14.42578125" style="428" customWidth="1"/>
    <col min="517" max="517" width="3.7109375" style="428" customWidth="1"/>
    <col min="518" max="518" width="22.5703125" style="428" customWidth="1"/>
    <col min="519" max="525" width="10.5703125" style="428" customWidth="1"/>
    <col min="526" max="526" width="18.5703125" style="428" customWidth="1"/>
    <col min="527" max="527" width="9" style="428" customWidth="1"/>
    <col min="528" max="528" width="9.140625" style="428"/>
    <col min="529" max="529" width="13.140625" style="428" customWidth="1"/>
    <col min="530" max="530" width="9.140625" style="428"/>
    <col min="531" max="531" width="22.7109375" style="428" customWidth="1"/>
    <col min="532" max="770" width="9.140625" style="428"/>
    <col min="771" max="771" width="3.7109375" style="428" customWidth="1"/>
    <col min="772" max="772" width="14.42578125" style="428" customWidth="1"/>
    <col min="773" max="773" width="3.7109375" style="428" customWidth="1"/>
    <col min="774" max="774" width="22.5703125" style="428" customWidth="1"/>
    <col min="775" max="781" width="10.5703125" style="428" customWidth="1"/>
    <col min="782" max="782" width="18.5703125" style="428" customWidth="1"/>
    <col min="783" max="783" width="9" style="428" customWidth="1"/>
    <col min="784" max="784" width="9.140625" style="428"/>
    <col min="785" max="785" width="13.140625" style="428" customWidth="1"/>
    <col min="786" max="786" width="9.140625" style="428"/>
    <col min="787" max="787" width="22.7109375" style="428" customWidth="1"/>
    <col min="788" max="1026" width="9.140625" style="428"/>
    <col min="1027" max="1027" width="3.7109375" style="428" customWidth="1"/>
    <col min="1028" max="1028" width="14.42578125" style="428" customWidth="1"/>
    <col min="1029" max="1029" width="3.7109375" style="428" customWidth="1"/>
    <col min="1030" max="1030" width="22.5703125" style="428" customWidth="1"/>
    <col min="1031" max="1037" width="10.5703125" style="428" customWidth="1"/>
    <col min="1038" max="1038" width="18.5703125" style="428" customWidth="1"/>
    <col min="1039" max="1039" width="9" style="428" customWidth="1"/>
    <col min="1040" max="1040" width="9.140625" style="428"/>
    <col min="1041" max="1041" width="13.140625" style="428" customWidth="1"/>
    <col min="1042" max="1042" width="9.140625" style="428"/>
    <col min="1043" max="1043" width="22.7109375" style="428" customWidth="1"/>
    <col min="1044" max="1282" width="9.140625" style="428"/>
    <col min="1283" max="1283" width="3.7109375" style="428" customWidth="1"/>
    <col min="1284" max="1284" width="14.42578125" style="428" customWidth="1"/>
    <col min="1285" max="1285" width="3.7109375" style="428" customWidth="1"/>
    <col min="1286" max="1286" width="22.5703125" style="428" customWidth="1"/>
    <col min="1287" max="1293" width="10.5703125" style="428" customWidth="1"/>
    <col min="1294" max="1294" width="18.5703125" style="428" customWidth="1"/>
    <col min="1295" max="1295" width="9" style="428" customWidth="1"/>
    <col min="1296" max="1296" width="9.140625" style="428"/>
    <col min="1297" max="1297" width="13.140625" style="428" customWidth="1"/>
    <col min="1298" max="1298" width="9.140625" style="428"/>
    <col min="1299" max="1299" width="22.7109375" style="428" customWidth="1"/>
    <col min="1300" max="1538" width="9.140625" style="428"/>
    <col min="1539" max="1539" width="3.7109375" style="428" customWidth="1"/>
    <col min="1540" max="1540" width="14.42578125" style="428" customWidth="1"/>
    <col min="1541" max="1541" width="3.7109375" style="428" customWidth="1"/>
    <col min="1542" max="1542" width="22.5703125" style="428" customWidth="1"/>
    <col min="1543" max="1549" width="10.5703125" style="428" customWidth="1"/>
    <col min="1550" max="1550" width="18.5703125" style="428" customWidth="1"/>
    <col min="1551" max="1551" width="9" style="428" customWidth="1"/>
    <col min="1552" max="1552" width="9.140625" style="428"/>
    <col min="1553" max="1553" width="13.140625" style="428" customWidth="1"/>
    <col min="1554" max="1554" width="9.140625" style="428"/>
    <col min="1555" max="1555" width="22.7109375" style="428" customWidth="1"/>
    <col min="1556" max="1794" width="9.140625" style="428"/>
    <col min="1795" max="1795" width="3.7109375" style="428" customWidth="1"/>
    <col min="1796" max="1796" width="14.42578125" style="428" customWidth="1"/>
    <col min="1797" max="1797" width="3.7109375" style="428" customWidth="1"/>
    <col min="1798" max="1798" width="22.5703125" style="428" customWidth="1"/>
    <col min="1799" max="1805" width="10.5703125" style="428" customWidth="1"/>
    <col min="1806" max="1806" width="18.5703125" style="428" customWidth="1"/>
    <col min="1807" max="1807" width="9" style="428" customWidth="1"/>
    <col min="1808" max="1808" width="9.140625" style="428"/>
    <col min="1809" max="1809" width="13.140625" style="428" customWidth="1"/>
    <col min="1810" max="1810" width="9.140625" style="428"/>
    <col min="1811" max="1811" width="22.7109375" style="428" customWidth="1"/>
    <col min="1812" max="2050" width="9.140625" style="428"/>
    <col min="2051" max="2051" width="3.7109375" style="428" customWidth="1"/>
    <col min="2052" max="2052" width="14.42578125" style="428" customWidth="1"/>
    <col min="2053" max="2053" width="3.7109375" style="428" customWidth="1"/>
    <col min="2054" max="2054" width="22.5703125" style="428" customWidth="1"/>
    <col min="2055" max="2061" width="10.5703125" style="428" customWidth="1"/>
    <col min="2062" max="2062" width="18.5703125" style="428" customWidth="1"/>
    <col min="2063" max="2063" width="9" style="428" customWidth="1"/>
    <col min="2064" max="2064" width="9.140625" style="428"/>
    <col min="2065" max="2065" width="13.140625" style="428" customWidth="1"/>
    <col min="2066" max="2066" width="9.140625" style="428"/>
    <col min="2067" max="2067" width="22.7109375" style="428" customWidth="1"/>
    <col min="2068" max="2306" width="9.140625" style="428"/>
    <col min="2307" max="2307" width="3.7109375" style="428" customWidth="1"/>
    <col min="2308" max="2308" width="14.42578125" style="428" customWidth="1"/>
    <col min="2309" max="2309" width="3.7109375" style="428" customWidth="1"/>
    <col min="2310" max="2310" width="22.5703125" style="428" customWidth="1"/>
    <col min="2311" max="2317" width="10.5703125" style="428" customWidth="1"/>
    <col min="2318" max="2318" width="18.5703125" style="428" customWidth="1"/>
    <col min="2319" max="2319" width="9" style="428" customWidth="1"/>
    <col min="2320" max="2320" width="9.140625" style="428"/>
    <col min="2321" max="2321" width="13.140625" style="428" customWidth="1"/>
    <col min="2322" max="2322" width="9.140625" style="428"/>
    <col min="2323" max="2323" width="22.7109375" style="428" customWidth="1"/>
    <col min="2324" max="2562" width="9.140625" style="428"/>
    <col min="2563" max="2563" width="3.7109375" style="428" customWidth="1"/>
    <col min="2564" max="2564" width="14.42578125" style="428" customWidth="1"/>
    <col min="2565" max="2565" width="3.7109375" style="428" customWidth="1"/>
    <col min="2566" max="2566" width="22.5703125" style="428" customWidth="1"/>
    <col min="2567" max="2573" width="10.5703125" style="428" customWidth="1"/>
    <col min="2574" max="2574" width="18.5703125" style="428" customWidth="1"/>
    <col min="2575" max="2575" width="9" style="428" customWidth="1"/>
    <col min="2576" max="2576" width="9.140625" style="428"/>
    <col min="2577" max="2577" width="13.140625" style="428" customWidth="1"/>
    <col min="2578" max="2578" width="9.140625" style="428"/>
    <col min="2579" max="2579" width="22.7109375" style="428" customWidth="1"/>
    <col min="2580" max="2818" width="9.140625" style="428"/>
    <col min="2819" max="2819" width="3.7109375" style="428" customWidth="1"/>
    <col min="2820" max="2820" width="14.42578125" style="428" customWidth="1"/>
    <col min="2821" max="2821" width="3.7109375" style="428" customWidth="1"/>
    <col min="2822" max="2822" width="22.5703125" style="428" customWidth="1"/>
    <col min="2823" max="2829" width="10.5703125" style="428" customWidth="1"/>
    <col min="2830" max="2830" width="18.5703125" style="428" customWidth="1"/>
    <col min="2831" max="2831" width="9" style="428" customWidth="1"/>
    <col min="2832" max="2832" width="9.140625" style="428"/>
    <col min="2833" max="2833" width="13.140625" style="428" customWidth="1"/>
    <col min="2834" max="2834" width="9.140625" style="428"/>
    <col min="2835" max="2835" width="22.7109375" style="428" customWidth="1"/>
    <col min="2836" max="3074" width="9.140625" style="428"/>
    <col min="3075" max="3075" width="3.7109375" style="428" customWidth="1"/>
    <col min="3076" max="3076" width="14.42578125" style="428" customWidth="1"/>
    <col min="3077" max="3077" width="3.7109375" style="428" customWidth="1"/>
    <col min="3078" max="3078" width="22.5703125" style="428" customWidth="1"/>
    <col min="3079" max="3085" width="10.5703125" style="428" customWidth="1"/>
    <col min="3086" max="3086" width="18.5703125" style="428" customWidth="1"/>
    <col min="3087" max="3087" width="9" style="428" customWidth="1"/>
    <col min="3088" max="3088" width="9.140625" style="428"/>
    <col min="3089" max="3089" width="13.140625" style="428" customWidth="1"/>
    <col min="3090" max="3090" width="9.140625" style="428"/>
    <col min="3091" max="3091" width="22.7109375" style="428" customWidth="1"/>
    <col min="3092" max="3330" width="9.140625" style="428"/>
    <col min="3331" max="3331" width="3.7109375" style="428" customWidth="1"/>
    <col min="3332" max="3332" width="14.42578125" style="428" customWidth="1"/>
    <col min="3333" max="3333" width="3.7109375" style="428" customWidth="1"/>
    <col min="3334" max="3334" width="22.5703125" style="428" customWidth="1"/>
    <col min="3335" max="3341" width="10.5703125" style="428" customWidth="1"/>
    <col min="3342" max="3342" width="18.5703125" style="428" customWidth="1"/>
    <col min="3343" max="3343" width="9" style="428" customWidth="1"/>
    <col min="3344" max="3344" width="9.140625" style="428"/>
    <col min="3345" max="3345" width="13.140625" style="428" customWidth="1"/>
    <col min="3346" max="3346" width="9.140625" style="428"/>
    <col min="3347" max="3347" width="22.7109375" style="428" customWidth="1"/>
    <col min="3348" max="3586" width="9.140625" style="428"/>
    <col min="3587" max="3587" width="3.7109375" style="428" customWidth="1"/>
    <col min="3588" max="3588" width="14.42578125" style="428" customWidth="1"/>
    <col min="3589" max="3589" width="3.7109375" style="428" customWidth="1"/>
    <col min="3590" max="3590" width="22.5703125" style="428" customWidth="1"/>
    <col min="3591" max="3597" width="10.5703125" style="428" customWidth="1"/>
    <col min="3598" max="3598" width="18.5703125" style="428" customWidth="1"/>
    <col min="3599" max="3599" width="9" style="428" customWidth="1"/>
    <col min="3600" max="3600" width="9.140625" style="428"/>
    <col min="3601" max="3601" width="13.140625" style="428" customWidth="1"/>
    <col min="3602" max="3602" width="9.140625" style="428"/>
    <col min="3603" max="3603" width="22.7109375" style="428" customWidth="1"/>
    <col min="3604" max="3842" width="9.140625" style="428"/>
    <col min="3843" max="3843" width="3.7109375" style="428" customWidth="1"/>
    <col min="3844" max="3844" width="14.42578125" style="428" customWidth="1"/>
    <col min="3845" max="3845" width="3.7109375" style="428" customWidth="1"/>
    <col min="3846" max="3846" width="22.5703125" style="428" customWidth="1"/>
    <col min="3847" max="3853" width="10.5703125" style="428" customWidth="1"/>
    <col min="3854" max="3854" width="18.5703125" style="428" customWidth="1"/>
    <col min="3855" max="3855" width="9" style="428" customWidth="1"/>
    <col min="3856" max="3856" width="9.140625" style="428"/>
    <col min="3857" max="3857" width="13.140625" style="428" customWidth="1"/>
    <col min="3858" max="3858" width="9.140625" style="428"/>
    <col min="3859" max="3859" width="22.7109375" style="428" customWidth="1"/>
    <col min="3860" max="4098" width="9.140625" style="428"/>
    <col min="4099" max="4099" width="3.7109375" style="428" customWidth="1"/>
    <col min="4100" max="4100" width="14.42578125" style="428" customWidth="1"/>
    <col min="4101" max="4101" width="3.7109375" style="428" customWidth="1"/>
    <col min="4102" max="4102" width="22.5703125" style="428" customWidth="1"/>
    <col min="4103" max="4109" width="10.5703125" style="428" customWidth="1"/>
    <col min="4110" max="4110" width="18.5703125" style="428" customWidth="1"/>
    <col min="4111" max="4111" width="9" style="428" customWidth="1"/>
    <col min="4112" max="4112" width="9.140625" style="428"/>
    <col min="4113" max="4113" width="13.140625" style="428" customWidth="1"/>
    <col min="4114" max="4114" width="9.140625" style="428"/>
    <col min="4115" max="4115" width="22.7109375" style="428" customWidth="1"/>
    <col min="4116" max="4354" width="9.140625" style="428"/>
    <col min="4355" max="4355" width="3.7109375" style="428" customWidth="1"/>
    <col min="4356" max="4356" width="14.42578125" style="428" customWidth="1"/>
    <col min="4357" max="4357" width="3.7109375" style="428" customWidth="1"/>
    <col min="4358" max="4358" width="22.5703125" style="428" customWidth="1"/>
    <col min="4359" max="4365" width="10.5703125" style="428" customWidth="1"/>
    <col min="4366" max="4366" width="18.5703125" style="428" customWidth="1"/>
    <col min="4367" max="4367" width="9" style="428" customWidth="1"/>
    <col min="4368" max="4368" width="9.140625" style="428"/>
    <col min="4369" max="4369" width="13.140625" style="428" customWidth="1"/>
    <col min="4370" max="4370" width="9.140625" style="428"/>
    <col min="4371" max="4371" width="22.7109375" style="428" customWidth="1"/>
    <col min="4372" max="4610" width="9.140625" style="428"/>
    <col min="4611" max="4611" width="3.7109375" style="428" customWidth="1"/>
    <col min="4612" max="4612" width="14.42578125" style="428" customWidth="1"/>
    <col min="4613" max="4613" width="3.7109375" style="428" customWidth="1"/>
    <col min="4614" max="4614" width="22.5703125" style="428" customWidth="1"/>
    <col min="4615" max="4621" width="10.5703125" style="428" customWidth="1"/>
    <col min="4622" max="4622" width="18.5703125" style="428" customWidth="1"/>
    <col min="4623" max="4623" width="9" style="428" customWidth="1"/>
    <col min="4624" max="4624" width="9.140625" style="428"/>
    <col min="4625" max="4625" width="13.140625" style="428" customWidth="1"/>
    <col min="4626" max="4626" width="9.140625" style="428"/>
    <col min="4627" max="4627" width="22.7109375" style="428" customWidth="1"/>
    <col min="4628" max="4866" width="9.140625" style="428"/>
    <col min="4867" max="4867" width="3.7109375" style="428" customWidth="1"/>
    <col min="4868" max="4868" width="14.42578125" style="428" customWidth="1"/>
    <col min="4869" max="4869" width="3.7109375" style="428" customWidth="1"/>
    <col min="4870" max="4870" width="22.5703125" style="428" customWidth="1"/>
    <col min="4871" max="4877" width="10.5703125" style="428" customWidth="1"/>
    <col min="4878" max="4878" width="18.5703125" style="428" customWidth="1"/>
    <col min="4879" max="4879" width="9" style="428" customWidth="1"/>
    <col min="4880" max="4880" width="9.140625" style="428"/>
    <col min="4881" max="4881" width="13.140625" style="428" customWidth="1"/>
    <col min="4882" max="4882" width="9.140625" style="428"/>
    <col min="4883" max="4883" width="22.7109375" style="428" customWidth="1"/>
    <col min="4884" max="5122" width="9.140625" style="428"/>
    <col min="5123" max="5123" width="3.7109375" style="428" customWidth="1"/>
    <col min="5124" max="5124" width="14.42578125" style="428" customWidth="1"/>
    <col min="5125" max="5125" width="3.7109375" style="428" customWidth="1"/>
    <col min="5126" max="5126" width="22.5703125" style="428" customWidth="1"/>
    <col min="5127" max="5133" width="10.5703125" style="428" customWidth="1"/>
    <col min="5134" max="5134" width="18.5703125" style="428" customWidth="1"/>
    <col min="5135" max="5135" width="9" style="428" customWidth="1"/>
    <col min="5136" max="5136" width="9.140625" style="428"/>
    <col min="5137" max="5137" width="13.140625" style="428" customWidth="1"/>
    <col min="5138" max="5138" width="9.140625" style="428"/>
    <col min="5139" max="5139" width="22.7109375" style="428" customWidth="1"/>
    <col min="5140" max="5378" width="9.140625" style="428"/>
    <col min="5379" max="5379" width="3.7109375" style="428" customWidth="1"/>
    <col min="5380" max="5380" width="14.42578125" style="428" customWidth="1"/>
    <col min="5381" max="5381" width="3.7109375" style="428" customWidth="1"/>
    <col min="5382" max="5382" width="22.5703125" style="428" customWidth="1"/>
    <col min="5383" max="5389" width="10.5703125" style="428" customWidth="1"/>
    <col min="5390" max="5390" width="18.5703125" style="428" customWidth="1"/>
    <col min="5391" max="5391" width="9" style="428" customWidth="1"/>
    <col min="5392" max="5392" width="9.140625" style="428"/>
    <col min="5393" max="5393" width="13.140625" style="428" customWidth="1"/>
    <col min="5394" max="5394" width="9.140625" style="428"/>
    <col min="5395" max="5395" width="22.7109375" style="428" customWidth="1"/>
    <col min="5396" max="5634" width="9.140625" style="428"/>
    <col min="5635" max="5635" width="3.7109375" style="428" customWidth="1"/>
    <col min="5636" max="5636" width="14.42578125" style="428" customWidth="1"/>
    <col min="5637" max="5637" width="3.7109375" style="428" customWidth="1"/>
    <col min="5638" max="5638" width="22.5703125" style="428" customWidth="1"/>
    <col min="5639" max="5645" width="10.5703125" style="428" customWidth="1"/>
    <col min="5646" max="5646" width="18.5703125" style="428" customWidth="1"/>
    <col min="5647" max="5647" width="9" style="428" customWidth="1"/>
    <col min="5648" max="5648" width="9.140625" style="428"/>
    <col min="5649" max="5649" width="13.140625" style="428" customWidth="1"/>
    <col min="5650" max="5650" width="9.140625" style="428"/>
    <col min="5651" max="5651" width="22.7109375" style="428" customWidth="1"/>
    <col min="5652" max="5890" width="9.140625" style="428"/>
    <col min="5891" max="5891" width="3.7109375" style="428" customWidth="1"/>
    <col min="5892" max="5892" width="14.42578125" style="428" customWidth="1"/>
    <col min="5893" max="5893" width="3.7109375" style="428" customWidth="1"/>
    <col min="5894" max="5894" width="22.5703125" style="428" customWidth="1"/>
    <col min="5895" max="5901" width="10.5703125" style="428" customWidth="1"/>
    <col min="5902" max="5902" width="18.5703125" style="428" customWidth="1"/>
    <col min="5903" max="5903" width="9" style="428" customWidth="1"/>
    <col min="5904" max="5904" width="9.140625" style="428"/>
    <col min="5905" max="5905" width="13.140625" style="428" customWidth="1"/>
    <col min="5906" max="5906" width="9.140625" style="428"/>
    <col min="5907" max="5907" width="22.7109375" style="428" customWidth="1"/>
    <col min="5908" max="6146" width="9.140625" style="428"/>
    <col min="6147" max="6147" width="3.7109375" style="428" customWidth="1"/>
    <col min="6148" max="6148" width="14.42578125" style="428" customWidth="1"/>
    <col min="6149" max="6149" width="3.7109375" style="428" customWidth="1"/>
    <col min="6150" max="6150" width="22.5703125" style="428" customWidth="1"/>
    <col min="6151" max="6157" width="10.5703125" style="428" customWidth="1"/>
    <col min="6158" max="6158" width="18.5703125" style="428" customWidth="1"/>
    <col min="6159" max="6159" width="9" style="428" customWidth="1"/>
    <col min="6160" max="6160" width="9.140625" style="428"/>
    <col min="6161" max="6161" width="13.140625" style="428" customWidth="1"/>
    <col min="6162" max="6162" width="9.140625" style="428"/>
    <col min="6163" max="6163" width="22.7109375" style="428" customWidth="1"/>
    <col min="6164" max="6402" width="9.140625" style="428"/>
    <col min="6403" max="6403" width="3.7109375" style="428" customWidth="1"/>
    <col min="6404" max="6404" width="14.42578125" style="428" customWidth="1"/>
    <col min="6405" max="6405" width="3.7109375" style="428" customWidth="1"/>
    <col min="6406" max="6406" width="22.5703125" style="428" customWidth="1"/>
    <col min="6407" max="6413" width="10.5703125" style="428" customWidth="1"/>
    <col min="6414" max="6414" width="18.5703125" style="428" customWidth="1"/>
    <col min="6415" max="6415" width="9" style="428" customWidth="1"/>
    <col min="6416" max="6416" width="9.140625" style="428"/>
    <col min="6417" max="6417" width="13.140625" style="428" customWidth="1"/>
    <col min="6418" max="6418" width="9.140625" style="428"/>
    <col min="6419" max="6419" width="22.7109375" style="428" customWidth="1"/>
    <col min="6420" max="6658" width="9.140625" style="428"/>
    <col min="6659" max="6659" width="3.7109375" style="428" customWidth="1"/>
    <col min="6660" max="6660" width="14.42578125" style="428" customWidth="1"/>
    <col min="6661" max="6661" width="3.7109375" style="428" customWidth="1"/>
    <col min="6662" max="6662" width="22.5703125" style="428" customWidth="1"/>
    <col min="6663" max="6669" width="10.5703125" style="428" customWidth="1"/>
    <col min="6670" max="6670" width="18.5703125" style="428" customWidth="1"/>
    <col min="6671" max="6671" width="9" style="428" customWidth="1"/>
    <col min="6672" max="6672" width="9.140625" style="428"/>
    <col min="6673" max="6673" width="13.140625" style="428" customWidth="1"/>
    <col min="6674" max="6674" width="9.140625" style="428"/>
    <col min="6675" max="6675" width="22.7109375" style="428" customWidth="1"/>
    <col min="6676" max="6914" width="9.140625" style="428"/>
    <col min="6915" max="6915" width="3.7109375" style="428" customWidth="1"/>
    <col min="6916" max="6916" width="14.42578125" style="428" customWidth="1"/>
    <col min="6917" max="6917" width="3.7109375" style="428" customWidth="1"/>
    <col min="6918" max="6918" width="22.5703125" style="428" customWidth="1"/>
    <col min="6919" max="6925" width="10.5703125" style="428" customWidth="1"/>
    <col min="6926" max="6926" width="18.5703125" style="428" customWidth="1"/>
    <col min="6927" max="6927" width="9" style="428" customWidth="1"/>
    <col min="6928" max="6928" width="9.140625" style="428"/>
    <col min="6929" max="6929" width="13.140625" style="428" customWidth="1"/>
    <col min="6930" max="6930" width="9.140625" style="428"/>
    <col min="6931" max="6931" width="22.7109375" style="428" customWidth="1"/>
    <col min="6932" max="7170" width="9.140625" style="428"/>
    <col min="7171" max="7171" width="3.7109375" style="428" customWidth="1"/>
    <col min="7172" max="7172" width="14.42578125" style="428" customWidth="1"/>
    <col min="7173" max="7173" width="3.7109375" style="428" customWidth="1"/>
    <col min="7174" max="7174" width="22.5703125" style="428" customWidth="1"/>
    <col min="7175" max="7181" width="10.5703125" style="428" customWidth="1"/>
    <col min="7182" max="7182" width="18.5703125" style="428" customWidth="1"/>
    <col min="7183" max="7183" width="9" style="428" customWidth="1"/>
    <col min="7184" max="7184" width="9.140625" style="428"/>
    <col min="7185" max="7185" width="13.140625" style="428" customWidth="1"/>
    <col min="7186" max="7186" width="9.140625" style="428"/>
    <col min="7187" max="7187" width="22.7109375" style="428" customWidth="1"/>
    <col min="7188" max="7426" width="9.140625" style="428"/>
    <col min="7427" max="7427" width="3.7109375" style="428" customWidth="1"/>
    <col min="7428" max="7428" width="14.42578125" style="428" customWidth="1"/>
    <col min="7429" max="7429" width="3.7109375" style="428" customWidth="1"/>
    <col min="7430" max="7430" width="22.5703125" style="428" customWidth="1"/>
    <col min="7431" max="7437" width="10.5703125" style="428" customWidth="1"/>
    <col min="7438" max="7438" width="18.5703125" style="428" customWidth="1"/>
    <col min="7439" max="7439" width="9" style="428" customWidth="1"/>
    <col min="7440" max="7440" width="9.140625" style="428"/>
    <col min="7441" max="7441" width="13.140625" style="428" customWidth="1"/>
    <col min="7442" max="7442" width="9.140625" style="428"/>
    <col min="7443" max="7443" width="22.7109375" style="428" customWidth="1"/>
    <col min="7444" max="7682" width="9.140625" style="428"/>
    <col min="7683" max="7683" width="3.7109375" style="428" customWidth="1"/>
    <col min="7684" max="7684" width="14.42578125" style="428" customWidth="1"/>
    <col min="7685" max="7685" width="3.7109375" style="428" customWidth="1"/>
    <col min="7686" max="7686" width="22.5703125" style="428" customWidth="1"/>
    <col min="7687" max="7693" width="10.5703125" style="428" customWidth="1"/>
    <col min="7694" max="7694" width="18.5703125" style="428" customWidth="1"/>
    <col min="7695" max="7695" width="9" style="428" customWidth="1"/>
    <col min="7696" max="7696" width="9.140625" style="428"/>
    <col min="7697" max="7697" width="13.140625" style="428" customWidth="1"/>
    <col min="7698" max="7698" width="9.140625" style="428"/>
    <col min="7699" max="7699" width="22.7109375" style="428" customWidth="1"/>
    <col min="7700" max="7938" width="9.140625" style="428"/>
    <col min="7939" max="7939" width="3.7109375" style="428" customWidth="1"/>
    <col min="7940" max="7940" width="14.42578125" style="428" customWidth="1"/>
    <col min="7941" max="7941" width="3.7109375" style="428" customWidth="1"/>
    <col min="7942" max="7942" width="22.5703125" style="428" customWidth="1"/>
    <col min="7943" max="7949" width="10.5703125" style="428" customWidth="1"/>
    <col min="7950" max="7950" width="18.5703125" style="428" customWidth="1"/>
    <col min="7951" max="7951" width="9" style="428" customWidth="1"/>
    <col min="7952" max="7952" width="9.140625" style="428"/>
    <col min="7953" max="7953" width="13.140625" style="428" customWidth="1"/>
    <col min="7954" max="7954" width="9.140625" style="428"/>
    <col min="7955" max="7955" width="22.7109375" style="428" customWidth="1"/>
    <col min="7956" max="8194" width="9.140625" style="428"/>
    <col min="8195" max="8195" width="3.7109375" style="428" customWidth="1"/>
    <col min="8196" max="8196" width="14.42578125" style="428" customWidth="1"/>
    <col min="8197" max="8197" width="3.7109375" style="428" customWidth="1"/>
    <col min="8198" max="8198" width="22.5703125" style="428" customWidth="1"/>
    <col min="8199" max="8205" width="10.5703125" style="428" customWidth="1"/>
    <col min="8206" max="8206" width="18.5703125" style="428" customWidth="1"/>
    <col min="8207" max="8207" width="9" style="428" customWidth="1"/>
    <col min="8208" max="8208" width="9.140625" style="428"/>
    <col min="8209" max="8209" width="13.140625" style="428" customWidth="1"/>
    <col min="8210" max="8210" width="9.140625" style="428"/>
    <col min="8211" max="8211" width="22.7109375" style="428" customWidth="1"/>
    <col min="8212" max="8450" width="9.140625" style="428"/>
    <col min="8451" max="8451" width="3.7109375" style="428" customWidth="1"/>
    <col min="8452" max="8452" width="14.42578125" style="428" customWidth="1"/>
    <col min="8453" max="8453" width="3.7109375" style="428" customWidth="1"/>
    <col min="8454" max="8454" width="22.5703125" style="428" customWidth="1"/>
    <col min="8455" max="8461" width="10.5703125" style="428" customWidth="1"/>
    <col min="8462" max="8462" width="18.5703125" style="428" customWidth="1"/>
    <col min="8463" max="8463" width="9" style="428" customWidth="1"/>
    <col min="8464" max="8464" width="9.140625" style="428"/>
    <col min="8465" max="8465" width="13.140625" style="428" customWidth="1"/>
    <col min="8466" max="8466" width="9.140625" style="428"/>
    <col min="8467" max="8467" width="22.7109375" style="428" customWidth="1"/>
    <col min="8468" max="8706" width="9.140625" style="428"/>
    <col min="8707" max="8707" width="3.7109375" style="428" customWidth="1"/>
    <col min="8708" max="8708" width="14.42578125" style="428" customWidth="1"/>
    <col min="8709" max="8709" width="3.7109375" style="428" customWidth="1"/>
    <col min="8710" max="8710" width="22.5703125" style="428" customWidth="1"/>
    <col min="8711" max="8717" width="10.5703125" style="428" customWidth="1"/>
    <col min="8718" max="8718" width="18.5703125" style="428" customWidth="1"/>
    <col min="8719" max="8719" width="9" style="428" customWidth="1"/>
    <col min="8720" max="8720" width="9.140625" style="428"/>
    <col min="8721" max="8721" width="13.140625" style="428" customWidth="1"/>
    <col min="8722" max="8722" width="9.140625" style="428"/>
    <col min="8723" max="8723" width="22.7109375" style="428" customWidth="1"/>
    <col min="8724" max="8962" width="9.140625" style="428"/>
    <col min="8963" max="8963" width="3.7109375" style="428" customWidth="1"/>
    <col min="8964" max="8964" width="14.42578125" style="428" customWidth="1"/>
    <col min="8965" max="8965" width="3.7109375" style="428" customWidth="1"/>
    <col min="8966" max="8966" width="22.5703125" style="428" customWidth="1"/>
    <col min="8967" max="8973" width="10.5703125" style="428" customWidth="1"/>
    <col min="8974" max="8974" width="18.5703125" style="428" customWidth="1"/>
    <col min="8975" max="8975" width="9" style="428" customWidth="1"/>
    <col min="8976" max="8976" width="9.140625" style="428"/>
    <col min="8977" max="8977" width="13.140625" style="428" customWidth="1"/>
    <col min="8978" max="8978" width="9.140625" style="428"/>
    <col min="8979" max="8979" width="22.7109375" style="428" customWidth="1"/>
    <col min="8980" max="9218" width="9.140625" style="428"/>
    <col min="9219" max="9219" width="3.7109375" style="428" customWidth="1"/>
    <col min="9220" max="9220" width="14.42578125" style="428" customWidth="1"/>
    <col min="9221" max="9221" width="3.7109375" style="428" customWidth="1"/>
    <col min="9222" max="9222" width="22.5703125" style="428" customWidth="1"/>
    <col min="9223" max="9229" width="10.5703125" style="428" customWidth="1"/>
    <col min="9230" max="9230" width="18.5703125" style="428" customWidth="1"/>
    <col min="9231" max="9231" width="9" style="428" customWidth="1"/>
    <col min="9232" max="9232" width="9.140625" style="428"/>
    <col min="9233" max="9233" width="13.140625" style="428" customWidth="1"/>
    <col min="9234" max="9234" width="9.140625" style="428"/>
    <col min="9235" max="9235" width="22.7109375" style="428" customWidth="1"/>
    <col min="9236" max="9474" width="9.140625" style="428"/>
    <col min="9475" max="9475" width="3.7109375" style="428" customWidth="1"/>
    <col min="9476" max="9476" width="14.42578125" style="428" customWidth="1"/>
    <col min="9477" max="9477" width="3.7109375" style="428" customWidth="1"/>
    <col min="9478" max="9478" width="22.5703125" style="428" customWidth="1"/>
    <col min="9479" max="9485" width="10.5703125" style="428" customWidth="1"/>
    <col min="9486" max="9486" width="18.5703125" style="428" customWidth="1"/>
    <col min="9487" max="9487" width="9" style="428" customWidth="1"/>
    <col min="9488" max="9488" width="9.140625" style="428"/>
    <col min="9489" max="9489" width="13.140625" style="428" customWidth="1"/>
    <col min="9490" max="9490" width="9.140625" style="428"/>
    <col min="9491" max="9491" width="22.7109375" style="428" customWidth="1"/>
    <col min="9492" max="9730" width="9.140625" style="428"/>
    <col min="9731" max="9731" width="3.7109375" style="428" customWidth="1"/>
    <col min="9732" max="9732" width="14.42578125" style="428" customWidth="1"/>
    <col min="9733" max="9733" width="3.7109375" style="428" customWidth="1"/>
    <col min="9734" max="9734" width="22.5703125" style="428" customWidth="1"/>
    <col min="9735" max="9741" width="10.5703125" style="428" customWidth="1"/>
    <col min="9742" max="9742" width="18.5703125" style="428" customWidth="1"/>
    <col min="9743" max="9743" width="9" style="428" customWidth="1"/>
    <col min="9744" max="9744" width="9.140625" style="428"/>
    <col min="9745" max="9745" width="13.140625" style="428" customWidth="1"/>
    <col min="9746" max="9746" width="9.140625" style="428"/>
    <col min="9747" max="9747" width="22.7109375" style="428" customWidth="1"/>
    <col min="9748" max="9986" width="9.140625" style="428"/>
    <col min="9987" max="9987" width="3.7109375" style="428" customWidth="1"/>
    <col min="9988" max="9988" width="14.42578125" style="428" customWidth="1"/>
    <col min="9989" max="9989" width="3.7109375" style="428" customWidth="1"/>
    <col min="9990" max="9990" width="22.5703125" style="428" customWidth="1"/>
    <col min="9991" max="9997" width="10.5703125" style="428" customWidth="1"/>
    <col min="9998" max="9998" width="18.5703125" style="428" customWidth="1"/>
    <col min="9999" max="9999" width="9" style="428" customWidth="1"/>
    <col min="10000" max="10000" width="9.140625" style="428"/>
    <col min="10001" max="10001" width="13.140625" style="428" customWidth="1"/>
    <col min="10002" max="10002" width="9.140625" style="428"/>
    <col min="10003" max="10003" width="22.7109375" style="428" customWidth="1"/>
    <col min="10004" max="10242" width="9.140625" style="428"/>
    <col min="10243" max="10243" width="3.7109375" style="428" customWidth="1"/>
    <col min="10244" max="10244" width="14.42578125" style="428" customWidth="1"/>
    <col min="10245" max="10245" width="3.7109375" style="428" customWidth="1"/>
    <col min="10246" max="10246" width="22.5703125" style="428" customWidth="1"/>
    <col min="10247" max="10253" width="10.5703125" style="428" customWidth="1"/>
    <col min="10254" max="10254" width="18.5703125" style="428" customWidth="1"/>
    <col min="10255" max="10255" width="9" style="428" customWidth="1"/>
    <col min="10256" max="10256" width="9.140625" style="428"/>
    <col min="10257" max="10257" width="13.140625" style="428" customWidth="1"/>
    <col min="10258" max="10258" width="9.140625" style="428"/>
    <col min="10259" max="10259" width="22.7109375" style="428" customWidth="1"/>
    <col min="10260" max="10498" width="9.140625" style="428"/>
    <col min="10499" max="10499" width="3.7109375" style="428" customWidth="1"/>
    <col min="10500" max="10500" width="14.42578125" style="428" customWidth="1"/>
    <col min="10501" max="10501" width="3.7109375" style="428" customWidth="1"/>
    <col min="10502" max="10502" width="22.5703125" style="428" customWidth="1"/>
    <col min="10503" max="10509" width="10.5703125" style="428" customWidth="1"/>
    <col min="10510" max="10510" width="18.5703125" style="428" customWidth="1"/>
    <col min="10511" max="10511" width="9" style="428" customWidth="1"/>
    <col min="10512" max="10512" width="9.140625" style="428"/>
    <col min="10513" max="10513" width="13.140625" style="428" customWidth="1"/>
    <col min="10514" max="10514" width="9.140625" style="428"/>
    <col min="10515" max="10515" width="22.7109375" style="428" customWidth="1"/>
    <col min="10516" max="10754" width="9.140625" style="428"/>
    <col min="10755" max="10755" width="3.7109375" style="428" customWidth="1"/>
    <col min="10756" max="10756" width="14.42578125" style="428" customWidth="1"/>
    <col min="10757" max="10757" width="3.7109375" style="428" customWidth="1"/>
    <col min="10758" max="10758" width="22.5703125" style="428" customWidth="1"/>
    <col min="10759" max="10765" width="10.5703125" style="428" customWidth="1"/>
    <col min="10766" max="10766" width="18.5703125" style="428" customWidth="1"/>
    <col min="10767" max="10767" width="9" style="428" customWidth="1"/>
    <col min="10768" max="10768" width="9.140625" style="428"/>
    <col min="10769" max="10769" width="13.140625" style="428" customWidth="1"/>
    <col min="10770" max="10770" width="9.140625" style="428"/>
    <col min="10771" max="10771" width="22.7109375" style="428" customWidth="1"/>
    <col min="10772" max="11010" width="9.140625" style="428"/>
    <col min="11011" max="11011" width="3.7109375" style="428" customWidth="1"/>
    <col min="11012" max="11012" width="14.42578125" style="428" customWidth="1"/>
    <col min="11013" max="11013" width="3.7109375" style="428" customWidth="1"/>
    <col min="11014" max="11014" width="22.5703125" style="428" customWidth="1"/>
    <col min="11015" max="11021" width="10.5703125" style="428" customWidth="1"/>
    <col min="11022" max="11022" width="18.5703125" style="428" customWidth="1"/>
    <col min="11023" max="11023" width="9" style="428" customWidth="1"/>
    <col min="11024" max="11024" width="9.140625" style="428"/>
    <col min="11025" max="11025" width="13.140625" style="428" customWidth="1"/>
    <col min="11026" max="11026" width="9.140625" style="428"/>
    <col min="11027" max="11027" width="22.7109375" style="428" customWidth="1"/>
    <col min="11028" max="11266" width="9.140625" style="428"/>
    <col min="11267" max="11267" width="3.7109375" style="428" customWidth="1"/>
    <col min="11268" max="11268" width="14.42578125" style="428" customWidth="1"/>
    <col min="11269" max="11269" width="3.7109375" style="428" customWidth="1"/>
    <col min="11270" max="11270" width="22.5703125" style="428" customWidth="1"/>
    <col min="11271" max="11277" width="10.5703125" style="428" customWidth="1"/>
    <col min="11278" max="11278" width="18.5703125" style="428" customWidth="1"/>
    <col min="11279" max="11279" width="9" style="428" customWidth="1"/>
    <col min="11280" max="11280" width="9.140625" style="428"/>
    <col min="11281" max="11281" width="13.140625" style="428" customWidth="1"/>
    <col min="11282" max="11282" width="9.140625" style="428"/>
    <col min="11283" max="11283" width="22.7109375" style="428" customWidth="1"/>
    <col min="11284" max="11522" width="9.140625" style="428"/>
    <col min="11523" max="11523" width="3.7109375" style="428" customWidth="1"/>
    <col min="11524" max="11524" width="14.42578125" style="428" customWidth="1"/>
    <col min="11525" max="11525" width="3.7109375" style="428" customWidth="1"/>
    <col min="11526" max="11526" width="22.5703125" style="428" customWidth="1"/>
    <col min="11527" max="11533" width="10.5703125" style="428" customWidth="1"/>
    <col min="11534" max="11534" width="18.5703125" style="428" customWidth="1"/>
    <col min="11535" max="11535" width="9" style="428" customWidth="1"/>
    <col min="11536" max="11536" width="9.140625" style="428"/>
    <col min="11537" max="11537" width="13.140625" style="428" customWidth="1"/>
    <col min="11538" max="11538" width="9.140625" style="428"/>
    <col min="11539" max="11539" width="22.7109375" style="428" customWidth="1"/>
    <col min="11540" max="11778" width="9.140625" style="428"/>
    <col min="11779" max="11779" width="3.7109375" style="428" customWidth="1"/>
    <col min="11780" max="11780" width="14.42578125" style="428" customWidth="1"/>
    <col min="11781" max="11781" width="3.7109375" style="428" customWidth="1"/>
    <col min="11782" max="11782" width="22.5703125" style="428" customWidth="1"/>
    <col min="11783" max="11789" width="10.5703125" style="428" customWidth="1"/>
    <col min="11790" max="11790" width="18.5703125" style="428" customWidth="1"/>
    <col min="11791" max="11791" width="9" style="428" customWidth="1"/>
    <col min="11792" max="11792" width="9.140625" style="428"/>
    <col min="11793" max="11793" width="13.140625" style="428" customWidth="1"/>
    <col min="11794" max="11794" width="9.140625" style="428"/>
    <col min="11795" max="11795" width="22.7109375" style="428" customWidth="1"/>
    <col min="11796" max="12034" width="9.140625" style="428"/>
    <col min="12035" max="12035" width="3.7109375" style="428" customWidth="1"/>
    <col min="12036" max="12036" width="14.42578125" style="428" customWidth="1"/>
    <col min="12037" max="12037" width="3.7109375" style="428" customWidth="1"/>
    <col min="12038" max="12038" width="22.5703125" style="428" customWidth="1"/>
    <col min="12039" max="12045" width="10.5703125" style="428" customWidth="1"/>
    <col min="12046" max="12046" width="18.5703125" style="428" customWidth="1"/>
    <col min="12047" max="12047" width="9" style="428" customWidth="1"/>
    <col min="12048" max="12048" width="9.140625" style="428"/>
    <col min="12049" max="12049" width="13.140625" style="428" customWidth="1"/>
    <col min="12050" max="12050" width="9.140625" style="428"/>
    <col min="12051" max="12051" width="22.7109375" style="428" customWidth="1"/>
    <col min="12052" max="12290" width="9.140625" style="428"/>
    <col min="12291" max="12291" width="3.7109375" style="428" customWidth="1"/>
    <col min="12292" max="12292" width="14.42578125" style="428" customWidth="1"/>
    <col min="12293" max="12293" width="3.7109375" style="428" customWidth="1"/>
    <col min="12294" max="12294" width="22.5703125" style="428" customWidth="1"/>
    <col min="12295" max="12301" width="10.5703125" style="428" customWidth="1"/>
    <col min="12302" max="12302" width="18.5703125" style="428" customWidth="1"/>
    <col min="12303" max="12303" width="9" style="428" customWidth="1"/>
    <col min="12304" max="12304" width="9.140625" style="428"/>
    <col min="12305" max="12305" width="13.140625" style="428" customWidth="1"/>
    <col min="12306" max="12306" width="9.140625" style="428"/>
    <col min="12307" max="12307" width="22.7109375" style="428" customWidth="1"/>
    <col min="12308" max="12546" width="9.140625" style="428"/>
    <col min="12547" max="12547" width="3.7109375" style="428" customWidth="1"/>
    <col min="12548" max="12548" width="14.42578125" style="428" customWidth="1"/>
    <col min="12549" max="12549" width="3.7109375" style="428" customWidth="1"/>
    <col min="12550" max="12550" width="22.5703125" style="428" customWidth="1"/>
    <col min="12551" max="12557" width="10.5703125" style="428" customWidth="1"/>
    <col min="12558" max="12558" width="18.5703125" style="428" customWidth="1"/>
    <col min="12559" max="12559" width="9" style="428" customWidth="1"/>
    <col min="12560" max="12560" width="9.140625" style="428"/>
    <col min="12561" max="12561" width="13.140625" style="428" customWidth="1"/>
    <col min="12562" max="12562" width="9.140625" style="428"/>
    <col min="12563" max="12563" width="22.7109375" style="428" customWidth="1"/>
    <col min="12564" max="12802" width="9.140625" style="428"/>
    <col min="12803" max="12803" width="3.7109375" style="428" customWidth="1"/>
    <col min="12804" max="12804" width="14.42578125" style="428" customWidth="1"/>
    <col min="12805" max="12805" width="3.7109375" style="428" customWidth="1"/>
    <col min="12806" max="12806" width="22.5703125" style="428" customWidth="1"/>
    <col min="12807" max="12813" width="10.5703125" style="428" customWidth="1"/>
    <col min="12814" max="12814" width="18.5703125" style="428" customWidth="1"/>
    <col min="12815" max="12815" width="9" style="428" customWidth="1"/>
    <col min="12816" max="12816" width="9.140625" style="428"/>
    <col min="12817" max="12817" width="13.140625" style="428" customWidth="1"/>
    <col min="12818" max="12818" width="9.140625" style="428"/>
    <col min="12819" max="12819" width="22.7109375" style="428" customWidth="1"/>
    <col min="12820" max="13058" width="9.140625" style="428"/>
    <col min="13059" max="13059" width="3.7109375" style="428" customWidth="1"/>
    <col min="13060" max="13060" width="14.42578125" style="428" customWidth="1"/>
    <col min="13061" max="13061" width="3.7109375" style="428" customWidth="1"/>
    <col min="13062" max="13062" width="22.5703125" style="428" customWidth="1"/>
    <col min="13063" max="13069" width="10.5703125" style="428" customWidth="1"/>
    <col min="13070" max="13070" width="18.5703125" style="428" customWidth="1"/>
    <col min="13071" max="13071" width="9" style="428" customWidth="1"/>
    <col min="13072" max="13072" width="9.140625" style="428"/>
    <col min="13073" max="13073" width="13.140625" style="428" customWidth="1"/>
    <col min="13074" max="13074" width="9.140625" style="428"/>
    <col min="13075" max="13075" width="22.7109375" style="428" customWidth="1"/>
    <col min="13076" max="13314" width="9.140625" style="428"/>
    <col min="13315" max="13315" width="3.7109375" style="428" customWidth="1"/>
    <col min="13316" max="13316" width="14.42578125" style="428" customWidth="1"/>
    <col min="13317" max="13317" width="3.7109375" style="428" customWidth="1"/>
    <col min="13318" max="13318" width="22.5703125" style="428" customWidth="1"/>
    <col min="13319" max="13325" width="10.5703125" style="428" customWidth="1"/>
    <col min="13326" max="13326" width="18.5703125" style="428" customWidth="1"/>
    <col min="13327" max="13327" width="9" style="428" customWidth="1"/>
    <col min="13328" max="13328" width="9.140625" style="428"/>
    <col min="13329" max="13329" width="13.140625" style="428" customWidth="1"/>
    <col min="13330" max="13330" width="9.140625" style="428"/>
    <col min="13331" max="13331" width="22.7109375" style="428" customWidth="1"/>
    <col min="13332" max="13570" width="9.140625" style="428"/>
    <col min="13571" max="13571" width="3.7109375" style="428" customWidth="1"/>
    <col min="13572" max="13572" width="14.42578125" style="428" customWidth="1"/>
    <col min="13573" max="13573" width="3.7109375" style="428" customWidth="1"/>
    <col min="13574" max="13574" width="22.5703125" style="428" customWidth="1"/>
    <col min="13575" max="13581" width="10.5703125" style="428" customWidth="1"/>
    <col min="13582" max="13582" width="18.5703125" style="428" customWidth="1"/>
    <col min="13583" max="13583" width="9" style="428" customWidth="1"/>
    <col min="13584" max="13584" width="9.140625" style="428"/>
    <col min="13585" max="13585" width="13.140625" style="428" customWidth="1"/>
    <col min="13586" max="13586" width="9.140625" style="428"/>
    <col min="13587" max="13587" width="22.7109375" style="428" customWidth="1"/>
    <col min="13588" max="13826" width="9.140625" style="428"/>
    <col min="13827" max="13827" width="3.7109375" style="428" customWidth="1"/>
    <col min="13828" max="13828" width="14.42578125" style="428" customWidth="1"/>
    <col min="13829" max="13829" width="3.7109375" style="428" customWidth="1"/>
    <col min="13830" max="13830" width="22.5703125" style="428" customWidth="1"/>
    <col min="13831" max="13837" width="10.5703125" style="428" customWidth="1"/>
    <col min="13838" max="13838" width="18.5703125" style="428" customWidth="1"/>
    <col min="13839" max="13839" width="9" style="428" customWidth="1"/>
    <col min="13840" max="13840" width="9.140625" style="428"/>
    <col min="13841" max="13841" width="13.140625" style="428" customWidth="1"/>
    <col min="13842" max="13842" width="9.140625" style="428"/>
    <col min="13843" max="13843" width="22.7109375" style="428" customWidth="1"/>
    <col min="13844" max="14082" width="9.140625" style="428"/>
    <col min="14083" max="14083" width="3.7109375" style="428" customWidth="1"/>
    <col min="14084" max="14084" width="14.42578125" style="428" customWidth="1"/>
    <col min="14085" max="14085" width="3.7109375" style="428" customWidth="1"/>
    <col min="14086" max="14086" width="22.5703125" style="428" customWidth="1"/>
    <col min="14087" max="14093" width="10.5703125" style="428" customWidth="1"/>
    <col min="14094" max="14094" width="18.5703125" style="428" customWidth="1"/>
    <col min="14095" max="14095" width="9" style="428" customWidth="1"/>
    <col min="14096" max="14096" width="9.140625" style="428"/>
    <col min="14097" max="14097" width="13.140625" style="428" customWidth="1"/>
    <col min="14098" max="14098" width="9.140625" style="428"/>
    <col min="14099" max="14099" width="22.7109375" style="428" customWidth="1"/>
    <col min="14100" max="14338" width="9.140625" style="428"/>
    <col min="14339" max="14339" width="3.7109375" style="428" customWidth="1"/>
    <col min="14340" max="14340" width="14.42578125" style="428" customWidth="1"/>
    <col min="14341" max="14341" width="3.7109375" style="428" customWidth="1"/>
    <col min="14342" max="14342" width="22.5703125" style="428" customWidth="1"/>
    <col min="14343" max="14349" width="10.5703125" style="428" customWidth="1"/>
    <col min="14350" max="14350" width="18.5703125" style="428" customWidth="1"/>
    <col min="14351" max="14351" width="9" style="428" customWidth="1"/>
    <col min="14352" max="14352" width="9.140625" style="428"/>
    <col min="14353" max="14353" width="13.140625" style="428" customWidth="1"/>
    <col min="14354" max="14354" width="9.140625" style="428"/>
    <col min="14355" max="14355" width="22.7109375" style="428" customWidth="1"/>
    <col min="14356" max="14594" width="9.140625" style="428"/>
    <col min="14595" max="14595" width="3.7109375" style="428" customWidth="1"/>
    <col min="14596" max="14596" width="14.42578125" style="428" customWidth="1"/>
    <col min="14597" max="14597" width="3.7109375" style="428" customWidth="1"/>
    <col min="14598" max="14598" width="22.5703125" style="428" customWidth="1"/>
    <col min="14599" max="14605" width="10.5703125" style="428" customWidth="1"/>
    <col min="14606" max="14606" width="18.5703125" style="428" customWidth="1"/>
    <col min="14607" max="14607" width="9" style="428" customWidth="1"/>
    <col min="14608" max="14608" width="9.140625" style="428"/>
    <col min="14609" max="14609" width="13.140625" style="428" customWidth="1"/>
    <col min="14610" max="14610" width="9.140625" style="428"/>
    <col min="14611" max="14611" width="22.7109375" style="428" customWidth="1"/>
    <col min="14612" max="14850" width="9.140625" style="428"/>
    <col min="14851" max="14851" width="3.7109375" style="428" customWidth="1"/>
    <col min="14852" max="14852" width="14.42578125" style="428" customWidth="1"/>
    <col min="14853" max="14853" width="3.7109375" style="428" customWidth="1"/>
    <col min="14854" max="14854" width="22.5703125" style="428" customWidth="1"/>
    <col min="14855" max="14861" width="10.5703125" style="428" customWidth="1"/>
    <col min="14862" max="14862" width="18.5703125" style="428" customWidth="1"/>
    <col min="14863" max="14863" width="9" style="428" customWidth="1"/>
    <col min="14864" max="14864" width="9.140625" style="428"/>
    <col min="14865" max="14865" width="13.140625" style="428" customWidth="1"/>
    <col min="14866" max="14866" width="9.140625" style="428"/>
    <col min="14867" max="14867" width="22.7109375" style="428" customWidth="1"/>
    <col min="14868" max="15106" width="9.140625" style="428"/>
    <col min="15107" max="15107" width="3.7109375" style="428" customWidth="1"/>
    <col min="15108" max="15108" width="14.42578125" style="428" customWidth="1"/>
    <col min="15109" max="15109" width="3.7109375" style="428" customWidth="1"/>
    <col min="15110" max="15110" width="22.5703125" style="428" customWidth="1"/>
    <col min="15111" max="15117" width="10.5703125" style="428" customWidth="1"/>
    <col min="15118" max="15118" width="18.5703125" style="428" customWidth="1"/>
    <col min="15119" max="15119" width="9" style="428" customWidth="1"/>
    <col min="15120" max="15120" width="9.140625" style="428"/>
    <col min="15121" max="15121" width="13.140625" style="428" customWidth="1"/>
    <col min="15122" max="15122" width="9.140625" style="428"/>
    <col min="15123" max="15123" width="22.7109375" style="428" customWidth="1"/>
    <col min="15124" max="15362" width="9.140625" style="428"/>
    <col min="15363" max="15363" width="3.7109375" style="428" customWidth="1"/>
    <col min="15364" max="15364" width="14.42578125" style="428" customWidth="1"/>
    <col min="15365" max="15365" width="3.7109375" style="428" customWidth="1"/>
    <col min="15366" max="15366" width="22.5703125" style="428" customWidth="1"/>
    <col min="15367" max="15373" width="10.5703125" style="428" customWidth="1"/>
    <col min="15374" max="15374" width="18.5703125" style="428" customWidth="1"/>
    <col min="15375" max="15375" width="9" style="428" customWidth="1"/>
    <col min="15376" max="15376" width="9.140625" style="428"/>
    <col min="15377" max="15377" width="13.140625" style="428" customWidth="1"/>
    <col min="15378" max="15378" width="9.140625" style="428"/>
    <col min="15379" max="15379" width="22.7109375" style="428" customWidth="1"/>
    <col min="15380" max="15618" width="9.140625" style="428"/>
    <col min="15619" max="15619" width="3.7109375" style="428" customWidth="1"/>
    <col min="15620" max="15620" width="14.42578125" style="428" customWidth="1"/>
    <col min="15621" max="15621" width="3.7109375" style="428" customWidth="1"/>
    <col min="15622" max="15622" width="22.5703125" style="428" customWidth="1"/>
    <col min="15623" max="15629" width="10.5703125" style="428" customWidth="1"/>
    <col min="15630" max="15630" width="18.5703125" style="428" customWidth="1"/>
    <col min="15631" max="15631" width="9" style="428" customWidth="1"/>
    <col min="15632" max="15632" width="9.140625" style="428"/>
    <col min="15633" max="15633" width="13.140625" style="428" customWidth="1"/>
    <col min="15634" max="15634" width="9.140625" style="428"/>
    <col min="15635" max="15635" width="22.7109375" style="428" customWidth="1"/>
    <col min="15636" max="15874" width="9.140625" style="428"/>
    <col min="15875" max="15875" width="3.7109375" style="428" customWidth="1"/>
    <col min="15876" max="15876" width="14.42578125" style="428" customWidth="1"/>
    <col min="15877" max="15877" width="3.7109375" style="428" customWidth="1"/>
    <col min="15878" max="15878" width="22.5703125" style="428" customWidth="1"/>
    <col min="15879" max="15885" width="10.5703125" style="428" customWidth="1"/>
    <col min="15886" max="15886" width="18.5703125" style="428" customWidth="1"/>
    <col min="15887" max="15887" width="9" style="428" customWidth="1"/>
    <col min="15888" max="15888" width="9.140625" style="428"/>
    <col min="15889" max="15889" width="13.140625" style="428" customWidth="1"/>
    <col min="15890" max="15890" width="9.140625" style="428"/>
    <col min="15891" max="15891" width="22.7109375" style="428" customWidth="1"/>
    <col min="15892" max="16130" width="9.140625" style="428"/>
    <col min="16131" max="16131" width="3.7109375" style="428" customWidth="1"/>
    <col min="16132" max="16132" width="14.42578125" style="428" customWidth="1"/>
    <col min="16133" max="16133" width="3.7109375" style="428" customWidth="1"/>
    <col min="16134" max="16134" width="22.5703125" style="428" customWidth="1"/>
    <col min="16135" max="16141" width="10.5703125" style="428" customWidth="1"/>
    <col min="16142" max="16142" width="18.5703125" style="428" customWidth="1"/>
    <col min="16143" max="16143" width="9" style="428" customWidth="1"/>
    <col min="16144" max="16144" width="9.140625" style="428"/>
    <col min="16145" max="16145" width="13.140625" style="428" customWidth="1"/>
    <col min="16146" max="16146" width="9.140625" style="428"/>
    <col min="16147" max="16147" width="22.7109375" style="428" customWidth="1"/>
    <col min="16148" max="16384" width="9.140625" style="428"/>
  </cols>
  <sheetData>
    <row r="1" spans="1:27" s="964" customFormat="1" ht="15" x14ac:dyDescent="0.2">
      <c r="A1" s="965"/>
      <c r="B1" s="1277"/>
      <c r="C1" s="1277"/>
      <c r="S1" s="984"/>
      <c r="T1" s="984"/>
      <c r="U1" s="984"/>
      <c r="V1" s="984"/>
    </row>
    <row r="2" spans="1:27" s="964" customFormat="1" ht="14.25" x14ac:dyDescent="0.2">
      <c r="A2" s="835">
        <v>1</v>
      </c>
      <c r="B2" s="835" t="s">
        <v>24</v>
      </c>
      <c r="C2" s="835">
        <f>1+'Public Opinion'!C2</f>
        <v>85</v>
      </c>
      <c r="D2" s="1461" t="s">
        <v>1370</v>
      </c>
      <c r="E2" s="1462"/>
      <c r="F2" s="1462"/>
      <c r="G2" s="1462"/>
      <c r="H2" s="1462"/>
      <c r="I2" s="1462"/>
      <c r="J2" s="1462"/>
      <c r="K2" s="1462"/>
      <c r="L2" s="1462"/>
      <c r="M2" s="1462"/>
      <c r="N2" s="1462"/>
      <c r="O2" s="1462"/>
      <c r="P2" s="1462"/>
      <c r="Q2" s="1462"/>
      <c r="R2" s="1463"/>
      <c r="S2" s="416"/>
      <c r="T2" s="416"/>
      <c r="U2" s="1696"/>
      <c r="V2" s="1276"/>
    </row>
    <row r="3" spans="1:27" s="964" customFormat="1" ht="15" x14ac:dyDescent="0.25">
      <c r="A3" s="835">
        <v>2</v>
      </c>
      <c r="B3" s="835" t="s">
        <v>26</v>
      </c>
      <c r="C3" s="835"/>
      <c r="D3" s="3615" t="s">
        <v>1206</v>
      </c>
      <c r="E3" s="3616"/>
      <c r="F3" s="3616"/>
      <c r="G3" s="3616"/>
      <c r="H3" s="3616"/>
      <c r="I3" s="3616"/>
      <c r="J3" s="3616"/>
      <c r="K3" s="3616"/>
      <c r="L3" s="3616"/>
      <c r="M3" s="3616"/>
      <c r="N3" s="3616"/>
      <c r="O3" s="3616"/>
      <c r="P3" s="3616"/>
      <c r="Q3" s="3616"/>
      <c r="R3" s="3617"/>
      <c r="S3" s="416"/>
      <c r="T3" s="416"/>
      <c r="U3" s="1697"/>
      <c r="V3" s="984"/>
    </row>
    <row r="4" spans="1:27" s="964" customFormat="1" ht="14.25" customHeight="1" x14ac:dyDescent="0.25">
      <c r="A4" s="835">
        <v>3</v>
      </c>
      <c r="B4" s="835" t="s">
        <v>28</v>
      </c>
      <c r="C4" s="835"/>
      <c r="D4" s="3615" t="s">
        <v>1383</v>
      </c>
      <c r="E4" s="3616"/>
      <c r="F4" s="3616"/>
      <c r="G4" s="3616"/>
      <c r="H4" s="3616"/>
      <c r="I4" s="3616"/>
      <c r="J4" s="3616"/>
      <c r="K4" s="3616"/>
      <c r="L4" s="3616"/>
      <c r="M4" s="3616"/>
      <c r="N4" s="3616"/>
      <c r="O4" s="3616"/>
      <c r="P4" s="3616"/>
      <c r="Q4" s="3616"/>
      <c r="R4" s="3617"/>
      <c r="S4" s="416"/>
      <c r="T4" s="416"/>
      <c r="U4" s="1698"/>
      <c r="V4" s="984"/>
    </row>
    <row r="5" spans="1:27" ht="12.75" x14ac:dyDescent="0.2">
      <c r="C5" s="418"/>
      <c r="S5" s="1094"/>
      <c r="T5" s="1094"/>
      <c r="U5" s="1094"/>
      <c r="Y5" s="1094"/>
      <c r="Z5" s="1094"/>
    </row>
    <row r="6" spans="1:27" ht="12.75" x14ac:dyDescent="0.2">
      <c r="A6" s="835">
        <v>4</v>
      </c>
      <c r="B6" s="418" t="s">
        <v>1</v>
      </c>
      <c r="C6" s="835"/>
      <c r="D6" s="655" t="s">
        <v>31</v>
      </c>
      <c r="E6" s="438" t="s">
        <v>1382</v>
      </c>
      <c r="F6" s="1094"/>
      <c r="G6" s="1094"/>
      <c r="H6" s="1094"/>
      <c r="I6" s="1094"/>
      <c r="J6" s="1094"/>
      <c r="K6" s="1094"/>
      <c r="L6" s="1094"/>
      <c r="M6" s="1094"/>
      <c r="R6" s="1094"/>
      <c r="S6" s="1094"/>
      <c r="T6" s="1094"/>
      <c r="U6" s="1094"/>
      <c r="V6" s="1094"/>
      <c r="Y6" s="1094"/>
      <c r="Z6" s="1094"/>
    </row>
    <row r="7" spans="1:27" ht="33.75" x14ac:dyDescent="0.2">
      <c r="C7" s="835"/>
      <c r="D7" s="3032"/>
      <c r="E7" s="1262">
        <v>2006</v>
      </c>
      <c r="F7" s="1262">
        <v>2007</v>
      </c>
      <c r="G7" s="1262">
        <v>2008</v>
      </c>
      <c r="H7" s="1262">
        <v>2009</v>
      </c>
      <c r="I7" s="1262">
        <v>2010</v>
      </c>
      <c r="J7" s="1262">
        <v>2011</v>
      </c>
      <c r="K7" s="1262">
        <v>2012</v>
      </c>
      <c r="L7" s="1262">
        <v>2013</v>
      </c>
      <c r="M7" s="1262">
        <v>2014</v>
      </c>
      <c r="N7" s="1262">
        <v>2015</v>
      </c>
      <c r="O7" s="3130" t="s">
        <v>1381</v>
      </c>
      <c r="S7" s="1094"/>
      <c r="T7" s="1094"/>
      <c r="U7" s="1094"/>
      <c r="V7" s="1094"/>
      <c r="W7" s="1094"/>
      <c r="Z7" s="1094"/>
      <c r="AA7" s="1094"/>
    </row>
    <row r="8" spans="1:27" ht="12.75" x14ac:dyDescent="0.2">
      <c r="C8" s="835"/>
      <c r="D8" s="3033" t="s">
        <v>71</v>
      </c>
      <c r="E8" s="420">
        <v>21</v>
      </c>
      <c r="F8" s="420">
        <v>21</v>
      </c>
      <c r="G8" s="446">
        <v>25</v>
      </c>
      <c r="H8" s="446">
        <v>20</v>
      </c>
      <c r="I8" s="446">
        <v>23</v>
      </c>
      <c r="J8" s="446">
        <v>23</v>
      </c>
      <c r="K8" s="446">
        <v>18</v>
      </c>
      <c r="L8" s="446">
        <v>6</v>
      </c>
      <c r="M8" s="1700">
        <v>17</v>
      </c>
      <c r="N8" s="1700">
        <v>18</v>
      </c>
      <c r="O8" s="3131" t="s">
        <v>528</v>
      </c>
      <c r="S8" s="1094"/>
      <c r="T8" s="1094"/>
      <c r="U8" s="1094"/>
      <c r="V8" s="1094"/>
      <c r="W8" s="1094"/>
      <c r="Z8" s="1094"/>
      <c r="AA8" s="1094"/>
    </row>
    <row r="9" spans="1:27" ht="12.75" x14ac:dyDescent="0.2">
      <c r="C9" s="835"/>
      <c r="D9" s="3033" t="s">
        <v>335</v>
      </c>
      <c r="E9" s="420">
        <v>16</v>
      </c>
      <c r="F9" s="420">
        <v>18</v>
      </c>
      <c r="G9" s="446">
        <v>18</v>
      </c>
      <c r="H9" s="446">
        <v>22</v>
      </c>
      <c r="I9" s="446">
        <v>24</v>
      </c>
      <c r="J9" s="446">
        <v>18</v>
      </c>
      <c r="K9" s="446">
        <v>24</v>
      </c>
      <c r="L9" s="446">
        <v>22</v>
      </c>
      <c r="M9" s="1700">
        <v>16</v>
      </c>
      <c r="N9" s="1700">
        <v>16</v>
      </c>
      <c r="O9" s="3131" t="s">
        <v>1379</v>
      </c>
      <c r="S9" s="1094"/>
      <c r="T9" s="1094"/>
      <c r="U9" s="1094"/>
      <c r="V9" s="1094"/>
      <c r="W9" s="1094"/>
      <c r="Z9" s="1094"/>
      <c r="AA9" s="1094"/>
    </row>
    <row r="10" spans="1:27" ht="12.75" x14ac:dyDescent="0.2">
      <c r="C10" s="835"/>
      <c r="D10" s="3033" t="s">
        <v>340</v>
      </c>
      <c r="E10" s="420">
        <v>23</v>
      </c>
      <c r="F10" s="420">
        <v>30</v>
      </c>
      <c r="G10" s="446">
        <v>29</v>
      </c>
      <c r="H10" s="446">
        <v>24</v>
      </c>
      <c r="I10" s="446">
        <v>17</v>
      </c>
      <c r="J10" s="446">
        <v>21</v>
      </c>
      <c r="K10" s="446">
        <v>23</v>
      </c>
      <c r="L10" s="446">
        <v>20</v>
      </c>
      <c r="M10" s="1700">
        <v>31</v>
      </c>
      <c r="N10" s="1700">
        <v>32</v>
      </c>
      <c r="O10" s="3131" t="s">
        <v>528</v>
      </c>
      <c r="S10" s="1094"/>
      <c r="T10" s="1094"/>
      <c r="U10" s="1094"/>
      <c r="V10" s="1094"/>
      <c r="W10" s="1094"/>
      <c r="Z10" s="1094"/>
      <c r="AA10" s="1094"/>
    </row>
    <row r="11" spans="1:27" ht="12.75" x14ac:dyDescent="0.2">
      <c r="C11" s="835"/>
      <c r="D11" s="3033" t="s">
        <v>336</v>
      </c>
      <c r="E11" s="420">
        <v>15</v>
      </c>
      <c r="F11" s="420">
        <v>24</v>
      </c>
      <c r="G11" s="446">
        <v>28</v>
      </c>
      <c r="H11" s="446">
        <v>28</v>
      </c>
      <c r="I11" s="446">
        <v>26</v>
      </c>
      <c r="J11" s="446">
        <v>25</v>
      </c>
      <c r="K11" s="446">
        <v>27</v>
      </c>
      <c r="L11" s="446">
        <v>17</v>
      </c>
      <c r="M11" s="1700">
        <v>21</v>
      </c>
      <c r="N11" s="1700">
        <v>20</v>
      </c>
      <c r="O11" s="3131" t="s">
        <v>973</v>
      </c>
      <c r="S11" s="1094"/>
      <c r="T11" s="1094"/>
      <c r="U11" s="1094"/>
      <c r="V11" s="1094"/>
      <c r="W11" s="1094"/>
      <c r="Z11" s="1094"/>
      <c r="AA11" s="1094"/>
    </row>
    <row r="12" spans="1:27" ht="12.75" x14ac:dyDescent="0.2">
      <c r="C12" s="835"/>
      <c r="D12" s="3033" t="s">
        <v>338</v>
      </c>
      <c r="E12" s="420">
        <v>26</v>
      </c>
      <c r="F12" s="420">
        <v>20</v>
      </c>
      <c r="G12" s="446">
        <v>26</v>
      </c>
      <c r="H12" s="446">
        <v>29</v>
      </c>
      <c r="I12" s="446">
        <v>27</v>
      </c>
      <c r="J12" s="446">
        <v>31</v>
      </c>
      <c r="K12" s="446">
        <v>21</v>
      </c>
      <c r="L12" s="446">
        <v>24</v>
      </c>
      <c r="M12" s="1700">
        <v>22</v>
      </c>
      <c r="N12" s="1700">
        <v>22</v>
      </c>
      <c r="O12" s="3131" t="s">
        <v>1379</v>
      </c>
      <c r="S12" s="1094"/>
      <c r="T12" s="1094"/>
      <c r="U12" s="1094"/>
      <c r="V12" s="1094"/>
      <c r="W12" s="1094"/>
      <c r="Z12" s="1094"/>
      <c r="AA12" s="1094"/>
    </row>
    <row r="13" spans="1:27" ht="12.75" x14ac:dyDescent="0.2">
      <c r="C13" s="835"/>
      <c r="D13" s="2946" t="s">
        <v>0</v>
      </c>
      <c r="E13" s="770">
        <v>28</v>
      </c>
      <c r="F13" s="770">
        <v>37</v>
      </c>
      <c r="G13" s="1263">
        <v>35</v>
      </c>
      <c r="H13" s="1263">
        <v>32</v>
      </c>
      <c r="I13" s="1263">
        <v>34</v>
      </c>
      <c r="J13" s="1263">
        <v>36</v>
      </c>
      <c r="K13" s="1263">
        <v>35</v>
      </c>
      <c r="L13" s="1263">
        <v>39</v>
      </c>
      <c r="M13" s="1701">
        <v>69</v>
      </c>
      <c r="N13" s="1701">
        <v>73</v>
      </c>
      <c r="O13" s="3132" t="s">
        <v>528</v>
      </c>
      <c r="P13" s="1094"/>
      <c r="Q13" s="1094"/>
      <c r="R13" s="1094"/>
      <c r="S13" s="1094"/>
      <c r="T13" s="1094"/>
      <c r="U13" s="1094"/>
      <c r="V13" s="1094"/>
      <c r="W13" s="1094"/>
      <c r="Z13" s="1094"/>
      <c r="AA13" s="1094"/>
    </row>
    <row r="14" spans="1:27" ht="12.75" x14ac:dyDescent="0.2">
      <c r="C14" s="835"/>
      <c r="D14" s="3033" t="s">
        <v>1380</v>
      </c>
      <c r="E14" s="420">
        <v>37</v>
      </c>
      <c r="F14" s="420">
        <v>31</v>
      </c>
      <c r="G14" s="446">
        <v>37</v>
      </c>
      <c r="H14" s="446">
        <v>36</v>
      </c>
      <c r="I14" s="446">
        <v>42</v>
      </c>
      <c r="J14" s="446">
        <v>43</v>
      </c>
      <c r="K14" s="446">
        <v>48</v>
      </c>
      <c r="L14" s="446">
        <v>49</v>
      </c>
      <c r="M14" s="1700">
        <v>29</v>
      </c>
      <c r="N14" s="1700">
        <v>29</v>
      </c>
      <c r="O14" s="3131" t="s">
        <v>1379</v>
      </c>
      <c r="P14" s="1094"/>
      <c r="Q14" s="1094"/>
      <c r="R14" s="1094"/>
      <c r="S14" s="1094"/>
      <c r="T14" s="1094"/>
      <c r="U14" s="1094"/>
      <c r="V14" s="1094"/>
      <c r="W14" s="1094"/>
      <c r="Z14" s="1094"/>
      <c r="AA14" s="1094"/>
    </row>
    <row r="15" spans="1:27" ht="12.75" x14ac:dyDescent="0.2">
      <c r="C15" s="835"/>
      <c r="D15" s="3033" t="s">
        <v>60</v>
      </c>
      <c r="E15" s="420">
        <v>40</v>
      </c>
      <c r="F15" s="420">
        <v>49</v>
      </c>
      <c r="G15" s="446">
        <v>52</v>
      </c>
      <c r="H15" s="446">
        <v>38</v>
      </c>
      <c r="I15" s="446">
        <v>45</v>
      </c>
      <c r="J15" s="446">
        <v>52</v>
      </c>
      <c r="K15" s="446">
        <v>54</v>
      </c>
      <c r="L15" s="446">
        <v>56</v>
      </c>
      <c r="M15" s="1700">
        <v>72</v>
      </c>
      <c r="N15" s="1700">
        <v>72</v>
      </c>
      <c r="O15" s="3131" t="s">
        <v>1379</v>
      </c>
      <c r="S15" s="1094"/>
      <c r="T15" s="1094"/>
      <c r="U15" s="1094"/>
      <c r="V15" s="1094"/>
      <c r="W15" s="1094"/>
      <c r="Z15" s="1094"/>
      <c r="AA15" s="1094"/>
    </row>
    <row r="16" spans="1:27" ht="12.75" x14ac:dyDescent="0.2">
      <c r="C16" s="835"/>
      <c r="D16" s="3033" t="s">
        <v>63</v>
      </c>
      <c r="E16" s="420">
        <v>25</v>
      </c>
      <c r="F16" s="420">
        <v>28</v>
      </c>
      <c r="G16" s="446">
        <v>36</v>
      </c>
      <c r="H16" s="446">
        <v>40</v>
      </c>
      <c r="I16" s="446">
        <v>49</v>
      </c>
      <c r="J16" s="446">
        <v>41</v>
      </c>
      <c r="K16" s="446">
        <v>39</v>
      </c>
      <c r="L16" s="446">
        <v>34</v>
      </c>
      <c r="M16" s="1700">
        <v>48</v>
      </c>
      <c r="N16" s="1700">
        <v>48</v>
      </c>
      <c r="O16" s="3131" t="s">
        <v>1379</v>
      </c>
      <c r="S16" s="1094"/>
      <c r="T16" s="1094"/>
      <c r="U16" s="1094"/>
      <c r="V16" s="1094"/>
      <c r="W16" s="1094"/>
      <c r="Z16" s="1094"/>
      <c r="AA16" s="1094"/>
    </row>
    <row r="17" spans="1:27" ht="12.75" x14ac:dyDescent="0.2">
      <c r="C17" s="835"/>
      <c r="D17" s="3033" t="s">
        <v>339</v>
      </c>
      <c r="E17" s="420">
        <v>52</v>
      </c>
      <c r="F17" s="420">
        <v>51</v>
      </c>
      <c r="G17" s="446">
        <v>50</v>
      </c>
      <c r="H17" s="446">
        <v>41</v>
      </c>
      <c r="I17" s="446">
        <v>47</v>
      </c>
      <c r="J17" s="446">
        <v>46</v>
      </c>
      <c r="K17" s="446">
        <v>51</v>
      </c>
      <c r="L17" s="446">
        <v>54</v>
      </c>
      <c r="M17" s="1700">
        <v>40</v>
      </c>
      <c r="N17" s="1700">
        <v>42</v>
      </c>
      <c r="O17" s="3131" t="s">
        <v>528</v>
      </c>
      <c r="S17" s="1094"/>
      <c r="T17" s="1094"/>
      <c r="U17" s="1094"/>
      <c r="V17" s="1094"/>
      <c r="W17" s="1094"/>
      <c r="Z17" s="1094"/>
      <c r="AA17" s="1094"/>
    </row>
    <row r="18" spans="1:27" ht="12.75" x14ac:dyDescent="0.2">
      <c r="C18" s="835"/>
      <c r="D18" s="3033" t="s">
        <v>341</v>
      </c>
      <c r="E18" s="420">
        <v>78</v>
      </c>
      <c r="F18" s="420">
        <v>55</v>
      </c>
      <c r="G18" s="446">
        <v>47</v>
      </c>
      <c r="H18" s="446">
        <v>47</v>
      </c>
      <c r="I18" s="446">
        <v>55</v>
      </c>
      <c r="J18" s="446">
        <v>65</v>
      </c>
      <c r="K18" s="446">
        <v>72</v>
      </c>
      <c r="L18" s="446">
        <v>73</v>
      </c>
      <c r="M18" s="1700">
        <v>37</v>
      </c>
      <c r="N18" s="1700">
        <v>37</v>
      </c>
      <c r="O18" s="3131" t="s">
        <v>1379</v>
      </c>
      <c r="S18" s="1094"/>
      <c r="T18" s="1094"/>
      <c r="U18" s="1094"/>
      <c r="V18" s="1094"/>
      <c r="W18" s="1094"/>
      <c r="Z18" s="1094"/>
      <c r="AA18" s="1094"/>
    </row>
    <row r="19" spans="1:27" ht="12.75" x14ac:dyDescent="0.2">
      <c r="C19" s="835"/>
      <c r="D19" s="3033" t="s">
        <v>72</v>
      </c>
      <c r="E19" s="420">
        <v>73</v>
      </c>
      <c r="F19" s="420">
        <v>41</v>
      </c>
      <c r="G19" s="446">
        <v>42</v>
      </c>
      <c r="H19" s="446">
        <v>56</v>
      </c>
      <c r="I19" s="446">
        <v>51</v>
      </c>
      <c r="J19" s="446">
        <v>54</v>
      </c>
      <c r="K19" s="446">
        <v>53</v>
      </c>
      <c r="L19" s="446">
        <v>53</v>
      </c>
      <c r="M19" s="1700">
        <v>42</v>
      </c>
      <c r="N19" s="1700">
        <v>38</v>
      </c>
      <c r="O19" s="3131" t="s">
        <v>973</v>
      </c>
      <c r="S19" s="1094"/>
      <c r="T19" s="1094"/>
      <c r="U19" s="1094"/>
      <c r="V19" s="1094"/>
      <c r="W19" s="1094"/>
      <c r="Z19" s="1094"/>
      <c r="AA19" s="1094"/>
    </row>
    <row r="20" spans="1:27" ht="12.75" x14ac:dyDescent="0.2">
      <c r="C20" s="835"/>
      <c r="D20" s="3104" t="s">
        <v>1378</v>
      </c>
      <c r="E20" s="1126">
        <v>51</v>
      </c>
      <c r="F20" s="1126">
        <v>43</v>
      </c>
      <c r="G20" s="1136">
        <v>57</v>
      </c>
      <c r="H20" s="1136">
        <v>57</v>
      </c>
      <c r="I20" s="1136">
        <v>65</v>
      </c>
      <c r="J20" s="1136">
        <v>53</v>
      </c>
      <c r="K20" s="1136">
        <v>49</v>
      </c>
      <c r="L20" s="1136">
        <v>47</v>
      </c>
      <c r="M20" s="1700">
        <v>77</v>
      </c>
      <c r="N20" s="1700">
        <v>70</v>
      </c>
      <c r="O20" s="3131" t="s">
        <v>973</v>
      </c>
      <c r="S20" s="1094"/>
      <c r="T20" s="1094"/>
      <c r="U20" s="1094"/>
      <c r="V20" s="1094"/>
      <c r="W20" s="1094"/>
      <c r="Z20" s="1094"/>
      <c r="AA20" s="1094"/>
    </row>
    <row r="21" spans="1:27" ht="12.75" x14ac:dyDescent="0.2">
      <c r="C21" s="835"/>
      <c r="D21" s="3135" t="s">
        <v>1377</v>
      </c>
      <c r="E21" s="1703">
        <v>178</v>
      </c>
      <c r="F21" s="1703">
        <v>178</v>
      </c>
      <c r="G21" s="1703">
        <v>178</v>
      </c>
      <c r="H21" s="1703">
        <v>178</v>
      </c>
      <c r="I21" s="1703">
        <v>183</v>
      </c>
      <c r="J21" s="1703">
        <v>183</v>
      </c>
      <c r="K21" s="1703">
        <v>183</v>
      </c>
      <c r="L21" s="1703">
        <v>185</v>
      </c>
      <c r="M21" s="1703">
        <v>189</v>
      </c>
      <c r="N21" s="1703">
        <v>189</v>
      </c>
      <c r="O21" s="3133"/>
      <c r="P21" s="1094"/>
      <c r="Q21" s="1094"/>
      <c r="R21" s="1094"/>
      <c r="S21" s="1094"/>
      <c r="T21" s="1094"/>
      <c r="U21" s="1094"/>
      <c r="V21" s="1094"/>
      <c r="W21" s="1094"/>
      <c r="Z21" s="1094"/>
      <c r="AA21" s="1094"/>
    </row>
    <row r="22" spans="1:27" ht="12.75" x14ac:dyDescent="0.2">
      <c r="C22" s="835"/>
      <c r="D22" s="426"/>
      <c r="E22" s="1094"/>
      <c r="F22" s="1094"/>
      <c r="G22" s="1094"/>
      <c r="H22" s="1094"/>
      <c r="I22" s="1094"/>
      <c r="J22" s="1094"/>
      <c r="K22" s="1094"/>
      <c r="L22" s="1094"/>
      <c r="M22" s="1094"/>
      <c r="N22" s="1094"/>
      <c r="O22" s="1094"/>
      <c r="P22" s="1094"/>
      <c r="Q22" s="1094"/>
      <c r="R22" s="1094"/>
      <c r="S22" s="1094"/>
      <c r="T22" s="1094"/>
      <c r="U22" s="1094"/>
      <c r="V22" s="1094"/>
      <c r="Y22" s="1094"/>
      <c r="Z22" s="1094"/>
    </row>
    <row r="23" spans="1:27" ht="12.75" x14ac:dyDescent="0.2">
      <c r="C23" s="835"/>
      <c r="D23" s="426"/>
      <c r="E23" s="1094"/>
      <c r="F23" s="1094"/>
      <c r="G23" s="1094"/>
      <c r="H23" s="1094"/>
      <c r="I23" s="1094"/>
      <c r="J23" s="1094"/>
      <c r="K23" s="1094"/>
      <c r="L23" s="1094"/>
      <c r="M23" s="1094"/>
      <c r="N23" s="1094"/>
      <c r="O23" s="1094"/>
      <c r="P23" s="1094"/>
      <c r="Q23" s="1094"/>
      <c r="R23" s="1094"/>
      <c r="S23" s="1094"/>
      <c r="T23" s="1094"/>
      <c r="U23" s="1094"/>
      <c r="V23" s="1094"/>
      <c r="Y23" s="1094"/>
      <c r="Z23" s="1094"/>
    </row>
    <row r="24" spans="1:27" x14ac:dyDescent="0.2">
      <c r="D24" s="424" t="s">
        <v>55</v>
      </c>
      <c r="E24" s="438" t="s">
        <v>1376</v>
      </c>
      <c r="F24" s="1094"/>
      <c r="G24" s="1094"/>
      <c r="H24" s="1094"/>
      <c r="I24" s="1094"/>
      <c r="J24" s="1094"/>
      <c r="K24" s="1094"/>
      <c r="L24" s="1094"/>
      <c r="Q24" s="429"/>
      <c r="Y24" s="1094"/>
      <c r="Z24" s="1094"/>
    </row>
    <row r="25" spans="1:27" ht="33.75" x14ac:dyDescent="0.2">
      <c r="A25" s="835"/>
      <c r="B25" s="835"/>
      <c r="D25" s="3136" t="s">
        <v>1375</v>
      </c>
      <c r="E25" s="1262"/>
      <c r="F25" s="1262">
        <v>2007</v>
      </c>
      <c r="G25" s="1262">
        <v>2008</v>
      </c>
      <c r="H25" s="1262">
        <v>2009</v>
      </c>
      <c r="I25" s="1262">
        <v>2010</v>
      </c>
      <c r="J25" s="1262">
        <v>2011</v>
      </c>
      <c r="K25" s="1262">
        <v>2012</v>
      </c>
      <c r="L25" s="1262">
        <v>2013</v>
      </c>
      <c r="M25" s="1699">
        <v>2014</v>
      </c>
      <c r="N25" s="1699">
        <v>2015</v>
      </c>
      <c r="O25" s="3130" t="s">
        <v>1374</v>
      </c>
      <c r="R25" s="429"/>
      <c r="Z25" s="1094"/>
      <c r="AA25" s="1094"/>
    </row>
    <row r="26" spans="1:27" ht="12.75" x14ac:dyDescent="0.2">
      <c r="B26" s="1260"/>
      <c r="C26" s="430"/>
      <c r="D26" s="3137" t="s">
        <v>1373</v>
      </c>
      <c r="E26" s="1259"/>
      <c r="F26" s="1259">
        <v>32</v>
      </c>
      <c r="G26" s="1259">
        <v>2</v>
      </c>
      <c r="H26" s="1259">
        <v>2</v>
      </c>
      <c r="I26" s="1259">
        <v>2</v>
      </c>
      <c r="J26" s="1259">
        <v>2</v>
      </c>
      <c r="K26" s="1259">
        <v>1</v>
      </c>
      <c r="L26" s="1259">
        <v>1</v>
      </c>
      <c r="M26" s="1259">
        <v>28</v>
      </c>
      <c r="N26" s="1259">
        <v>59</v>
      </c>
      <c r="O26" s="3132" t="s">
        <v>528</v>
      </c>
      <c r="R26" s="439"/>
    </row>
    <row r="27" spans="1:27" ht="12.75" x14ac:dyDescent="0.2">
      <c r="B27" s="1260"/>
      <c r="C27" s="430"/>
      <c r="D27" s="3137" t="s">
        <v>1372</v>
      </c>
      <c r="E27" s="1259"/>
      <c r="F27" s="1259">
        <v>9</v>
      </c>
      <c r="G27" s="1259">
        <v>9</v>
      </c>
      <c r="H27" s="1259">
        <v>9</v>
      </c>
      <c r="I27" s="1259">
        <v>10</v>
      </c>
      <c r="J27" s="1259">
        <v>10</v>
      </c>
      <c r="K27" s="1259">
        <v>10</v>
      </c>
      <c r="L27" s="1259">
        <v>10</v>
      </c>
      <c r="M27" s="1259">
        <v>10</v>
      </c>
      <c r="N27" s="1259">
        <v>14</v>
      </c>
      <c r="O27" s="3132" t="s">
        <v>528</v>
      </c>
      <c r="R27" s="439"/>
    </row>
    <row r="28" spans="1:27" ht="12.75" x14ac:dyDescent="0.2">
      <c r="B28" s="1260"/>
      <c r="C28" s="430"/>
      <c r="D28" s="3137" t="s">
        <v>1371</v>
      </c>
      <c r="E28" s="1259"/>
      <c r="F28" s="1259">
        <v>59</v>
      </c>
      <c r="G28" s="1259">
        <v>65</v>
      </c>
      <c r="H28" s="1259">
        <v>23</v>
      </c>
      <c r="I28" s="1259">
        <v>23</v>
      </c>
      <c r="J28" s="1259">
        <v>24</v>
      </c>
      <c r="K28" s="1259">
        <v>44</v>
      </c>
      <c r="L28" s="1259">
        <v>32</v>
      </c>
      <c r="M28" s="1259">
        <v>24</v>
      </c>
      <c r="N28" s="1259">
        <v>20</v>
      </c>
      <c r="O28" s="3132" t="str">
        <f>IF(K28&gt;L28,"+","-")</f>
        <v>+</v>
      </c>
      <c r="R28" s="439"/>
    </row>
    <row r="29" spans="1:27" x14ac:dyDescent="0.2">
      <c r="D29" s="3137" t="s">
        <v>1370</v>
      </c>
      <c r="E29" s="1261"/>
      <c r="F29" s="1261">
        <v>37</v>
      </c>
      <c r="G29" s="1261">
        <v>35</v>
      </c>
      <c r="H29" s="1261">
        <v>32</v>
      </c>
      <c r="I29" s="1261">
        <v>34</v>
      </c>
      <c r="J29" s="1261">
        <v>36</v>
      </c>
      <c r="K29" s="1261">
        <v>35</v>
      </c>
      <c r="L29" s="1261">
        <v>39</v>
      </c>
      <c r="M29" s="1261">
        <v>82</v>
      </c>
      <c r="N29" s="1261">
        <v>73</v>
      </c>
      <c r="O29" s="3132" t="s">
        <v>528</v>
      </c>
      <c r="R29" s="439"/>
      <c r="S29" s="429"/>
      <c r="T29" s="429"/>
      <c r="Z29" s="1094"/>
      <c r="AA29" s="1094"/>
    </row>
    <row r="30" spans="1:27" ht="12.75" x14ac:dyDescent="0.2">
      <c r="B30" s="1260"/>
      <c r="C30" s="430"/>
      <c r="D30" s="3138" t="s">
        <v>1369</v>
      </c>
      <c r="E30" s="1261"/>
      <c r="F30" s="1261">
        <v>58</v>
      </c>
      <c r="G30" s="1259">
        <v>57</v>
      </c>
      <c r="H30" s="1259">
        <v>47</v>
      </c>
      <c r="I30" s="1259">
        <v>67</v>
      </c>
      <c r="J30" s="1259">
        <v>75</v>
      </c>
      <c r="K30" s="1259">
        <v>44</v>
      </c>
      <c r="L30" s="1259">
        <v>53</v>
      </c>
      <c r="M30" s="1259">
        <v>64</v>
      </c>
      <c r="N30" s="1259">
        <v>120</v>
      </c>
      <c r="O30" s="3132" t="str">
        <f>IF(K30&gt;L30,"+","-")</f>
        <v>-</v>
      </c>
      <c r="S30" s="439"/>
      <c r="T30" s="439"/>
    </row>
    <row r="31" spans="1:27" x14ac:dyDescent="0.2">
      <c r="D31" s="3137" t="s">
        <v>1368</v>
      </c>
      <c r="E31" s="1259"/>
      <c r="F31" s="1259"/>
      <c r="G31" s="1259"/>
      <c r="H31" s="1259"/>
      <c r="I31" s="1259"/>
      <c r="J31" s="1259"/>
      <c r="K31" s="1259"/>
      <c r="L31" s="1259">
        <v>150</v>
      </c>
      <c r="M31" s="1259">
        <v>150</v>
      </c>
      <c r="N31" s="1259">
        <v>168</v>
      </c>
      <c r="O31" s="3132" t="s">
        <v>528</v>
      </c>
      <c r="R31" s="439"/>
    </row>
    <row r="32" spans="1:27" x14ac:dyDescent="0.2">
      <c r="D32" s="3137" t="s">
        <v>1367</v>
      </c>
      <c r="E32" s="1259"/>
      <c r="F32" s="1259">
        <v>85</v>
      </c>
      <c r="G32" s="1259">
        <v>83</v>
      </c>
      <c r="H32" s="1259">
        <v>82</v>
      </c>
      <c r="I32" s="1259">
        <v>85</v>
      </c>
      <c r="J32" s="1259">
        <v>85</v>
      </c>
      <c r="K32" s="1259">
        <v>81</v>
      </c>
      <c r="L32" s="1259">
        <v>80</v>
      </c>
      <c r="M32" s="1259">
        <v>80</v>
      </c>
      <c r="N32" s="1259">
        <v>119</v>
      </c>
      <c r="O32" s="3132" t="s">
        <v>528</v>
      </c>
      <c r="R32" s="439"/>
    </row>
    <row r="33" spans="1:25" ht="12.75" x14ac:dyDescent="0.2">
      <c r="B33" s="1260"/>
      <c r="C33" s="431"/>
      <c r="D33" s="3137" t="s">
        <v>1366</v>
      </c>
      <c r="E33" s="1259"/>
      <c r="F33" s="1259">
        <v>69</v>
      </c>
      <c r="G33" s="1259">
        <v>78</v>
      </c>
      <c r="H33" s="1259">
        <v>87</v>
      </c>
      <c r="I33" s="1259">
        <v>90</v>
      </c>
      <c r="J33" s="1259">
        <v>91</v>
      </c>
      <c r="K33" s="1259">
        <v>76</v>
      </c>
      <c r="L33" s="1259">
        <v>79</v>
      </c>
      <c r="M33" s="1259">
        <v>99</v>
      </c>
      <c r="N33" s="1259">
        <v>101</v>
      </c>
      <c r="O33" s="3132" t="str">
        <f>IF(K33&gt;L33,"+","-")</f>
        <v>-</v>
      </c>
      <c r="R33" s="439"/>
    </row>
    <row r="34" spans="1:25" x14ac:dyDescent="0.2">
      <c r="B34" s="1258"/>
      <c r="C34" s="1258"/>
      <c r="D34" s="3139" t="s">
        <v>1365</v>
      </c>
      <c r="E34" s="1257"/>
      <c r="F34" s="1257">
        <v>130</v>
      </c>
      <c r="G34" s="1257">
        <v>137</v>
      </c>
      <c r="H34" s="1257">
        <v>147</v>
      </c>
      <c r="I34" s="1257">
        <v>148</v>
      </c>
      <c r="J34" s="1257">
        <v>149</v>
      </c>
      <c r="K34" s="1257">
        <v>144</v>
      </c>
      <c r="L34" s="1257">
        <v>115</v>
      </c>
      <c r="M34" s="1257">
        <v>106</v>
      </c>
      <c r="N34" s="1257">
        <v>130</v>
      </c>
      <c r="O34" s="3134" t="s">
        <v>528</v>
      </c>
      <c r="R34" s="439"/>
      <c r="S34" s="1094"/>
      <c r="T34" s="1094"/>
      <c r="U34" s="1094"/>
      <c r="V34" s="1094"/>
      <c r="W34" s="1094"/>
      <c r="X34" s="1094"/>
      <c r="Y34" s="1094"/>
    </row>
    <row r="35" spans="1:25" x14ac:dyDescent="0.2">
      <c r="S35" s="1094"/>
      <c r="T35" s="1094"/>
      <c r="U35" s="1094"/>
      <c r="V35" s="1094"/>
      <c r="W35" s="1094"/>
      <c r="X35" s="1094"/>
    </row>
    <row r="36" spans="1:25" s="964" customFormat="1" ht="14.25" customHeight="1" x14ac:dyDescent="0.2">
      <c r="A36" s="835">
        <v>5</v>
      </c>
      <c r="B36" s="835" t="s">
        <v>78</v>
      </c>
      <c r="C36" s="835"/>
      <c r="D36" s="3615" t="s">
        <v>352</v>
      </c>
      <c r="E36" s="3616"/>
      <c r="F36" s="3616"/>
      <c r="G36" s="3616"/>
      <c r="H36" s="3616"/>
      <c r="I36" s="3616"/>
      <c r="J36" s="3616"/>
      <c r="K36" s="3616"/>
      <c r="L36" s="3616"/>
      <c r="M36" s="3616"/>
      <c r="N36" s="3616"/>
      <c r="O36" s="3616"/>
      <c r="P36" s="3616"/>
      <c r="Q36" s="3616"/>
      <c r="R36" s="3617"/>
      <c r="S36" s="416"/>
      <c r="T36" s="416"/>
      <c r="U36" s="416"/>
      <c r="V36" s="984"/>
      <c r="W36" s="984"/>
      <c r="X36" s="984"/>
    </row>
    <row r="37" spans="1:25" s="964" customFormat="1" ht="27" customHeight="1" x14ac:dyDescent="0.25">
      <c r="A37" s="963">
        <v>6</v>
      </c>
      <c r="B37" s="963" t="s">
        <v>80</v>
      </c>
      <c r="C37" s="963"/>
      <c r="D37" s="3615" t="s">
        <v>1364</v>
      </c>
      <c r="E37" s="3616"/>
      <c r="F37" s="3616"/>
      <c r="G37" s="3616"/>
      <c r="H37" s="3616"/>
      <c r="I37" s="3616"/>
      <c r="J37" s="3616"/>
      <c r="K37" s="3616"/>
      <c r="L37" s="3616"/>
      <c r="M37" s="3616"/>
      <c r="N37" s="3616"/>
      <c r="O37" s="3616"/>
      <c r="P37" s="3616"/>
      <c r="Q37" s="3616"/>
      <c r="R37" s="3617"/>
      <c r="S37" s="416"/>
      <c r="T37" s="416"/>
      <c r="U37" s="1697"/>
      <c r="V37" s="984"/>
      <c r="W37" s="984"/>
      <c r="X37" s="984"/>
    </row>
    <row r="38" spans="1:25" s="964" customFormat="1" ht="42" customHeight="1" x14ac:dyDescent="0.2">
      <c r="A38" s="835">
        <v>7</v>
      </c>
      <c r="B38" s="835" t="s">
        <v>22</v>
      </c>
      <c r="C38" s="835"/>
      <c r="D38" s="3615" t="s">
        <v>1363</v>
      </c>
      <c r="E38" s="3616"/>
      <c r="F38" s="3616"/>
      <c r="G38" s="3616"/>
      <c r="H38" s="3616"/>
      <c r="I38" s="3616"/>
      <c r="J38" s="3616"/>
      <c r="K38" s="3616"/>
      <c r="L38" s="3616"/>
      <c r="M38" s="3616"/>
      <c r="N38" s="3616"/>
      <c r="O38" s="3616"/>
      <c r="P38" s="3616"/>
      <c r="Q38" s="3616"/>
      <c r="R38" s="3617"/>
      <c r="S38" s="416"/>
      <c r="T38" s="416"/>
      <c r="U38" s="416"/>
      <c r="V38" s="984"/>
      <c r="W38" s="984"/>
      <c r="X38" s="984"/>
    </row>
    <row r="39" spans="1:25" s="964" customFormat="1" ht="14.25" customHeight="1" x14ac:dyDescent="0.2">
      <c r="A39" s="835">
        <v>8</v>
      </c>
      <c r="B39" s="835" t="s">
        <v>20</v>
      </c>
      <c r="C39" s="835"/>
      <c r="D39" s="3615" t="s">
        <v>1362</v>
      </c>
      <c r="E39" s="3616"/>
      <c r="F39" s="3616"/>
      <c r="G39" s="3616"/>
      <c r="H39" s="3616"/>
      <c r="I39" s="3616"/>
      <c r="J39" s="3616"/>
      <c r="K39" s="3616"/>
      <c r="L39" s="3616"/>
      <c r="M39" s="3616"/>
      <c r="N39" s="3616"/>
      <c r="O39" s="3616"/>
      <c r="P39" s="3616"/>
      <c r="Q39" s="3616"/>
      <c r="R39" s="3617"/>
      <c r="S39" s="416"/>
      <c r="T39" s="416"/>
      <c r="U39" s="416"/>
      <c r="V39" s="984"/>
      <c r="W39" s="984"/>
      <c r="X39" s="984"/>
    </row>
    <row r="40" spans="1:25" x14ac:dyDescent="0.2">
      <c r="B40" s="1704"/>
      <c r="C40" s="1704"/>
      <c r="N40" s="1094"/>
      <c r="O40" s="1094"/>
      <c r="P40" s="1094"/>
      <c r="Q40" s="1094"/>
      <c r="R40" s="1094"/>
      <c r="S40" s="1094"/>
      <c r="T40" s="1094"/>
    </row>
  </sheetData>
  <mergeCells count="6">
    <mergeCell ref="D39:R39"/>
    <mergeCell ref="D38:R38"/>
    <mergeCell ref="D3:R3"/>
    <mergeCell ref="D4:R4"/>
    <mergeCell ref="D36:R36"/>
    <mergeCell ref="D37:R37"/>
  </mergeCells>
  <pageMargins left="0.74803149606299213" right="0.74803149606299213" top="0.98425196850393704" bottom="0.98425196850393704" header="0.51181102362204722" footer="0.51181102362204722"/>
  <pageSetup paperSize="9" scale="64" orientation="landscape" r:id="rId1"/>
  <headerFooter alignWithMargins="0">
    <oddHeader>&amp;C&amp;"-,Bold"DEVELOPMENT INDICATORS 2014</oddHeader>
    <oddFooter>&amp;LDepartment of Planning, Monitoring and Evaluation (DPME). &amp;CPage &amp;P of &amp;N&amp;R&amp;D</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46"/>
  <sheetViews>
    <sheetView showGridLines="0" view="pageBreakPreview" zoomScaleSheetLayoutView="100" workbookViewId="0">
      <selection activeCell="D6" sqref="D6:E11"/>
    </sheetView>
  </sheetViews>
  <sheetFormatPr defaultColWidth="9.140625" defaultRowHeight="12" x14ac:dyDescent="0.2"/>
  <cols>
    <col min="1" max="1" width="3.7109375" style="1687" customWidth="1"/>
    <col min="2" max="2" width="14.42578125" style="1688" customWidth="1"/>
    <col min="3" max="3" width="3.7109375" style="1688" customWidth="1"/>
    <col min="4" max="4" width="22.5703125" style="428" customWidth="1"/>
    <col min="5" max="5" width="10.42578125" style="428" customWidth="1"/>
    <col min="6" max="17" width="10.5703125" style="428" customWidth="1"/>
    <col min="18" max="19" width="4.7109375" style="428" customWidth="1"/>
    <col min="20" max="16384" width="9.140625" style="428"/>
  </cols>
  <sheetData>
    <row r="1" spans="1:18" s="964" customFormat="1" ht="15" x14ac:dyDescent="0.2">
      <c r="A1" s="965"/>
      <c r="B1" s="1277"/>
      <c r="C1" s="1277"/>
    </row>
    <row r="2" spans="1:18" s="964" customFormat="1" ht="14.25" customHeight="1" x14ac:dyDescent="0.2">
      <c r="A2" s="835">
        <v>1</v>
      </c>
      <c r="B2" s="835" t="s">
        <v>24</v>
      </c>
      <c r="C2" s="835">
        <v>86</v>
      </c>
      <c r="D2" s="3615" t="s">
        <v>1394</v>
      </c>
      <c r="E2" s="3616"/>
      <c r="F2" s="3616"/>
      <c r="G2" s="3616"/>
      <c r="H2" s="3616"/>
      <c r="I2" s="3616"/>
      <c r="J2" s="3616"/>
      <c r="K2" s="3616"/>
      <c r="L2" s="3616"/>
      <c r="M2" s="3616"/>
      <c r="N2" s="3616"/>
      <c r="O2" s="3616"/>
      <c r="P2" s="3616"/>
      <c r="Q2" s="3617"/>
    </row>
    <row r="3" spans="1:18" s="964" customFormat="1" ht="14.25" customHeight="1" x14ac:dyDescent="0.2">
      <c r="A3" s="835">
        <v>2</v>
      </c>
      <c r="B3" s="835" t="s">
        <v>26</v>
      </c>
      <c r="C3" s="835"/>
      <c r="D3" s="3615" t="s">
        <v>1393</v>
      </c>
      <c r="E3" s="3616"/>
      <c r="F3" s="3616"/>
      <c r="G3" s="3616"/>
      <c r="H3" s="3616"/>
      <c r="I3" s="3616"/>
      <c r="J3" s="3616"/>
      <c r="K3" s="3616"/>
      <c r="L3" s="3616"/>
      <c r="M3" s="3616"/>
      <c r="N3" s="3616"/>
      <c r="O3" s="3616"/>
      <c r="P3" s="3616"/>
      <c r="Q3" s="3617"/>
    </row>
    <row r="4" spans="1:18" s="964" customFormat="1" ht="41.25" customHeight="1" x14ac:dyDescent="0.2">
      <c r="A4" s="835">
        <v>3</v>
      </c>
      <c r="B4" s="835" t="s">
        <v>28</v>
      </c>
      <c r="C4" s="835"/>
      <c r="D4" s="3615" t="s">
        <v>1392</v>
      </c>
      <c r="E4" s="3616"/>
      <c r="F4" s="3616"/>
      <c r="G4" s="3616"/>
      <c r="H4" s="3616"/>
      <c r="I4" s="3616"/>
      <c r="J4" s="3616"/>
      <c r="K4" s="3616"/>
      <c r="L4" s="3616"/>
      <c r="M4" s="3616"/>
      <c r="N4" s="3616"/>
      <c r="O4" s="3616"/>
      <c r="P4" s="3616"/>
      <c r="Q4" s="3617"/>
    </row>
    <row r="5" spans="1:18" ht="12.75" x14ac:dyDescent="0.2">
      <c r="C5" s="418"/>
    </row>
    <row r="6" spans="1:18" s="401" customFormat="1" ht="12.75" x14ac:dyDescent="0.2">
      <c r="A6" s="835">
        <v>4</v>
      </c>
      <c r="B6" s="418" t="s">
        <v>1</v>
      </c>
      <c r="C6" s="1222"/>
      <c r="D6" s="2951" t="s">
        <v>93</v>
      </c>
      <c r="E6" s="1098"/>
      <c r="F6" s="1098" t="s">
        <v>1391</v>
      </c>
      <c r="G6" s="1098"/>
      <c r="H6" s="1098"/>
      <c r="I6" s="1098"/>
      <c r="J6" s="1098"/>
      <c r="K6" s="1098"/>
      <c r="L6" s="1098"/>
      <c r="M6" s="1098"/>
      <c r="N6" s="1098"/>
      <c r="O6" s="1098"/>
      <c r="P6" s="1098"/>
    </row>
    <row r="7" spans="1:18" s="401" customFormat="1" ht="11.25" x14ac:dyDescent="0.2">
      <c r="A7" s="1224"/>
      <c r="B7" s="1222"/>
      <c r="C7" s="1222"/>
      <c r="D7" s="3142" t="s">
        <v>1390</v>
      </c>
      <c r="E7" s="1334"/>
      <c r="F7" s="1689">
        <v>2000</v>
      </c>
      <c r="G7" s="1689">
        <v>2001</v>
      </c>
      <c r="H7" s="1689">
        <v>2002</v>
      </c>
      <c r="I7" s="1689">
        <v>2003</v>
      </c>
      <c r="J7" s="1689">
        <v>2004</v>
      </c>
      <c r="K7" s="1689">
        <v>2005</v>
      </c>
      <c r="L7" s="1689">
        <v>2006</v>
      </c>
      <c r="M7" s="1689">
        <v>2007</v>
      </c>
      <c r="N7" s="1689">
        <v>2008</v>
      </c>
      <c r="O7" s="1689">
        <v>2009</v>
      </c>
      <c r="P7" s="3140">
        <v>2010</v>
      </c>
      <c r="Q7" s="438"/>
      <c r="R7" s="438"/>
    </row>
    <row r="8" spans="1:18" s="401" customFormat="1" ht="11.25" x14ac:dyDescent="0.2">
      <c r="A8" s="1224"/>
      <c r="B8" s="1222"/>
      <c r="C8" s="1690"/>
      <c r="D8" s="3977" t="s">
        <v>1389</v>
      </c>
      <c r="E8" s="3978"/>
      <c r="F8" s="1167">
        <v>431</v>
      </c>
      <c r="G8" s="1167">
        <v>442</v>
      </c>
      <c r="H8" s="1167">
        <v>453</v>
      </c>
      <c r="I8" s="1167">
        <v>464</v>
      </c>
      <c r="J8" s="1167">
        <v>475</v>
      </c>
      <c r="K8" s="1167">
        <v>486</v>
      </c>
      <c r="L8" s="1167">
        <v>497</v>
      </c>
      <c r="M8" s="1167">
        <v>508</v>
      </c>
      <c r="N8" s="1167">
        <v>519</v>
      </c>
      <c r="O8" s="1167">
        <v>530</v>
      </c>
      <c r="P8" s="3141">
        <v>547</v>
      </c>
    </row>
    <row r="9" spans="1:18" s="401" customFormat="1" ht="11.25" x14ac:dyDescent="0.2">
      <c r="A9" s="1224"/>
      <c r="B9" s="1222"/>
      <c r="C9" s="1690"/>
      <c r="D9" s="3977" t="s">
        <v>1388</v>
      </c>
      <c r="E9" s="3978"/>
      <c r="F9" s="1167">
        <v>398</v>
      </c>
      <c r="G9" s="1167">
        <v>398</v>
      </c>
      <c r="H9" s="1167">
        <v>398</v>
      </c>
      <c r="I9" s="1167">
        <v>398</v>
      </c>
      <c r="J9" s="1167">
        <v>398</v>
      </c>
      <c r="K9" s="1167">
        <v>398</v>
      </c>
      <c r="L9" s="1167">
        <v>398</v>
      </c>
      <c r="M9" s="1167">
        <v>398</v>
      </c>
      <c r="N9" s="1167">
        <v>398</v>
      </c>
      <c r="O9" s="1167">
        <v>398</v>
      </c>
      <c r="P9" s="3141">
        <v>398</v>
      </c>
    </row>
    <row r="10" spans="1:18" s="401" customFormat="1" ht="11.25" x14ac:dyDescent="0.2">
      <c r="A10" s="1224"/>
      <c r="B10" s="1222"/>
      <c r="C10" s="1690"/>
      <c r="D10" s="2955" t="s">
        <v>1387</v>
      </c>
      <c r="E10" s="798"/>
      <c r="F10" s="432">
        <v>425</v>
      </c>
      <c r="G10" s="432">
        <v>426</v>
      </c>
      <c r="H10" s="432">
        <v>435</v>
      </c>
      <c r="I10" s="432">
        <v>460</v>
      </c>
      <c r="J10" s="432">
        <v>482</v>
      </c>
      <c r="K10" s="432">
        <v>480</v>
      </c>
      <c r="L10" s="432">
        <v>480</v>
      </c>
      <c r="M10" s="432">
        <v>504</v>
      </c>
      <c r="N10" s="432">
        <v>493</v>
      </c>
      <c r="O10" s="432">
        <v>497</v>
      </c>
      <c r="P10" s="2787">
        <v>518</v>
      </c>
    </row>
    <row r="11" spans="1:18" s="401" customFormat="1" ht="11.25" x14ac:dyDescent="0.2">
      <c r="A11" s="1224"/>
      <c r="B11" s="1222"/>
      <c r="C11" s="1222"/>
      <c r="D11" s="3124"/>
      <c r="E11" s="1795"/>
      <c r="F11" s="1265"/>
      <c r="G11" s="1265"/>
      <c r="H11" s="1265"/>
      <c r="I11" s="1265"/>
      <c r="J11" s="436"/>
      <c r="K11" s="436"/>
      <c r="L11" s="436"/>
      <c r="M11" s="436"/>
      <c r="N11" s="436"/>
      <c r="O11" s="436"/>
      <c r="P11" s="2281"/>
    </row>
    <row r="12" spans="1:18" s="401" customFormat="1" ht="20.25" customHeight="1" x14ac:dyDescent="0.2">
      <c r="A12" s="1224"/>
      <c r="B12" s="1222"/>
      <c r="C12" s="1222"/>
      <c r="D12" s="798"/>
      <c r="E12" s="798"/>
      <c r="F12" s="1061"/>
      <c r="G12" s="1061"/>
      <c r="H12" s="1061"/>
      <c r="I12" s="1264"/>
      <c r="J12" s="432"/>
      <c r="K12" s="432"/>
      <c r="L12" s="432"/>
      <c r="M12" s="432"/>
      <c r="N12" s="432"/>
      <c r="O12" s="432"/>
      <c r="P12" s="432"/>
    </row>
    <row r="13" spans="1:18" ht="12.75" x14ac:dyDescent="0.2">
      <c r="A13" s="835">
        <v>5</v>
      </c>
      <c r="B13" s="835" t="s">
        <v>77</v>
      </c>
      <c r="D13" s="784"/>
      <c r="E13" s="784"/>
      <c r="F13" s="778"/>
      <c r="G13" s="778"/>
      <c r="H13" s="778"/>
      <c r="I13" s="778"/>
      <c r="J13" s="784"/>
      <c r="K13" s="784"/>
      <c r="L13" s="784"/>
      <c r="M13" s="784"/>
      <c r="N13" s="784"/>
      <c r="O13" s="784"/>
      <c r="P13" s="784"/>
    </row>
    <row r="19" s="428" customFormat="1" x14ac:dyDescent="0.2"/>
    <row r="20" s="428" customFormat="1" x14ac:dyDescent="0.2"/>
    <row r="21" s="428" customFormat="1" x14ac:dyDescent="0.2"/>
    <row r="22" s="428" customFormat="1" x14ac:dyDescent="0.2"/>
    <row r="23" s="428" customFormat="1" x14ac:dyDescent="0.2"/>
    <row r="24" s="428" customFormat="1" x14ac:dyDescent="0.2"/>
    <row r="25" s="428" customFormat="1" x14ac:dyDescent="0.2"/>
    <row r="26" s="428" customFormat="1" x14ac:dyDescent="0.2"/>
    <row r="27" s="428" customFormat="1" x14ac:dyDescent="0.2"/>
    <row r="28" s="428" customFormat="1" x14ac:dyDescent="0.2"/>
    <row r="29" s="428" customFormat="1" x14ac:dyDescent="0.2"/>
    <row r="30" s="428" customFormat="1" x14ac:dyDescent="0.2"/>
    <row r="44" spans="1:17" s="964" customFormat="1" ht="14.25" customHeight="1" x14ac:dyDescent="0.2">
      <c r="A44" s="835">
        <v>6</v>
      </c>
      <c r="B44" s="835" t="s">
        <v>78</v>
      </c>
      <c r="C44" s="835"/>
      <c r="D44" s="3615" t="s">
        <v>1386</v>
      </c>
      <c r="E44" s="3616"/>
      <c r="F44" s="3616"/>
      <c r="G44" s="3616"/>
      <c r="H44" s="3616"/>
      <c r="I44" s="3616"/>
      <c r="J44" s="3616"/>
      <c r="K44" s="3616"/>
      <c r="L44" s="3616"/>
      <c r="M44" s="3616"/>
      <c r="N44" s="3616"/>
      <c r="O44" s="3616"/>
      <c r="P44" s="3616"/>
      <c r="Q44" s="3617"/>
    </row>
    <row r="45" spans="1:17" s="964" customFormat="1" ht="29.25" customHeight="1" x14ac:dyDescent="0.2">
      <c r="A45" s="963">
        <v>7</v>
      </c>
      <c r="B45" s="963" t="s">
        <v>80</v>
      </c>
      <c r="C45" s="963"/>
      <c r="D45" s="3958" t="s">
        <v>1385</v>
      </c>
      <c r="E45" s="3959"/>
      <c r="F45" s="3959"/>
      <c r="G45" s="3959"/>
      <c r="H45" s="3959"/>
      <c r="I45" s="3959"/>
      <c r="J45" s="3959"/>
      <c r="K45" s="3959"/>
      <c r="L45" s="3959"/>
      <c r="M45" s="3959"/>
      <c r="N45" s="3959"/>
      <c r="O45" s="3959"/>
      <c r="P45" s="3959"/>
      <c r="Q45" s="3960"/>
    </row>
    <row r="46" spans="1:17" s="964" customFormat="1" ht="43.5" customHeight="1" x14ac:dyDescent="0.2">
      <c r="A46" s="835">
        <v>8</v>
      </c>
      <c r="B46" s="835" t="s">
        <v>20</v>
      </c>
      <c r="C46" s="835"/>
      <c r="D46" s="3615" t="s">
        <v>1384</v>
      </c>
      <c r="E46" s="3616"/>
      <c r="F46" s="3616"/>
      <c r="G46" s="3616"/>
      <c r="H46" s="3616"/>
      <c r="I46" s="3616"/>
      <c r="J46" s="3616"/>
      <c r="K46" s="3616"/>
      <c r="L46" s="3616"/>
      <c r="M46" s="3616"/>
      <c r="N46" s="3616"/>
      <c r="O46" s="3616"/>
      <c r="P46" s="3616"/>
      <c r="Q46" s="3617"/>
    </row>
  </sheetData>
  <mergeCells count="8">
    <mergeCell ref="D44:Q44"/>
    <mergeCell ref="D45:Q45"/>
    <mergeCell ref="D46:Q46"/>
    <mergeCell ref="D2:Q2"/>
    <mergeCell ref="D3:Q3"/>
    <mergeCell ref="D4:Q4"/>
    <mergeCell ref="D8:E8"/>
    <mergeCell ref="D9:E9"/>
  </mergeCells>
  <pageMargins left="0.74803149606299213" right="0.74803149606299213" top="0.98425196850393704" bottom="0.98425196850393704" header="0.51181102362204722" footer="0.51181102362204722"/>
  <pageSetup paperSize="9" scale="69" orientation="landscape" r:id="rId1"/>
  <headerFooter alignWithMargins="0">
    <oddFooter>&amp;LDRAFT&amp;CPage &amp;P of &amp;N</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47"/>
  <sheetViews>
    <sheetView showGridLines="0" view="pageBreakPreview" topLeftCell="A19" zoomScaleSheetLayoutView="100" workbookViewId="0">
      <selection activeCell="D7" sqref="D7:D11"/>
    </sheetView>
  </sheetViews>
  <sheetFormatPr defaultColWidth="9.140625" defaultRowHeight="12" x14ac:dyDescent="0.2"/>
  <cols>
    <col min="1" max="1" width="3.7109375" style="1687" customWidth="1"/>
    <col min="2" max="2" width="14.42578125" style="1688" customWidth="1"/>
    <col min="3" max="3" width="3.7109375" style="1688" customWidth="1"/>
    <col min="4" max="4" width="36.5703125" style="428" bestFit="1" customWidth="1"/>
    <col min="5" max="14" width="10.5703125" style="428" customWidth="1"/>
    <col min="15" max="16" width="4.7109375" style="428" customWidth="1"/>
    <col min="17" max="16384" width="9.140625" style="428"/>
  </cols>
  <sheetData>
    <row r="1" spans="1:15" s="964" customFormat="1" ht="15" x14ac:dyDescent="0.2">
      <c r="A1" s="965"/>
      <c r="B1" s="1277"/>
      <c r="C1" s="1277"/>
    </row>
    <row r="2" spans="1:15" s="964" customFormat="1" ht="14.25" customHeight="1" x14ac:dyDescent="0.2">
      <c r="A2" s="835">
        <v>1</v>
      </c>
      <c r="B2" s="835" t="s">
        <v>24</v>
      </c>
      <c r="C2" s="835">
        <v>87</v>
      </c>
      <c r="D2" s="3615" t="s">
        <v>1406</v>
      </c>
      <c r="E2" s="3616"/>
      <c r="F2" s="3616"/>
      <c r="G2" s="3616"/>
      <c r="H2" s="3616"/>
      <c r="I2" s="3616"/>
      <c r="J2" s="3616"/>
      <c r="K2" s="3616"/>
      <c r="L2" s="3616"/>
      <c r="M2" s="3616"/>
      <c r="N2" s="3617"/>
    </row>
    <row r="3" spans="1:15" s="964" customFormat="1" ht="14.25" customHeight="1" x14ac:dyDescent="0.2">
      <c r="A3" s="835">
        <v>2</v>
      </c>
      <c r="B3" s="835" t="s">
        <v>26</v>
      </c>
      <c r="C3" s="835"/>
      <c r="D3" s="3615" t="s">
        <v>1405</v>
      </c>
      <c r="E3" s="3616"/>
      <c r="F3" s="3616"/>
      <c r="G3" s="3616"/>
      <c r="H3" s="3616"/>
      <c r="I3" s="3616"/>
      <c r="J3" s="3616"/>
      <c r="K3" s="3616"/>
      <c r="L3" s="3616"/>
      <c r="M3" s="3616"/>
      <c r="N3" s="3617"/>
    </row>
    <row r="4" spans="1:15" s="964" customFormat="1" ht="14.25" x14ac:dyDescent="0.2">
      <c r="A4" s="835">
        <v>3</v>
      </c>
      <c r="B4" s="835" t="s">
        <v>28</v>
      </c>
      <c r="C4" s="835"/>
      <c r="D4" s="3615" t="s">
        <v>1404</v>
      </c>
      <c r="E4" s="3616"/>
      <c r="F4" s="3616"/>
      <c r="G4" s="3616"/>
      <c r="H4" s="3616"/>
      <c r="I4" s="3616"/>
      <c r="J4" s="3616"/>
      <c r="K4" s="3616"/>
      <c r="L4" s="3616"/>
      <c r="M4" s="3616"/>
      <c r="N4" s="3617"/>
    </row>
    <row r="5" spans="1:15" ht="12.75" x14ac:dyDescent="0.2">
      <c r="C5" s="418"/>
    </row>
    <row r="6" spans="1:15" s="401" customFormat="1" ht="12.75" x14ac:dyDescent="0.2">
      <c r="A6" s="835">
        <v>4</v>
      </c>
      <c r="B6" s="418" t="s">
        <v>1</v>
      </c>
      <c r="C6" s="1222"/>
      <c r="D6" s="1098" t="s">
        <v>93</v>
      </c>
      <c r="E6" s="1098" t="s">
        <v>1403</v>
      </c>
      <c r="F6" s="1098"/>
      <c r="G6" s="1098"/>
      <c r="H6" s="1098"/>
      <c r="I6" s="1098"/>
      <c r="J6" s="1098"/>
      <c r="K6" s="1098"/>
      <c r="L6" s="424"/>
      <c r="M6" s="424"/>
    </row>
    <row r="7" spans="1:15" s="401" customFormat="1" ht="11.25" x14ac:dyDescent="0.2">
      <c r="A7" s="1224"/>
      <c r="B7" s="1222"/>
      <c r="C7" s="1222"/>
      <c r="D7" s="3145" t="s">
        <v>1402</v>
      </c>
      <c r="E7" s="1689">
        <v>2007</v>
      </c>
      <c r="F7" s="1689">
        <v>2008</v>
      </c>
      <c r="G7" s="1689">
        <v>2009</v>
      </c>
      <c r="H7" s="1689">
        <v>2010</v>
      </c>
      <c r="I7" s="1689">
        <v>2011</v>
      </c>
      <c r="J7" s="1689">
        <v>2012</v>
      </c>
      <c r="K7" s="1689">
        <v>2013</v>
      </c>
      <c r="L7" s="1689">
        <v>2014</v>
      </c>
      <c r="M7" s="3140">
        <v>2015</v>
      </c>
      <c r="N7" s="438"/>
      <c r="O7" s="438"/>
    </row>
    <row r="8" spans="1:15" s="401" customFormat="1" ht="11.25" customHeight="1" x14ac:dyDescent="0.2">
      <c r="A8" s="1224"/>
      <c r="B8" s="1222"/>
      <c r="C8" s="1690"/>
      <c r="D8" s="3146" t="s">
        <v>1401</v>
      </c>
      <c r="E8" s="1264">
        <v>1.3542666666666665</v>
      </c>
      <c r="F8" s="1264">
        <v>1.2295333333333334</v>
      </c>
      <c r="G8" s="1264">
        <v>1.1886000000000001</v>
      </c>
      <c r="H8" s="1264">
        <v>1.2203999999999999</v>
      </c>
      <c r="I8" s="1264">
        <v>1.2079</v>
      </c>
      <c r="J8" s="1264">
        <v>1.2477666666666669</v>
      </c>
      <c r="K8" s="1264">
        <v>1.2061999999999999</v>
      </c>
      <c r="L8" s="1264">
        <v>1.0216000000000001</v>
      </c>
      <c r="M8" s="3143">
        <v>1.0415333333333334</v>
      </c>
    </row>
    <row r="9" spans="1:15" s="401" customFormat="1" ht="11.25" customHeight="1" x14ac:dyDescent="0.2">
      <c r="A9" s="1224"/>
      <c r="B9" s="1222"/>
      <c r="C9" s="1690"/>
      <c r="D9" s="3146" t="s">
        <v>1400</v>
      </c>
      <c r="E9" s="1264"/>
      <c r="F9" s="1264">
        <v>1.196</v>
      </c>
      <c r="G9" s="1264">
        <v>0.99328000000000005</v>
      </c>
      <c r="H9" s="1264">
        <v>1.1179999999999999</v>
      </c>
      <c r="I9" s="1264">
        <v>1.2331199999999998</v>
      </c>
      <c r="J9" s="1264">
        <v>1.0312399999999999</v>
      </c>
      <c r="K9" s="1264">
        <v>1.02532</v>
      </c>
      <c r="L9" s="1264">
        <v>0.66252</v>
      </c>
      <c r="M9" s="3143">
        <v>0.82047999999999988</v>
      </c>
    </row>
    <row r="10" spans="1:15" s="401" customFormat="1" ht="11.25" x14ac:dyDescent="0.2">
      <c r="A10" s="1224"/>
      <c r="B10" s="1222"/>
      <c r="C10" s="1690"/>
      <c r="D10" s="3123" t="s">
        <v>1399</v>
      </c>
      <c r="E10" s="1264"/>
      <c r="F10" s="1264">
        <v>0.94680000000000009</v>
      </c>
      <c r="G10" s="1264">
        <v>0.92639999999999989</v>
      </c>
      <c r="H10" s="1264">
        <v>0.96787499999999993</v>
      </c>
      <c r="I10" s="1264">
        <v>0.79594285714285706</v>
      </c>
      <c r="J10" s="1264">
        <v>0.89504444444444442</v>
      </c>
      <c r="K10" s="1264">
        <v>0.88120000000000009</v>
      </c>
      <c r="L10" s="1264">
        <v>0.84759999999999991</v>
      </c>
      <c r="M10" s="3143">
        <v>0.88885999999999998</v>
      </c>
    </row>
    <row r="11" spans="1:15" s="401" customFormat="1" ht="11.25" x14ac:dyDescent="0.2">
      <c r="A11" s="1224"/>
      <c r="B11" s="1222"/>
      <c r="C11" s="1222"/>
      <c r="D11" s="3147" t="s">
        <v>1398</v>
      </c>
      <c r="E11" s="1266">
        <v>1</v>
      </c>
      <c r="F11" s="1266">
        <v>1</v>
      </c>
      <c r="G11" s="1266">
        <v>1</v>
      </c>
      <c r="H11" s="1266">
        <v>1</v>
      </c>
      <c r="I11" s="1266">
        <v>1</v>
      </c>
      <c r="J11" s="1266">
        <v>1</v>
      </c>
      <c r="K11" s="1266">
        <v>1</v>
      </c>
      <c r="L11" s="1266">
        <v>1</v>
      </c>
      <c r="M11" s="3144">
        <v>1</v>
      </c>
    </row>
    <row r="12" spans="1:15" s="401" customFormat="1" ht="20.25" customHeight="1" x14ac:dyDescent="0.2">
      <c r="A12" s="1224"/>
      <c r="B12" s="1222"/>
      <c r="C12" s="1222"/>
      <c r="D12" s="798"/>
      <c r="E12" s="1061"/>
      <c r="F12" s="1264"/>
      <c r="G12" s="432"/>
      <c r="H12" s="432"/>
      <c r="I12" s="432"/>
      <c r="J12" s="432"/>
      <c r="K12" s="432"/>
      <c r="L12" s="432"/>
      <c r="M12" s="432"/>
    </row>
    <row r="13" spans="1:15" ht="12.75" x14ac:dyDescent="0.2">
      <c r="A13" s="835">
        <v>5</v>
      </c>
      <c r="B13" s="835" t="s">
        <v>77</v>
      </c>
      <c r="D13" s="784"/>
      <c r="E13" s="778"/>
      <c r="F13" s="778"/>
      <c r="G13" s="784"/>
      <c r="H13" s="784"/>
      <c r="I13" s="784"/>
      <c r="J13" s="784"/>
      <c r="K13" s="784"/>
      <c r="L13" s="784"/>
      <c r="M13" s="784"/>
    </row>
    <row r="19" s="428" customFormat="1" x14ac:dyDescent="0.2"/>
    <row r="20" s="428" customFormat="1" x14ac:dyDescent="0.2"/>
    <row r="21" s="428" customFormat="1" x14ac:dyDescent="0.2"/>
    <row r="22" s="428" customFormat="1" x14ac:dyDescent="0.2"/>
    <row r="23" s="428" customFormat="1" x14ac:dyDescent="0.2"/>
    <row r="24" s="428" customFormat="1" x14ac:dyDescent="0.2"/>
    <row r="25" s="428" customFormat="1" x14ac:dyDescent="0.2"/>
    <row r="26" s="428" customFormat="1" x14ac:dyDescent="0.2"/>
    <row r="27" s="428" customFormat="1" x14ac:dyDescent="0.2"/>
    <row r="28" s="428" customFormat="1" x14ac:dyDescent="0.2"/>
    <row r="29" s="428" customFormat="1" x14ac:dyDescent="0.2"/>
    <row r="30" s="428" customFormat="1" x14ac:dyDescent="0.2"/>
    <row r="44" spans="1:14" s="964" customFormat="1" ht="14.25" customHeight="1" x14ac:dyDescent="0.2">
      <c r="A44" s="835">
        <v>6</v>
      </c>
      <c r="B44" s="835" t="s">
        <v>78</v>
      </c>
      <c r="C44" s="835"/>
      <c r="D44" s="3615" t="s">
        <v>1397</v>
      </c>
      <c r="E44" s="3616"/>
      <c r="F44" s="3616"/>
      <c r="G44" s="3616"/>
      <c r="H44" s="3616"/>
      <c r="I44" s="3616"/>
      <c r="J44" s="3616"/>
      <c r="K44" s="3616"/>
      <c r="L44" s="3616"/>
      <c r="M44" s="3616"/>
      <c r="N44" s="3617"/>
    </row>
    <row r="45" spans="1:14" s="964" customFormat="1" ht="52.5" customHeight="1" x14ac:dyDescent="0.2">
      <c r="A45" s="963">
        <v>7</v>
      </c>
      <c r="B45" s="963" t="s">
        <v>80</v>
      </c>
      <c r="C45" s="963"/>
      <c r="D45" s="3958" t="s">
        <v>1396</v>
      </c>
      <c r="E45" s="3959"/>
      <c r="F45" s="3959"/>
      <c r="G45" s="3959"/>
      <c r="H45" s="3959"/>
      <c r="I45" s="3959"/>
      <c r="J45" s="3959"/>
      <c r="K45" s="3959"/>
      <c r="L45" s="3959"/>
      <c r="M45" s="3959"/>
      <c r="N45" s="3960"/>
    </row>
    <row r="46" spans="1:14" s="964" customFormat="1" ht="65.25" customHeight="1" x14ac:dyDescent="0.2">
      <c r="A46" s="835">
        <v>8</v>
      </c>
      <c r="B46" s="835" t="s">
        <v>22</v>
      </c>
      <c r="C46" s="963"/>
      <c r="D46" s="3958" t="s">
        <v>1395</v>
      </c>
      <c r="E46" s="3959"/>
      <c r="F46" s="3959"/>
      <c r="G46" s="3959"/>
      <c r="H46" s="3959"/>
      <c r="I46" s="3959"/>
      <c r="J46" s="3959"/>
      <c r="K46" s="3959"/>
      <c r="L46" s="3959"/>
      <c r="M46" s="3959"/>
      <c r="N46" s="3960"/>
    </row>
    <row r="47" spans="1:14" s="964" customFormat="1" ht="43.5" customHeight="1" x14ac:dyDescent="0.2">
      <c r="A47" s="835">
        <v>9</v>
      </c>
      <c r="B47" s="835" t="s">
        <v>20</v>
      </c>
      <c r="C47" s="835"/>
      <c r="D47" s="3615" t="s">
        <v>1384</v>
      </c>
      <c r="E47" s="3616"/>
      <c r="F47" s="3616"/>
      <c r="G47" s="3616"/>
      <c r="H47" s="3616"/>
      <c r="I47" s="3616"/>
      <c r="J47" s="3616"/>
      <c r="K47" s="3616"/>
      <c r="L47" s="3616"/>
      <c r="M47" s="3616"/>
      <c r="N47" s="3617"/>
    </row>
  </sheetData>
  <mergeCells count="7">
    <mergeCell ref="D47:N47"/>
    <mergeCell ref="D46:N46"/>
    <mergeCell ref="D2:N2"/>
    <mergeCell ref="D3:N3"/>
    <mergeCell ref="D4:N4"/>
    <mergeCell ref="D44:N44"/>
    <mergeCell ref="D45:N45"/>
  </mergeCells>
  <pageMargins left="0.74803149606299213" right="0.74803149606299213" top="0.98425196850393704" bottom="0.98425196850393704" header="0.51181102362204722" footer="0.51181102362204722"/>
  <pageSetup paperSize="9" scale="65" orientation="landscape" r:id="rId1"/>
  <headerFooter alignWithMargins="0">
    <oddFooter>&amp;LDRAFT&amp;CPage &amp;P of &amp;N</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47"/>
  <sheetViews>
    <sheetView showGridLines="0" view="pageBreakPreview" zoomScaleSheetLayoutView="100" workbookViewId="0">
      <selection activeCell="F8" sqref="F8"/>
    </sheetView>
  </sheetViews>
  <sheetFormatPr defaultColWidth="9.140625" defaultRowHeight="12" x14ac:dyDescent="0.2"/>
  <cols>
    <col min="1" max="1" width="3.7109375" style="1687" customWidth="1"/>
    <col min="2" max="2" width="14.42578125" style="1688" customWidth="1"/>
    <col min="3" max="3" width="3.7109375" style="1688" customWidth="1"/>
    <col min="4" max="4" width="36.5703125" style="428" bestFit="1" customWidth="1"/>
    <col min="5" max="14" width="10.5703125" style="428" customWidth="1"/>
    <col min="15" max="16" width="4.7109375" style="428" customWidth="1"/>
    <col min="17" max="16384" width="9.140625" style="428"/>
  </cols>
  <sheetData>
    <row r="1" spans="1:15" s="964" customFormat="1" ht="15" x14ac:dyDescent="0.2">
      <c r="A1" s="965"/>
      <c r="B1" s="1277"/>
      <c r="C1" s="1277"/>
    </row>
    <row r="2" spans="1:15" s="964" customFormat="1" ht="14.25" customHeight="1" x14ac:dyDescent="0.2">
      <c r="A2" s="835">
        <v>1</v>
      </c>
      <c r="B2" s="835" t="s">
        <v>24</v>
      </c>
      <c r="C2" s="835">
        <v>88</v>
      </c>
      <c r="D2" s="3615" t="s">
        <v>1410</v>
      </c>
      <c r="E2" s="3616"/>
      <c r="F2" s="3616"/>
      <c r="G2" s="3616"/>
      <c r="H2" s="3616"/>
      <c r="I2" s="3616"/>
      <c r="J2" s="3616"/>
      <c r="K2" s="3616"/>
      <c r="L2" s="3616"/>
      <c r="M2" s="3616"/>
      <c r="N2" s="3617"/>
    </row>
    <row r="3" spans="1:15" s="964" customFormat="1" ht="14.25" customHeight="1" x14ac:dyDescent="0.2">
      <c r="A3" s="835">
        <v>2</v>
      </c>
      <c r="B3" s="835" t="s">
        <v>26</v>
      </c>
      <c r="C3" s="835"/>
      <c r="D3" s="3615" t="s">
        <v>1416</v>
      </c>
      <c r="E3" s="3616"/>
      <c r="F3" s="3616"/>
      <c r="G3" s="3616"/>
      <c r="H3" s="3616"/>
      <c r="I3" s="3616"/>
      <c r="J3" s="3616"/>
      <c r="K3" s="3616"/>
      <c r="L3" s="3616"/>
      <c r="M3" s="3616"/>
      <c r="N3" s="3617"/>
    </row>
    <row r="4" spans="1:15" s="964" customFormat="1" ht="31.5" customHeight="1" x14ac:dyDescent="0.2">
      <c r="A4" s="835">
        <v>3</v>
      </c>
      <c r="B4" s="835" t="s">
        <v>28</v>
      </c>
      <c r="C4" s="835"/>
      <c r="D4" s="3615" t="s">
        <v>1415</v>
      </c>
      <c r="E4" s="3616"/>
      <c r="F4" s="3616"/>
      <c r="G4" s="3616"/>
      <c r="H4" s="3616"/>
      <c r="I4" s="3616"/>
      <c r="J4" s="3616"/>
      <c r="K4" s="3616"/>
      <c r="L4" s="3616"/>
      <c r="M4" s="3616"/>
      <c r="N4" s="3617"/>
    </row>
    <row r="5" spans="1:15" ht="12.75" x14ac:dyDescent="0.2">
      <c r="C5" s="418"/>
    </row>
    <row r="6" spans="1:15" s="401" customFormat="1" ht="12.75" x14ac:dyDescent="0.2">
      <c r="A6" s="835">
        <v>4</v>
      </c>
      <c r="B6" s="418" t="s">
        <v>1</v>
      </c>
      <c r="C6" s="1222"/>
      <c r="D6" s="1098" t="s">
        <v>93</v>
      </c>
      <c r="E6" s="1098" t="s">
        <v>1414</v>
      </c>
      <c r="F6" s="1098"/>
      <c r="G6" s="1098"/>
      <c r="H6" s="1098"/>
      <c r="I6" s="1098"/>
      <c r="J6" s="1098"/>
      <c r="K6" s="1098"/>
      <c r="L6" s="424"/>
      <c r="M6" s="424"/>
    </row>
    <row r="7" spans="1:15" s="401" customFormat="1" ht="11.25" x14ac:dyDescent="0.2">
      <c r="A7" s="1224"/>
      <c r="B7" s="1222"/>
      <c r="C7" s="1222"/>
      <c r="D7" s="3145" t="s">
        <v>1413</v>
      </c>
      <c r="E7" s="1689">
        <v>1960</v>
      </c>
      <c r="F7" s="1689">
        <v>1980</v>
      </c>
      <c r="G7" s="1689">
        <v>1985</v>
      </c>
      <c r="H7" s="1689">
        <v>1990</v>
      </c>
      <c r="I7" s="1689">
        <v>1995</v>
      </c>
      <c r="J7" s="1689">
        <v>2000</v>
      </c>
      <c r="K7" s="1689">
        <v>2005</v>
      </c>
      <c r="L7" s="1689">
        <v>2010</v>
      </c>
      <c r="M7" s="3140">
        <v>2015</v>
      </c>
      <c r="N7" s="438"/>
      <c r="O7" s="438"/>
    </row>
    <row r="8" spans="1:15" s="401" customFormat="1" ht="11.25" customHeight="1" x14ac:dyDescent="0.2">
      <c r="A8" s="1224"/>
      <c r="B8" s="1222"/>
      <c r="C8" s="1690"/>
      <c r="D8" s="3146" t="s">
        <v>1412</v>
      </c>
      <c r="E8" s="1436">
        <v>3.1E-2</v>
      </c>
      <c r="F8" s="1436">
        <v>4.9000000000000002E-2</v>
      </c>
      <c r="G8" s="1436">
        <v>5.3999999999999999E-2</v>
      </c>
      <c r="H8" s="1436">
        <v>5.7000000000000002E-2</v>
      </c>
      <c r="I8" s="1436">
        <v>6.2E-2</v>
      </c>
      <c r="J8" s="1436">
        <v>6.5000000000000002E-2</v>
      </c>
      <c r="K8" s="1436">
        <v>6.7000000000000004E-2</v>
      </c>
      <c r="L8" s="1436">
        <v>7.8E-2</v>
      </c>
      <c r="M8" s="3148">
        <v>8.3000000000000004E-2</v>
      </c>
    </row>
    <row r="9" spans="1:15" s="401" customFormat="1" ht="11.25" customHeight="1" x14ac:dyDescent="0.2">
      <c r="A9" s="1224"/>
      <c r="B9" s="1222"/>
      <c r="C9" s="1690"/>
      <c r="D9" s="3146" t="s">
        <v>1411</v>
      </c>
      <c r="E9" s="1436"/>
      <c r="F9" s="1436"/>
      <c r="G9" s="1436"/>
      <c r="H9" s="1436"/>
      <c r="I9" s="1436">
        <v>6.2E-2</v>
      </c>
      <c r="J9" s="1436">
        <v>6.8086956521739128E-2</v>
      </c>
      <c r="K9" s="1436">
        <v>7.4173913043478257E-2</v>
      </c>
      <c r="L9" s="1436">
        <v>8.0260869565217385E-2</v>
      </c>
      <c r="M9" s="3148">
        <v>8.6347826086956514E-2</v>
      </c>
    </row>
    <row r="10" spans="1:15" s="401" customFormat="1" ht="11.25" x14ac:dyDescent="0.2">
      <c r="A10" s="1224"/>
      <c r="B10" s="1222"/>
      <c r="C10" s="1690"/>
      <c r="D10" s="3123" t="s">
        <v>1410</v>
      </c>
      <c r="E10" s="1436">
        <v>1.9E-2</v>
      </c>
      <c r="F10" s="1436">
        <v>3.3000000000000002E-2</v>
      </c>
      <c r="G10" s="1436">
        <v>3.5999999999999997E-2</v>
      </c>
      <c r="H10" s="1436">
        <v>3.9E-2</v>
      </c>
      <c r="I10" s="1436">
        <v>4.2999999999999997E-2</v>
      </c>
      <c r="J10" s="1436">
        <v>4.5999999999999999E-2</v>
      </c>
      <c r="K10" s="1436">
        <v>4.8000000000000001E-2</v>
      </c>
      <c r="L10" s="1436">
        <v>5.1999999999999998E-2</v>
      </c>
      <c r="M10" s="3148">
        <v>5.6000000000000001E-2</v>
      </c>
    </row>
    <row r="11" spans="1:15" s="401" customFormat="1" ht="11.25" x14ac:dyDescent="0.2">
      <c r="A11" s="1224"/>
      <c r="B11" s="1222"/>
      <c r="C11" s="1222"/>
      <c r="D11" s="3124" t="s">
        <v>1409</v>
      </c>
      <c r="E11" s="1267"/>
      <c r="F11" s="1267"/>
      <c r="G11" s="1267"/>
      <c r="H11" s="1267"/>
      <c r="I11" s="1267"/>
      <c r="J11" s="1267"/>
      <c r="K11" s="1267"/>
      <c r="L11" s="1267">
        <v>5.1999999999999998E-2</v>
      </c>
      <c r="M11" s="3149">
        <v>8.5999999999999993E-2</v>
      </c>
    </row>
    <row r="12" spans="1:15" s="401" customFormat="1" ht="20.25" customHeight="1" x14ac:dyDescent="0.2">
      <c r="A12" s="1224"/>
      <c r="B12" s="1222"/>
      <c r="C12" s="1222"/>
      <c r="D12" s="798"/>
      <c r="E12" s="1061"/>
      <c r="F12" s="1264"/>
      <c r="G12" s="432"/>
      <c r="H12" s="432"/>
      <c r="I12" s="432"/>
      <c r="J12" s="432"/>
      <c r="K12" s="432"/>
      <c r="L12" s="432"/>
      <c r="M12" s="432"/>
    </row>
    <row r="13" spans="1:15" ht="12.75" x14ac:dyDescent="0.2">
      <c r="A13" s="835">
        <v>5</v>
      </c>
      <c r="B13" s="835" t="s">
        <v>77</v>
      </c>
      <c r="D13" s="784"/>
      <c r="E13" s="778"/>
      <c r="F13" s="778"/>
      <c r="G13" s="784"/>
      <c r="H13" s="784"/>
      <c r="I13" s="784"/>
      <c r="J13" s="784"/>
      <c r="K13" s="784"/>
      <c r="L13" s="784"/>
      <c r="M13" s="784"/>
    </row>
    <row r="19" s="428" customFormat="1" x14ac:dyDescent="0.2"/>
    <row r="20" s="428" customFormat="1" x14ac:dyDescent="0.2"/>
    <row r="21" s="428" customFormat="1" x14ac:dyDescent="0.2"/>
    <row r="22" s="428" customFormat="1" x14ac:dyDescent="0.2"/>
    <row r="23" s="428" customFormat="1" x14ac:dyDescent="0.2"/>
    <row r="24" s="428" customFormat="1" x14ac:dyDescent="0.2"/>
    <row r="25" s="428" customFormat="1" x14ac:dyDescent="0.2"/>
    <row r="26" s="428" customFormat="1" x14ac:dyDescent="0.2"/>
    <row r="27" s="428" customFormat="1" x14ac:dyDescent="0.2"/>
    <row r="28" s="428" customFormat="1" x14ac:dyDescent="0.2"/>
    <row r="29" s="428" customFormat="1" x14ac:dyDescent="0.2"/>
    <row r="30" s="428" customFormat="1" x14ac:dyDescent="0.2"/>
    <row r="44" spans="1:14" s="964" customFormat="1" ht="14.25" customHeight="1" x14ac:dyDescent="0.2">
      <c r="A44" s="835">
        <v>6</v>
      </c>
      <c r="B44" s="835" t="s">
        <v>78</v>
      </c>
      <c r="C44" s="835"/>
      <c r="D44" s="3615" t="s">
        <v>589</v>
      </c>
      <c r="E44" s="3616"/>
      <c r="F44" s="3616"/>
      <c r="G44" s="3616"/>
      <c r="H44" s="3616"/>
      <c r="I44" s="3616"/>
      <c r="J44" s="3616"/>
      <c r="K44" s="3616"/>
      <c r="L44" s="3616"/>
      <c r="M44" s="3616"/>
      <c r="N44" s="3617"/>
    </row>
    <row r="45" spans="1:14" s="964" customFormat="1" ht="29.25" customHeight="1" x14ac:dyDescent="0.2">
      <c r="A45" s="963">
        <v>7</v>
      </c>
      <c r="B45" s="963" t="s">
        <v>80</v>
      </c>
      <c r="C45" s="963"/>
      <c r="D45" s="3958" t="s">
        <v>1408</v>
      </c>
      <c r="E45" s="3959"/>
      <c r="F45" s="3959"/>
      <c r="G45" s="3959"/>
      <c r="H45" s="3959"/>
      <c r="I45" s="3959"/>
      <c r="J45" s="3959"/>
      <c r="K45" s="3959"/>
      <c r="L45" s="3959"/>
      <c r="M45" s="3959"/>
      <c r="N45" s="3960"/>
    </row>
    <row r="46" spans="1:14" s="964" customFormat="1" ht="53.25" customHeight="1" x14ac:dyDescent="0.2">
      <c r="A46" s="835">
        <v>8</v>
      </c>
      <c r="B46" s="835" t="s">
        <v>22</v>
      </c>
      <c r="C46" s="963"/>
      <c r="D46" s="3958" t="s">
        <v>1407</v>
      </c>
      <c r="E46" s="3959"/>
      <c r="F46" s="3959"/>
      <c r="G46" s="3959"/>
      <c r="H46" s="3959"/>
      <c r="I46" s="3959"/>
      <c r="J46" s="3959"/>
      <c r="K46" s="3959"/>
      <c r="L46" s="3959"/>
      <c r="M46" s="3959"/>
      <c r="N46" s="3960"/>
    </row>
    <row r="47" spans="1:14" s="964" customFormat="1" ht="43.5" customHeight="1" x14ac:dyDescent="0.2">
      <c r="A47" s="835">
        <v>9</v>
      </c>
      <c r="B47" s="835" t="s">
        <v>20</v>
      </c>
      <c r="C47" s="835"/>
      <c r="D47" s="3615" t="s">
        <v>1384</v>
      </c>
      <c r="E47" s="3616"/>
      <c r="F47" s="3616"/>
      <c r="G47" s="3616"/>
      <c r="H47" s="3616"/>
      <c r="I47" s="3616"/>
      <c r="J47" s="3616"/>
      <c r="K47" s="3616"/>
      <c r="L47" s="3616"/>
      <c r="M47" s="3616"/>
      <c r="N47" s="3617"/>
    </row>
  </sheetData>
  <mergeCells count="7">
    <mergeCell ref="D47:N47"/>
    <mergeCell ref="D46:N46"/>
    <mergeCell ref="D2:N2"/>
    <mergeCell ref="D3:N3"/>
    <mergeCell ref="D4:N4"/>
    <mergeCell ref="D44:N44"/>
    <mergeCell ref="D45:N45"/>
  </mergeCells>
  <pageMargins left="0.74803149606299213" right="0.74803149606299213" top="0.98425196850393704" bottom="0.98425196850393704" header="0.51181102362204722" footer="0.51181102362204722"/>
  <pageSetup paperSize="9" scale="67" orientation="landscape" r:id="rId1"/>
  <headerFooter alignWithMargins="0">
    <oddFooter>&amp;LDRAFT&amp;CPage &amp;P of &amp;N</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66"/>
  <sheetViews>
    <sheetView showGridLines="0" view="pageBreakPreview" zoomScaleSheetLayoutView="100" workbookViewId="0">
      <selection activeCell="M7" sqref="M7:M11"/>
    </sheetView>
  </sheetViews>
  <sheetFormatPr defaultColWidth="9.140625" defaultRowHeight="12" x14ac:dyDescent="0.2"/>
  <cols>
    <col min="1" max="1" width="3.7109375" style="1687" customWidth="1"/>
    <col min="2" max="2" width="14.42578125" style="1688" customWidth="1"/>
    <col min="3" max="3" width="3.7109375" style="1688" customWidth="1"/>
    <col min="4" max="4" width="36.5703125" style="428" bestFit="1" customWidth="1"/>
    <col min="5" max="14" width="10.5703125" style="428" customWidth="1"/>
    <col min="15" max="16" width="4.7109375" style="428" customWidth="1"/>
    <col min="17" max="16384" width="9.140625" style="428"/>
  </cols>
  <sheetData>
    <row r="1" spans="1:15" s="964" customFormat="1" ht="15" x14ac:dyDescent="0.2">
      <c r="A1" s="965"/>
      <c r="B1" s="1277"/>
      <c r="C1" s="1277"/>
    </row>
    <row r="2" spans="1:15" s="964" customFormat="1" ht="14.25" customHeight="1" x14ac:dyDescent="0.2">
      <c r="A2" s="835">
        <v>1</v>
      </c>
      <c r="B2" s="835" t="s">
        <v>24</v>
      </c>
      <c r="C2" s="835">
        <v>89</v>
      </c>
      <c r="D2" s="3615" t="s">
        <v>1427</v>
      </c>
      <c r="E2" s="3616"/>
      <c r="F2" s="3616"/>
      <c r="G2" s="3616"/>
      <c r="H2" s="3616"/>
      <c r="I2" s="3616"/>
      <c r="J2" s="3616"/>
      <c r="K2" s="3616"/>
      <c r="L2" s="3616"/>
      <c r="M2" s="3616"/>
      <c r="N2" s="3617"/>
    </row>
    <row r="3" spans="1:15" s="964" customFormat="1" ht="14.25" customHeight="1" x14ac:dyDescent="0.2">
      <c r="A3" s="835">
        <v>2</v>
      </c>
      <c r="B3" s="835" t="s">
        <v>26</v>
      </c>
      <c r="C3" s="835"/>
      <c r="D3" s="3615" t="s">
        <v>1416</v>
      </c>
      <c r="E3" s="3616"/>
      <c r="F3" s="3616"/>
      <c r="G3" s="3616"/>
      <c r="H3" s="3616"/>
      <c r="I3" s="3616"/>
      <c r="J3" s="3616"/>
      <c r="K3" s="3616"/>
      <c r="L3" s="3616"/>
      <c r="M3" s="3616"/>
      <c r="N3" s="3617"/>
    </row>
    <row r="4" spans="1:15" s="964" customFormat="1" ht="39" customHeight="1" x14ac:dyDescent="0.2">
      <c r="A4" s="835">
        <v>3</v>
      </c>
      <c r="B4" s="835" t="s">
        <v>28</v>
      </c>
      <c r="C4" s="835"/>
      <c r="D4" s="3615" t="s">
        <v>1426</v>
      </c>
      <c r="E4" s="3616"/>
      <c r="F4" s="3616"/>
      <c r="G4" s="3616"/>
      <c r="H4" s="3616"/>
      <c r="I4" s="3616"/>
      <c r="J4" s="3616"/>
      <c r="K4" s="3616"/>
      <c r="L4" s="3616"/>
      <c r="M4" s="3616"/>
      <c r="N4" s="3617"/>
    </row>
    <row r="5" spans="1:15" ht="12.75" x14ac:dyDescent="0.2">
      <c r="C5" s="418"/>
    </row>
    <row r="6" spans="1:15" s="401" customFormat="1" ht="12.75" x14ac:dyDescent="0.2">
      <c r="A6" s="835">
        <v>4</v>
      </c>
      <c r="B6" s="418" t="s">
        <v>1</v>
      </c>
      <c r="C6" s="1222"/>
      <c r="D6" s="1098" t="s">
        <v>93</v>
      </c>
      <c r="E6" s="1098" t="s">
        <v>1425</v>
      </c>
      <c r="F6" s="1098"/>
      <c r="G6" s="1098"/>
      <c r="H6" s="1098"/>
      <c r="I6" s="1098"/>
      <c r="J6" s="1098"/>
      <c r="K6" s="1098"/>
      <c r="L6" s="424"/>
      <c r="M6" s="424"/>
    </row>
    <row r="7" spans="1:15" s="401" customFormat="1" ht="11.25" x14ac:dyDescent="0.2">
      <c r="A7" s="1224"/>
      <c r="B7" s="1222"/>
      <c r="C7" s="1222"/>
      <c r="D7" s="3150"/>
      <c r="E7" s="1689">
        <v>1964</v>
      </c>
      <c r="F7" s="1689">
        <v>1971</v>
      </c>
      <c r="G7" s="1689">
        <v>1978</v>
      </c>
      <c r="H7" s="1689">
        <v>1978</v>
      </c>
      <c r="I7" s="1689">
        <v>1992</v>
      </c>
      <c r="J7" s="1689">
        <v>1999</v>
      </c>
      <c r="K7" s="1689">
        <v>2006</v>
      </c>
      <c r="L7" s="1689">
        <v>2013</v>
      </c>
      <c r="M7" s="3140">
        <v>2015</v>
      </c>
      <c r="N7" s="438"/>
      <c r="O7" s="438"/>
    </row>
    <row r="8" spans="1:15" s="401" customFormat="1" ht="11.25" customHeight="1" x14ac:dyDescent="0.2">
      <c r="A8" s="1224"/>
      <c r="B8" s="1222"/>
      <c r="C8" s="1690"/>
      <c r="D8" s="3151" t="s">
        <v>1420</v>
      </c>
      <c r="E8" s="769">
        <v>2.4723714487034687E-4</v>
      </c>
      <c r="F8" s="1691">
        <v>1.7422405088994713E-3</v>
      </c>
      <c r="G8" s="1691">
        <v>2.4161059795500721E-3</v>
      </c>
      <c r="H8" s="1691">
        <v>3.6992095701248017E-3</v>
      </c>
      <c r="I8" s="1691">
        <v>3.8721260944791554E-3</v>
      </c>
      <c r="J8" s="1691">
        <v>3.9773860511163987E-3</v>
      </c>
      <c r="K8" s="1691">
        <v>4.1597543276199423E-3</v>
      </c>
      <c r="L8" s="1691">
        <v>4.4206273469834627E-3</v>
      </c>
      <c r="M8" s="3152">
        <v>4.4206273469834627E-3</v>
      </c>
    </row>
    <row r="9" spans="1:15" s="401" customFormat="1" ht="11.25" customHeight="1" x14ac:dyDescent="0.2">
      <c r="A9" s="1224"/>
      <c r="B9" s="1222"/>
      <c r="C9" s="1690"/>
      <c r="D9" s="3151" t="s">
        <v>1419</v>
      </c>
      <c r="E9" s="1691">
        <v>2.4723714487034687E-4</v>
      </c>
      <c r="F9" s="1691">
        <v>6.0453132046798836E-4</v>
      </c>
      <c r="G9" s="1691">
        <v>1.0060871218976306E-3</v>
      </c>
      <c r="H9" s="1691">
        <v>1.6097637839572773E-3</v>
      </c>
      <c r="I9" s="1691">
        <v>1.6807374060387834E-3</v>
      </c>
      <c r="J9" s="1691">
        <v>1.7859973626760269E-3</v>
      </c>
      <c r="K9" s="1691">
        <v>1.8870924646683367E-3</v>
      </c>
      <c r="L9" s="1691">
        <v>1.9050963611404574E-3</v>
      </c>
      <c r="M9" s="3152">
        <v>1.9050963611404574E-3</v>
      </c>
    </row>
    <row r="10" spans="1:15" s="401" customFormat="1" ht="11.25" customHeight="1" x14ac:dyDescent="0.2">
      <c r="A10" s="1224"/>
      <c r="B10" s="1222"/>
      <c r="C10" s="1690"/>
      <c r="D10" s="3151" t="s">
        <v>1418</v>
      </c>
      <c r="E10" s="1691">
        <v>0</v>
      </c>
      <c r="F10" s="1691">
        <v>1.1377091884314829E-3</v>
      </c>
      <c r="G10" s="1691">
        <v>1.4100188576524411E-3</v>
      </c>
      <c r="H10" s="1691">
        <v>2.0894457861675244E-3</v>
      </c>
      <c r="I10" s="1691">
        <v>2.1913886884403727E-3</v>
      </c>
      <c r="J10" s="1691">
        <v>2.1913886884403727E-3</v>
      </c>
      <c r="K10" s="1691">
        <v>2.272661862951606E-3</v>
      </c>
      <c r="L10" s="1691">
        <v>2.5155309858430051E-3</v>
      </c>
      <c r="M10" s="3152">
        <v>2.5155309858430051E-3</v>
      </c>
    </row>
    <row r="11" spans="1:15" s="401" customFormat="1" ht="11.25" x14ac:dyDescent="0.2">
      <c r="A11" s="1224"/>
      <c r="B11" s="1222"/>
      <c r="C11" s="1222"/>
      <c r="D11" s="3124"/>
      <c r="E11" s="1267"/>
      <c r="F11" s="1267"/>
      <c r="G11" s="1267"/>
      <c r="H11" s="1267"/>
      <c r="I11" s="1267"/>
      <c r="J11" s="1267"/>
      <c r="K11" s="1267"/>
      <c r="L11" s="1267"/>
      <c r="M11" s="3149"/>
    </row>
    <row r="12" spans="1:15" s="401" customFormat="1" ht="20.25" customHeight="1" x14ac:dyDescent="0.2">
      <c r="A12" s="1224"/>
      <c r="B12" s="1222"/>
      <c r="C12" s="1222"/>
      <c r="D12" s="798"/>
      <c r="E12" s="1061"/>
      <c r="F12" s="1264"/>
      <c r="G12" s="432"/>
      <c r="H12" s="432"/>
      <c r="I12" s="432"/>
      <c r="J12" s="432"/>
      <c r="K12" s="432"/>
      <c r="L12" s="432"/>
      <c r="M12" s="432"/>
    </row>
    <row r="13" spans="1:15" ht="12.75" x14ac:dyDescent="0.2">
      <c r="A13" s="835">
        <v>5</v>
      </c>
      <c r="B13" s="835" t="s">
        <v>77</v>
      </c>
      <c r="D13" s="784"/>
      <c r="E13" s="778"/>
      <c r="F13" s="778"/>
      <c r="G13" s="784"/>
      <c r="H13" s="784"/>
      <c r="I13" s="784"/>
      <c r="J13" s="784"/>
      <c r="K13" s="784"/>
      <c r="L13" s="784"/>
      <c r="M13" s="784"/>
    </row>
    <row r="19" spans="1:3" x14ac:dyDescent="0.2">
      <c r="A19" s="428"/>
      <c r="B19" s="428"/>
      <c r="C19" s="428"/>
    </row>
    <row r="20" spans="1:3" x14ac:dyDescent="0.2">
      <c r="A20" s="428"/>
      <c r="B20" s="428"/>
      <c r="C20" s="428"/>
    </row>
    <row r="21" spans="1:3" x14ac:dyDescent="0.2">
      <c r="A21" s="428"/>
      <c r="B21" s="428"/>
      <c r="C21" s="428"/>
    </row>
    <row r="22" spans="1:3" x14ac:dyDescent="0.2">
      <c r="A22" s="428"/>
      <c r="B22" s="428"/>
      <c r="C22" s="428"/>
    </row>
    <row r="23" spans="1:3" x14ac:dyDescent="0.2">
      <c r="A23" s="428"/>
      <c r="B23" s="428"/>
      <c r="C23" s="428"/>
    </row>
    <row r="24" spans="1:3" x14ac:dyDescent="0.2">
      <c r="A24" s="428"/>
      <c r="B24" s="428"/>
      <c r="C24" s="428"/>
    </row>
    <row r="25" spans="1:3" x14ac:dyDescent="0.2">
      <c r="A25" s="428"/>
      <c r="B25" s="428"/>
      <c r="C25" s="428"/>
    </row>
    <row r="26" spans="1:3" x14ac:dyDescent="0.2">
      <c r="A26" s="428"/>
      <c r="B26" s="428"/>
      <c r="C26" s="428"/>
    </row>
    <row r="27" spans="1:3" x14ac:dyDescent="0.2">
      <c r="A27" s="428"/>
      <c r="B27" s="428"/>
      <c r="C27" s="428"/>
    </row>
    <row r="28" spans="1:3" x14ac:dyDescent="0.2">
      <c r="A28" s="428"/>
      <c r="B28" s="428"/>
      <c r="C28" s="428"/>
    </row>
    <row r="29" spans="1:3" x14ac:dyDescent="0.2">
      <c r="A29" s="428"/>
      <c r="B29" s="428"/>
      <c r="C29" s="428"/>
    </row>
    <row r="30" spans="1:3" x14ac:dyDescent="0.2">
      <c r="A30" s="428"/>
      <c r="B30" s="428"/>
      <c r="C30" s="428"/>
    </row>
    <row r="44" spans="1:14" s="964" customFormat="1" ht="14.25" customHeight="1" x14ac:dyDescent="0.2">
      <c r="A44" s="835">
        <v>6</v>
      </c>
      <c r="B44" s="835" t="s">
        <v>78</v>
      </c>
      <c r="C44" s="835"/>
      <c r="D44" s="3615" t="s">
        <v>589</v>
      </c>
      <c r="E44" s="3616"/>
      <c r="F44" s="3616"/>
      <c r="G44" s="3616"/>
      <c r="H44" s="3616"/>
      <c r="I44" s="3616"/>
      <c r="J44" s="3616"/>
      <c r="K44" s="3616"/>
      <c r="L44" s="3616"/>
      <c r="M44" s="3616"/>
      <c r="N44" s="3617"/>
    </row>
    <row r="45" spans="1:14" s="964" customFormat="1" ht="29.25" customHeight="1" x14ac:dyDescent="0.2">
      <c r="A45" s="963">
        <v>7</v>
      </c>
      <c r="B45" s="963" t="s">
        <v>80</v>
      </c>
      <c r="C45" s="963"/>
      <c r="D45" s="3958" t="s">
        <v>1424</v>
      </c>
      <c r="E45" s="3959"/>
      <c r="F45" s="3959"/>
      <c r="G45" s="3959"/>
      <c r="H45" s="3959"/>
      <c r="I45" s="3959"/>
      <c r="J45" s="3959"/>
      <c r="K45" s="3959"/>
      <c r="L45" s="3959"/>
      <c r="M45" s="3959"/>
      <c r="N45" s="3960"/>
    </row>
    <row r="46" spans="1:14" s="964" customFormat="1" ht="29.25" customHeight="1" x14ac:dyDescent="0.2">
      <c r="A46" s="835">
        <v>8</v>
      </c>
      <c r="B46" s="835" t="s">
        <v>22</v>
      </c>
      <c r="C46" s="963"/>
      <c r="D46" s="3958" t="s">
        <v>1423</v>
      </c>
      <c r="E46" s="3959"/>
      <c r="F46" s="3959"/>
      <c r="G46" s="3959"/>
      <c r="H46" s="3959"/>
      <c r="I46" s="3959"/>
      <c r="J46" s="3959"/>
      <c r="K46" s="3959"/>
      <c r="L46" s="3959"/>
      <c r="M46" s="3959"/>
      <c r="N46" s="3960"/>
    </row>
    <row r="47" spans="1:14" s="964" customFormat="1" ht="30" customHeight="1" x14ac:dyDescent="0.2">
      <c r="A47" s="835">
        <v>9</v>
      </c>
      <c r="B47" s="835" t="s">
        <v>20</v>
      </c>
      <c r="C47" s="835"/>
      <c r="D47" s="3615" t="s">
        <v>1422</v>
      </c>
      <c r="E47" s="3616"/>
      <c r="F47" s="3616"/>
      <c r="G47" s="3616"/>
      <c r="H47" s="3616"/>
      <c r="I47" s="3616"/>
      <c r="J47" s="3616"/>
      <c r="K47" s="3616"/>
      <c r="L47" s="3616"/>
      <c r="M47" s="3616"/>
      <c r="N47" s="3617"/>
    </row>
    <row r="50" spans="4:22" x14ac:dyDescent="0.2">
      <c r="D50" s="1692" t="s">
        <v>1421</v>
      </c>
      <c r="E50" s="1692">
        <v>1964</v>
      </c>
      <c r="F50" s="1692">
        <v>1975</v>
      </c>
      <c r="G50" s="1692">
        <v>1976</v>
      </c>
      <c r="H50" s="1692">
        <v>1977</v>
      </c>
      <c r="I50" s="1692">
        <v>1979</v>
      </c>
      <c r="J50" s="1692">
        <v>1985</v>
      </c>
      <c r="K50" s="1692">
        <v>1987</v>
      </c>
      <c r="L50" s="1692">
        <v>1990</v>
      </c>
      <c r="M50" s="1692">
        <v>1991</v>
      </c>
      <c r="N50" s="1692">
        <v>2000</v>
      </c>
      <c r="O50" s="1692">
        <v>2001</v>
      </c>
      <c r="P50" s="1692">
        <v>2004</v>
      </c>
      <c r="Q50" s="1692">
        <v>2008</v>
      </c>
      <c r="R50" s="1692">
        <v>2011</v>
      </c>
      <c r="S50" s="1692">
        <v>2013</v>
      </c>
      <c r="T50" s="1692">
        <v>2014</v>
      </c>
      <c r="U50" s="1692">
        <v>2015</v>
      </c>
      <c r="V50" s="1692"/>
    </row>
    <row r="51" spans="4:22" x14ac:dyDescent="0.2">
      <c r="D51" s="1692"/>
      <c r="E51" s="1692"/>
      <c r="F51" s="1692"/>
      <c r="G51" s="1692"/>
      <c r="H51" s="1692"/>
      <c r="I51" s="1692"/>
      <c r="J51" s="1692"/>
      <c r="K51" s="1692"/>
      <c r="L51" s="1692"/>
      <c r="M51" s="1692"/>
      <c r="N51" s="1692"/>
      <c r="O51" s="1692"/>
      <c r="P51" s="1692"/>
      <c r="Q51" s="1692"/>
      <c r="R51" s="1692"/>
      <c r="S51" s="1692"/>
      <c r="T51" s="1692"/>
      <c r="U51" s="1692"/>
      <c r="V51" s="1692"/>
    </row>
    <row r="52" spans="4:22" x14ac:dyDescent="0.2">
      <c r="D52" s="1692" t="s">
        <v>1420</v>
      </c>
      <c r="E52" s="1693">
        <v>2.4723714487034687E-4</v>
      </c>
      <c r="F52" s="1693">
        <v>4.2643368932465827E-4</v>
      </c>
      <c r="G52" s="1693">
        <v>8.4003503456200716E-4</v>
      </c>
      <c r="H52" s="1693">
        <v>1.7344817196130852E-3</v>
      </c>
      <c r="I52" s="1693">
        <v>1.7422405088994713E-3</v>
      </c>
      <c r="J52" s="1693">
        <v>2.0562752009761769E-3</v>
      </c>
      <c r="K52" s="1693">
        <v>2.4161059795500721E-3</v>
      </c>
      <c r="L52" s="1693">
        <v>2.5033154635856719E-3</v>
      </c>
      <c r="M52" s="1693">
        <v>3.6992095701248017E-3</v>
      </c>
      <c r="N52" s="1693">
        <v>3.8721260944791554E-3</v>
      </c>
      <c r="O52" s="1693">
        <v>3.9773860511163987E-3</v>
      </c>
      <c r="P52" s="1693">
        <v>4.1597543276199423E-3</v>
      </c>
      <c r="Q52" s="1693">
        <v>4.1887928703169116E-3</v>
      </c>
      <c r="R52" s="1693">
        <v>4.4206273469834627E-3</v>
      </c>
      <c r="S52" s="1693">
        <v>4.4206273469834627E-3</v>
      </c>
      <c r="T52" s="1693">
        <v>4.4206273469834627E-3</v>
      </c>
      <c r="U52" s="1693">
        <v>4.4206273469834627E-3</v>
      </c>
      <c r="V52" s="1692"/>
    </row>
    <row r="53" spans="4:22" x14ac:dyDescent="0.2">
      <c r="D53" s="1692" t="s">
        <v>1419</v>
      </c>
      <c r="E53" s="1693">
        <v>2.4723714487034687E-4</v>
      </c>
      <c r="F53" s="1693">
        <v>4.2643368932465827E-4</v>
      </c>
      <c r="G53" s="1693">
        <v>5.5175489693157491E-4</v>
      </c>
      <c r="H53" s="1693">
        <v>6.0453132046798836E-4</v>
      </c>
      <c r="I53" s="1693">
        <v>6.0453132046798836E-4</v>
      </c>
      <c r="J53" s="1693">
        <v>8.8446431873965409E-4</v>
      </c>
      <c r="K53" s="1693">
        <v>1.0060871218976306E-3</v>
      </c>
      <c r="L53" s="1693">
        <v>1.018166840498232E-3</v>
      </c>
      <c r="M53" s="1693">
        <v>1.6097637839572773E-3</v>
      </c>
      <c r="N53" s="1693">
        <v>1.6807374060387834E-3</v>
      </c>
      <c r="O53" s="1693">
        <v>1.7859973626760269E-3</v>
      </c>
      <c r="P53" s="1693">
        <v>1.8870924646683367E-3</v>
      </c>
      <c r="Q53" s="1693">
        <v>1.9050963611404574E-3</v>
      </c>
      <c r="R53" s="1693">
        <v>1.9050963611404574E-3</v>
      </c>
      <c r="S53" s="1693">
        <v>1.9050963611404574E-3</v>
      </c>
      <c r="T53" s="1693">
        <v>1.9050963611404574E-3</v>
      </c>
      <c r="U53" s="1693">
        <v>1.9050963611404574E-3</v>
      </c>
      <c r="V53" s="1692"/>
    </row>
    <row r="54" spans="4:22" x14ac:dyDescent="0.2">
      <c r="D54" s="1692" t="s">
        <v>1418</v>
      </c>
      <c r="E54" s="1693">
        <v>0</v>
      </c>
      <c r="F54" s="1693">
        <v>0</v>
      </c>
      <c r="G54" s="1693">
        <v>2.8828013763043214E-4</v>
      </c>
      <c r="H54" s="1693">
        <v>1.1299503991450968E-3</v>
      </c>
      <c r="I54" s="1693">
        <v>1.1377091884314829E-3</v>
      </c>
      <c r="J54" s="1693">
        <v>1.1718108822365227E-3</v>
      </c>
      <c r="K54" s="1693">
        <v>1.4100188576524411E-3</v>
      </c>
      <c r="L54" s="1693">
        <v>1.4851486230874397E-3</v>
      </c>
      <c r="M54" s="1693">
        <v>2.0894457861675244E-3</v>
      </c>
      <c r="N54" s="1693">
        <v>2.1913886884403727E-3</v>
      </c>
      <c r="O54" s="1693">
        <v>2.1913886884403727E-3</v>
      </c>
      <c r="P54" s="1693">
        <v>2.272661862951606E-3</v>
      </c>
      <c r="Q54" s="1693">
        <v>2.283696509176454E-3</v>
      </c>
      <c r="R54" s="1693">
        <v>2.5155309858430051E-3</v>
      </c>
      <c r="S54" s="1693">
        <v>2.5155309858430051E-3</v>
      </c>
      <c r="T54" s="1693">
        <v>2.5155309858430051E-3</v>
      </c>
      <c r="U54" s="1693">
        <v>2.5155309858430051E-3</v>
      </c>
      <c r="V54" s="1692"/>
    </row>
    <row r="55" spans="4:22" x14ac:dyDescent="0.2">
      <c r="D55" s="1692" t="s">
        <v>1417</v>
      </c>
      <c r="E55" s="1693"/>
      <c r="F55" s="1693"/>
      <c r="G55" s="1693"/>
      <c r="H55" s="1693"/>
      <c r="I55" s="1693"/>
      <c r="J55" s="1693"/>
      <c r="K55" s="1693"/>
      <c r="L55" s="1693"/>
      <c r="M55" s="1693"/>
      <c r="N55" s="1693"/>
      <c r="O55" s="1693"/>
      <c r="P55" s="1693"/>
      <c r="Q55" s="1693"/>
      <c r="R55" s="1693"/>
      <c r="S55" s="1693">
        <v>4.0120674602469077E-3</v>
      </c>
      <c r="T55" s="1693">
        <v>8.3584738755143918E-3</v>
      </c>
      <c r="U55" s="1693">
        <v>1.2704880290781876E-2</v>
      </c>
      <c r="V55" s="1692"/>
    </row>
    <row r="56" spans="4:22" x14ac:dyDescent="0.2">
      <c r="D56" s="1692"/>
      <c r="E56" s="1692"/>
      <c r="F56" s="1692"/>
      <c r="G56" s="1692"/>
      <c r="H56" s="1692"/>
      <c r="I56" s="1692"/>
      <c r="J56" s="1692"/>
      <c r="K56" s="1692"/>
      <c r="L56" s="1692"/>
      <c r="M56" s="1692"/>
      <c r="N56" s="1692"/>
      <c r="O56" s="1692"/>
      <c r="P56" s="1692"/>
      <c r="Q56" s="1692"/>
      <c r="R56" s="1692"/>
      <c r="S56" s="1692"/>
      <c r="T56" s="1692"/>
      <c r="U56" s="1692"/>
      <c r="V56" s="1692"/>
    </row>
    <row r="57" spans="4:22" x14ac:dyDescent="0.2">
      <c r="D57" s="1692"/>
      <c r="E57" s="1692"/>
      <c r="F57" s="1692"/>
      <c r="G57" s="1692"/>
      <c r="H57" s="1692"/>
      <c r="I57" s="1692"/>
      <c r="J57" s="1692"/>
      <c r="K57" s="1692"/>
      <c r="L57" s="1692"/>
      <c r="M57" s="1692"/>
      <c r="N57" s="1692"/>
      <c r="O57" s="1692"/>
      <c r="P57" s="1692"/>
      <c r="Q57" s="1692"/>
      <c r="R57" s="1692"/>
      <c r="S57" s="1692"/>
      <c r="T57" s="1692"/>
      <c r="U57" s="1692"/>
      <c r="V57" s="1692"/>
    </row>
    <row r="58" spans="4:22" x14ac:dyDescent="0.2">
      <c r="D58" s="1692"/>
      <c r="E58" s="1692"/>
      <c r="F58" s="1692"/>
      <c r="G58" s="1692"/>
      <c r="H58" s="1692"/>
      <c r="I58" s="1692"/>
      <c r="J58" s="1692"/>
      <c r="K58" s="1692"/>
      <c r="L58" s="1692"/>
      <c r="M58" s="1692"/>
      <c r="N58" s="1692"/>
      <c r="O58" s="1692"/>
      <c r="P58" s="1692"/>
      <c r="Q58" s="1692"/>
      <c r="R58" s="1692"/>
      <c r="S58" s="1692"/>
      <c r="T58" s="1692"/>
      <c r="U58" s="1692"/>
      <c r="V58" s="1692"/>
    </row>
    <row r="59" spans="4:22" x14ac:dyDescent="0.2">
      <c r="D59" s="1692"/>
      <c r="E59" s="1692"/>
      <c r="F59" s="1692"/>
      <c r="G59" s="1692"/>
      <c r="H59" s="1692"/>
      <c r="I59" s="1692"/>
      <c r="J59" s="1692"/>
      <c r="K59" s="1692"/>
      <c r="L59" s="1692"/>
      <c r="M59" s="1692"/>
      <c r="N59" s="1692"/>
      <c r="O59" s="1692"/>
      <c r="P59" s="1692"/>
      <c r="Q59" s="1692"/>
      <c r="R59" s="1692"/>
      <c r="S59" s="1692"/>
      <c r="T59" s="1692"/>
      <c r="U59" s="1692"/>
      <c r="V59" s="1692"/>
    </row>
    <row r="60" spans="4:22" x14ac:dyDescent="0.2">
      <c r="D60" s="1692"/>
      <c r="E60" s="1692"/>
      <c r="F60" s="1692"/>
      <c r="G60" s="1692"/>
      <c r="H60" s="1692"/>
      <c r="I60" s="1692"/>
      <c r="J60" s="1692"/>
      <c r="K60" s="1692"/>
      <c r="L60" s="1692"/>
      <c r="M60" s="1692"/>
      <c r="N60" s="1692"/>
      <c r="O60" s="1692"/>
      <c r="P60" s="1692"/>
      <c r="Q60" s="1692"/>
      <c r="R60" s="1692"/>
      <c r="S60" s="1692"/>
      <c r="T60" s="1692"/>
      <c r="U60" s="1692"/>
      <c r="V60" s="1692"/>
    </row>
    <row r="61" spans="4:22" x14ac:dyDescent="0.2">
      <c r="D61" s="1692"/>
      <c r="E61" s="1692"/>
      <c r="F61" s="1692"/>
      <c r="G61" s="1692"/>
      <c r="H61" s="1692"/>
      <c r="I61" s="1692"/>
      <c r="J61" s="1692"/>
      <c r="K61" s="1692"/>
      <c r="L61" s="1692"/>
      <c r="M61" s="1692"/>
      <c r="N61" s="1692"/>
      <c r="O61" s="1692"/>
      <c r="P61" s="1692"/>
      <c r="Q61" s="1692"/>
      <c r="R61" s="1692"/>
      <c r="S61" s="1692"/>
      <c r="T61" s="1692"/>
      <c r="U61" s="1692"/>
      <c r="V61" s="1692"/>
    </row>
    <row r="62" spans="4:22" x14ac:dyDescent="0.2">
      <c r="D62" s="1692"/>
      <c r="E62" s="1692"/>
      <c r="F62" s="1692"/>
      <c r="G62" s="1692"/>
      <c r="H62" s="1692"/>
      <c r="I62" s="1692"/>
      <c r="J62" s="1692"/>
      <c r="K62" s="1692"/>
      <c r="L62" s="1692"/>
      <c r="M62" s="1692"/>
      <c r="N62" s="1692"/>
      <c r="O62" s="1692"/>
      <c r="P62" s="1692"/>
      <c r="Q62" s="1692"/>
      <c r="R62" s="1692"/>
      <c r="S62" s="1692"/>
      <c r="T62" s="1692"/>
      <c r="U62" s="1692"/>
      <c r="V62" s="1692"/>
    </row>
    <row r="63" spans="4:22" x14ac:dyDescent="0.2">
      <c r="D63" s="1694"/>
      <c r="E63" s="1694"/>
      <c r="F63" s="1694"/>
      <c r="G63" s="1694"/>
      <c r="H63" s="1694"/>
      <c r="I63" s="1694"/>
      <c r="J63" s="1694"/>
      <c r="K63" s="1694"/>
      <c r="L63" s="1694"/>
      <c r="M63" s="1694"/>
      <c r="N63" s="1694"/>
      <c r="O63" s="1694"/>
      <c r="P63" s="1694"/>
      <c r="Q63" s="1694"/>
      <c r="R63" s="1694"/>
      <c r="S63" s="1694"/>
      <c r="T63" s="1694"/>
      <c r="U63" s="1694"/>
      <c r="V63" s="1694"/>
    </row>
    <row r="64" spans="4:22" x14ac:dyDescent="0.2">
      <c r="D64" s="1694"/>
      <c r="E64" s="1694"/>
      <c r="F64" s="1694"/>
      <c r="G64" s="1694"/>
      <c r="H64" s="1694"/>
      <c r="I64" s="1694"/>
      <c r="J64" s="1694"/>
      <c r="K64" s="1694"/>
      <c r="L64" s="1694"/>
      <c r="M64" s="1694"/>
      <c r="N64" s="1694"/>
      <c r="O64" s="1694"/>
      <c r="P64" s="1694"/>
      <c r="Q64" s="1694"/>
      <c r="R64" s="1694"/>
      <c r="S64" s="1694"/>
      <c r="T64" s="1694"/>
      <c r="U64" s="1694"/>
      <c r="V64" s="1694"/>
    </row>
    <row r="65" spans="4:22" x14ac:dyDescent="0.2">
      <c r="D65" s="1694"/>
      <c r="E65" s="1694"/>
      <c r="F65" s="1694"/>
      <c r="G65" s="1694"/>
      <c r="H65" s="1694"/>
      <c r="I65" s="1694"/>
      <c r="J65" s="1694"/>
      <c r="K65" s="1694"/>
      <c r="L65" s="1694"/>
      <c r="M65" s="1694"/>
      <c r="N65" s="1694"/>
      <c r="O65" s="1694"/>
      <c r="P65" s="1694"/>
      <c r="Q65" s="1694"/>
      <c r="R65" s="1694"/>
      <c r="S65" s="1694"/>
      <c r="T65" s="1694"/>
      <c r="U65" s="1694"/>
      <c r="V65" s="1694"/>
    </row>
    <row r="66" spans="4:22" x14ac:dyDescent="0.2">
      <c r="F66" s="1695"/>
    </row>
  </sheetData>
  <mergeCells count="7">
    <mergeCell ref="D46:N46"/>
    <mergeCell ref="D47:N47"/>
    <mergeCell ref="D2:N2"/>
    <mergeCell ref="D3:N3"/>
    <mergeCell ref="D4:N4"/>
    <mergeCell ref="D44:N44"/>
    <mergeCell ref="D45:N45"/>
  </mergeCells>
  <pageMargins left="0.74803149606299213" right="0.74803149606299213" top="0.98425196850393704" bottom="0.98425196850393704" header="0.51181102362204722" footer="0.51181102362204722"/>
  <pageSetup paperSize="9" scale="70" orientation="landscape" r:id="rId1"/>
  <headerFooter alignWithMargins="0">
    <oddFooter>&amp;LDRAFT&amp;CPage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I70"/>
  <sheetViews>
    <sheetView showGridLines="0" view="pageBreakPreview" zoomScaleNormal="100" zoomScaleSheetLayoutView="100" workbookViewId="0">
      <selection activeCell="Z7" sqref="Z7:Z8"/>
    </sheetView>
  </sheetViews>
  <sheetFormatPr defaultColWidth="9.140625" defaultRowHeight="15" x14ac:dyDescent="0.25"/>
  <cols>
    <col min="1" max="1" width="3.7109375" style="113" customWidth="1"/>
    <col min="2" max="2" width="14.42578125" style="110" customWidth="1"/>
    <col min="3" max="3" width="3.7109375" style="111" customWidth="1"/>
    <col min="4" max="4" width="18.28515625" style="51" customWidth="1"/>
    <col min="5" max="24" width="5.42578125" style="51" customWidth="1"/>
    <col min="25" max="25" width="5.7109375" style="51" customWidth="1"/>
    <col min="26" max="95" width="4.85546875" style="51" customWidth="1"/>
    <col min="96" max="16384" width="9.140625" style="51"/>
  </cols>
  <sheetData>
    <row r="1" spans="1:27" x14ac:dyDescent="0.25">
      <c r="D1" s="112"/>
      <c r="E1" s="112"/>
      <c r="F1" s="112"/>
      <c r="G1" s="112"/>
      <c r="H1" s="112"/>
      <c r="I1" s="112"/>
      <c r="J1" s="112"/>
      <c r="K1" s="112"/>
      <c r="L1" s="112"/>
      <c r="M1" s="112"/>
      <c r="N1" s="112"/>
      <c r="O1" s="112"/>
      <c r="P1" s="112"/>
      <c r="Q1" s="112"/>
      <c r="R1" s="112"/>
      <c r="S1" s="112"/>
      <c r="T1" s="112"/>
    </row>
    <row r="2" spans="1:27" ht="15" customHeight="1" x14ac:dyDescent="0.25">
      <c r="A2" s="113">
        <v>1</v>
      </c>
      <c r="B2" s="114" t="s">
        <v>24</v>
      </c>
      <c r="C2" s="113">
        <f>1+[4]Interest!C2</f>
        <v>8</v>
      </c>
      <c r="D2" s="3544" t="s">
        <v>178</v>
      </c>
      <c r="E2" s="3545"/>
      <c r="F2" s="3545"/>
      <c r="G2" s="3545"/>
      <c r="H2" s="3545"/>
      <c r="I2" s="3545"/>
      <c r="J2" s="3545"/>
      <c r="K2" s="3545"/>
      <c r="L2" s="3545"/>
      <c r="M2" s="3545"/>
      <c r="N2" s="3545"/>
      <c r="O2" s="3545"/>
      <c r="P2" s="3545"/>
      <c r="Q2" s="3545"/>
      <c r="R2" s="3545"/>
      <c r="S2" s="3545"/>
      <c r="T2" s="3545"/>
      <c r="U2" s="3545"/>
      <c r="V2" s="3545"/>
      <c r="W2" s="3545"/>
      <c r="X2" s="3545"/>
      <c r="Y2" s="3545"/>
      <c r="Z2" s="3546"/>
      <c r="AA2" s="59"/>
    </row>
    <row r="3" spans="1:27" ht="15" customHeight="1" x14ac:dyDescent="0.25">
      <c r="A3" s="113">
        <v>2</v>
      </c>
      <c r="B3" s="114" t="s">
        <v>26</v>
      </c>
      <c r="C3" s="113"/>
      <c r="D3" s="3562" t="s">
        <v>160</v>
      </c>
      <c r="E3" s="3563"/>
      <c r="F3" s="3563"/>
      <c r="G3" s="3563"/>
      <c r="H3" s="3563"/>
      <c r="I3" s="3563"/>
      <c r="J3" s="3563"/>
      <c r="K3" s="3563"/>
      <c r="L3" s="3563"/>
      <c r="M3" s="3563"/>
      <c r="N3" s="3563"/>
      <c r="O3" s="3563"/>
      <c r="P3" s="3563"/>
      <c r="Q3" s="3563"/>
      <c r="R3" s="3563"/>
      <c r="S3" s="3563"/>
      <c r="T3" s="3563"/>
      <c r="U3" s="3563"/>
      <c r="V3" s="3563"/>
      <c r="W3" s="3563"/>
      <c r="X3" s="3563"/>
      <c r="Y3" s="3563"/>
      <c r="Z3" s="3564"/>
    </row>
    <row r="4" spans="1:27" ht="15" customHeight="1" x14ac:dyDescent="0.25">
      <c r="A4" s="113">
        <v>3</v>
      </c>
      <c r="B4" s="114" t="s">
        <v>28</v>
      </c>
      <c r="C4" s="113"/>
      <c r="D4" s="3562" t="s">
        <v>179</v>
      </c>
      <c r="E4" s="3563"/>
      <c r="F4" s="3563"/>
      <c r="G4" s="3563"/>
      <c r="H4" s="3563"/>
      <c r="I4" s="3563"/>
      <c r="J4" s="3563"/>
      <c r="K4" s="3563"/>
      <c r="L4" s="3563"/>
      <c r="M4" s="3563"/>
      <c r="N4" s="3563"/>
      <c r="O4" s="3563"/>
      <c r="P4" s="3563"/>
      <c r="Q4" s="3563"/>
      <c r="R4" s="3563"/>
      <c r="S4" s="3563"/>
      <c r="T4" s="3563"/>
      <c r="U4" s="3563"/>
      <c r="V4" s="3563"/>
      <c r="W4" s="3563"/>
      <c r="X4" s="3563"/>
      <c r="Y4" s="3563"/>
      <c r="Z4" s="3564"/>
    </row>
    <row r="5" spans="1:27" x14ac:dyDescent="0.25">
      <c r="C5" s="115"/>
      <c r="D5" s="116"/>
      <c r="E5" s="112"/>
      <c r="F5" s="112"/>
      <c r="G5" s="112"/>
      <c r="H5" s="112"/>
      <c r="I5" s="112"/>
      <c r="J5" s="2743"/>
      <c r="K5" s="112"/>
      <c r="L5" s="112"/>
      <c r="M5" s="112"/>
      <c r="N5" s="112"/>
      <c r="O5" s="112"/>
      <c r="P5" s="112"/>
      <c r="Q5" s="112"/>
      <c r="R5" s="112"/>
      <c r="S5" s="112"/>
      <c r="T5" s="112"/>
    </row>
    <row r="6" spans="1:27" x14ac:dyDescent="0.25">
      <c r="A6" s="113">
        <v>4</v>
      </c>
      <c r="B6" s="118" t="s">
        <v>1</v>
      </c>
      <c r="D6" s="120" t="s">
        <v>103</v>
      </c>
      <c r="E6" s="119" t="s">
        <v>180</v>
      </c>
      <c r="F6" s="119"/>
      <c r="G6" s="119"/>
      <c r="H6" s="119"/>
      <c r="I6" s="119"/>
      <c r="J6" s="119"/>
      <c r="K6" s="119"/>
      <c r="L6" s="119"/>
      <c r="M6" s="122"/>
      <c r="N6" s="122"/>
      <c r="O6" s="122"/>
      <c r="P6" s="122"/>
      <c r="Q6" s="122"/>
      <c r="R6" s="112"/>
      <c r="S6" s="112"/>
      <c r="T6" s="112"/>
      <c r="U6" s="59"/>
      <c r="V6" s="59"/>
      <c r="W6" s="59"/>
      <c r="X6" s="59"/>
      <c r="Y6" s="59"/>
      <c r="Z6" s="59"/>
      <c r="AA6" s="59"/>
    </row>
    <row r="7" spans="1:27" x14ac:dyDescent="0.25">
      <c r="D7" s="3162" t="s">
        <v>181</v>
      </c>
      <c r="E7" s="199" t="s">
        <v>33</v>
      </c>
      <c r="F7" s="199" t="s">
        <v>34</v>
      </c>
      <c r="G7" s="199" t="s">
        <v>35</v>
      </c>
      <c r="H7" s="199" t="s">
        <v>36</v>
      </c>
      <c r="I7" s="199" t="s">
        <v>37</v>
      </c>
      <c r="J7" s="199" t="s">
        <v>38</v>
      </c>
      <c r="K7" s="199" t="s">
        <v>39</v>
      </c>
      <c r="L7" s="199" t="s">
        <v>40</v>
      </c>
      <c r="M7" s="199" t="s">
        <v>41</v>
      </c>
      <c r="N7" s="199" t="s">
        <v>42</v>
      </c>
      <c r="O7" s="199" t="s">
        <v>43</v>
      </c>
      <c r="P7" s="199" t="s">
        <v>44</v>
      </c>
      <c r="Q7" s="199" t="s">
        <v>45</v>
      </c>
      <c r="R7" s="199" t="s">
        <v>46</v>
      </c>
      <c r="S7" s="199" t="s">
        <v>47</v>
      </c>
      <c r="T7" s="199" t="s">
        <v>48</v>
      </c>
      <c r="U7" s="199" t="s">
        <v>49</v>
      </c>
      <c r="V7" s="199" t="s">
        <v>50</v>
      </c>
      <c r="W7" s="199" t="s">
        <v>51</v>
      </c>
      <c r="X7" s="199" t="s">
        <v>52</v>
      </c>
      <c r="Y7" s="199" t="s">
        <v>105</v>
      </c>
      <c r="Z7" s="2764" t="s">
        <v>106</v>
      </c>
    </row>
    <row r="8" spans="1:27" s="77" customFormat="1" ht="12.75" customHeight="1" x14ac:dyDescent="0.2">
      <c r="A8" s="128"/>
      <c r="B8" s="127"/>
      <c r="C8" s="128"/>
      <c r="D8" s="2977" t="s">
        <v>182</v>
      </c>
      <c r="E8" s="227">
        <v>8.9</v>
      </c>
      <c r="F8" s="227">
        <v>8.6999999999999993</v>
      </c>
      <c r="G8" s="1534">
        <v>7.3249999999999993</v>
      </c>
      <c r="H8" s="1534">
        <v>8.6</v>
      </c>
      <c r="I8" s="1534">
        <v>6.8500000000000005</v>
      </c>
      <c r="J8" s="1534">
        <v>5.2583333333333337</v>
      </c>
      <c r="K8" s="1534">
        <v>5.3250000000000002</v>
      </c>
      <c r="L8" s="1534">
        <v>5.7249999999999988</v>
      </c>
      <c r="M8" s="1534">
        <v>9.15</v>
      </c>
      <c r="N8" s="1534">
        <v>5.9666666666666659</v>
      </c>
      <c r="O8" s="1534">
        <v>1.3916666666666666</v>
      </c>
      <c r="P8" s="1534">
        <v>3.4</v>
      </c>
      <c r="Q8" s="1534">
        <v>4.5965649326578539</v>
      </c>
      <c r="R8" s="1534">
        <v>7.0750000000000002</v>
      </c>
      <c r="S8" s="1534">
        <v>11.525</v>
      </c>
      <c r="T8" s="1534">
        <v>6.658333333333335</v>
      </c>
      <c r="U8" s="1534">
        <v>4.2574159850202076</v>
      </c>
      <c r="V8" s="1534">
        <v>5.000472634464459</v>
      </c>
      <c r="W8" s="1534">
        <v>5.6535830032408585</v>
      </c>
      <c r="X8" s="1534">
        <v>5.7515337423312829</v>
      </c>
      <c r="Y8" s="1534">
        <v>6.1</v>
      </c>
      <c r="Z8" s="3184">
        <v>4.583333333333333</v>
      </c>
    </row>
    <row r="9" spans="1:27" s="77" customFormat="1" ht="12.75" customHeight="1" x14ac:dyDescent="0.25">
      <c r="A9" s="128"/>
      <c r="B9" s="127"/>
      <c r="C9" s="128"/>
      <c r="D9" s="133"/>
      <c r="E9" s="177"/>
      <c r="F9" s="177"/>
      <c r="G9" s="177"/>
      <c r="H9" s="177"/>
      <c r="I9" s="177"/>
      <c r="J9" s="177"/>
      <c r="K9" s="177"/>
      <c r="L9" s="177"/>
      <c r="M9" s="177"/>
      <c r="N9" s="177"/>
      <c r="O9" s="177"/>
      <c r="P9" s="177"/>
      <c r="Q9" s="177"/>
      <c r="R9" s="133"/>
      <c r="S9" s="218"/>
      <c r="T9" s="218"/>
      <c r="U9" s="218"/>
      <c r="V9" s="218"/>
      <c r="W9" s="152"/>
      <c r="X9" s="218"/>
      <c r="Y9" s="2631"/>
    </row>
    <row r="10" spans="1:27" s="77" customFormat="1" ht="12.75" customHeight="1" x14ac:dyDescent="0.25">
      <c r="A10" s="128"/>
      <c r="B10" s="127"/>
      <c r="C10" s="128"/>
      <c r="D10" s="133"/>
      <c r="E10" s="177"/>
      <c r="F10" s="177"/>
      <c r="G10" s="177"/>
      <c r="H10" s="177"/>
      <c r="I10" s="177"/>
      <c r="J10" s="177"/>
      <c r="K10" s="177"/>
      <c r="L10" s="177"/>
      <c r="M10" s="177"/>
      <c r="N10" s="177"/>
      <c r="O10" s="177"/>
      <c r="P10" s="177"/>
      <c r="Q10" s="177"/>
      <c r="R10" s="133"/>
      <c r="S10" s="133"/>
      <c r="T10" s="177"/>
      <c r="U10" s="177"/>
      <c r="V10" s="177"/>
      <c r="W10" s="177"/>
      <c r="Y10" s="2631"/>
    </row>
    <row r="11" spans="1:27" s="77" customFormat="1" ht="12.75" customHeight="1" x14ac:dyDescent="0.25">
      <c r="A11" s="128"/>
      <c r="B11" s="127"/>
      <c r="C11" s="128"/>
      <c r="D11" s="133"/>
      <c r="E11" s="177"/>
      <c r="F11" s="177"/>
      <c r="G11" s="177"/>
      <c r="H11" s="177"/>
      <c r="I11" s="177"/>
      <c r="J11" s="177"/>
      <c r="K11" s="177"/>
      <c r="L11" s="177"/>
      <c r="M11" s="177"/>
      <c r="N11" s="177"/>
      <c r="O11" s="177"/>
      <c r="P11" s="177"/>
      <c r="Q11" s="177"/>
      <c r="R11" s="133"/>
      <c r="S11" s="133"/>
      <c r="T11" s="177"/>
      <c r="U11" s="177"/>
      <c r="V11" s="177"/>
      <c r="W11" s="177"/>
      <c r="Y11" s="2631"/>
    </row>
    <row r="12" spans="1:27" x14ac:dyDescent="0.25">
      <c r="D12" s="112"/>
      <c r="E12" s="117"/>
      <c r="F12" s="117"/>
      <c r="G12" s="117"/>
      <c r="H12" s="117"/>
      <c r="I12" s="117"/>
      <c r="J12" s="117"/>
      <c r="K12" s="117"/>
      <c r="L12" s="117"/>
      <c r="M12" s="117"/>
      <c r="N12" s="117"/>
      <c r="O12" s="117"/>
      <c r="P12" s="117"/>
      <c r="Q12" s="122"/>
      <c r="R12" s="112"/>
      <c r="S12" s="112"/>
      <c r="T12" s="112"/>
      <c r="Y12" s="218"/>
    </row>
    <row r="13" spans="1:27" x14ac:dyDescent="0.25">
      <c r="A13" s="113">
        <v>5</v>
      </c>
      <c r="B13" s="114" t="s">
        <v>77</v>
      </c>
      <c r="C13" s="113"/>
      <c r="D13" s="112"/>
      <c r="E13" s="117"/>
      <c r="F13" s="117"/>
      <c r="G13" s="117"/>
      <c r="H13" s="117"/>
      <c r="I13" s="117"/>
      <c r="J13" s="117"/>
      <c r="K13" s="117"/>
      <c r="L13" s="117"/>
      <c r="M13" s="117"/>
      <c r="N13" s="117"/>
      <c r="O13" s="117"/>
      <c r="P13" s="117"/>
      <c r="Q13" s="112"/>
      <c r="R13" s="112"/>
      <c r="S13" s="112"/>
      <c r="T13" s="112"/>
      <c r="Y13" s="218"/>
    </row>
    <row r="14" spans="1:27" x14ac:dyDescent="0.25">
      <c r="D14" s="112"/>
      <c r="E14" s="117"/>
      <c r="F14" s="117"/>
      <c r="G14" s="117"/>
      <c r="H14" s="117"/>
      <c r="I14" s="117"/>
      <c r="J14" s="117"/>
      <c r="K14" s="117"/>
      <c r="L14" s="117"/>
      <c r="M14" s="117"/>
      <c r="N14" s="117"/>
      <c r="O14" s="117"/>
      <c r="P14" s="117"/>
      <c r="Q14" s="112"/>
      <c r="R14" s="112"/>
      <c r="S14" s="112"/>
      <c r="T14" s="112"/>
    </row>
    <row r="15" spans="1:27" x14ac:dyDescent="0.25">
      <c r="D15" s="112"/>
      <c r="E15" s="117"/>
      <c r="F15" s="117"/>
      <c r="G15" s="117"/>
      <c r="H15" s="117"/>
      <c r="I15" s="117"/>
      <c r="J15" s="117"/>
      <c r="K15" s="117"/>
      <c r="L15" s="117"/>
      <c r="M15" s="117"/>
      <c r="N15" s="117"/>
      <c r="O15" s="117"/>
      <c r="P15" s="117"/>
      <c r="Q15" s="112"/>
      <c r="R15" s="112"/>
      <c r="S15" s="112"/>
      <c r="T15" s="112"/>
    </row>
    <row r="16" spans="1:27" x14ac:dyDescent="0.25">
      <c r="D16" s="112"/>
      <c r="E16" s="117"/>
      <c r="F16" s="117"/>
      <c r="G16" s="117"/>
      <c r="H16" s="117"/>
      <c r="I16" s="117"/>
      <c r="J16" s="117"/>
      <c r="K16" s="117"/>
      <c r="L16" s="117"/>
      <c r="M16" s="117"/>
      <c r="N16" s="117"/>
      <c r="O16" s="117"/>
      <c r="P16" s="117"/>
      <c r="Q16" s="112"/>
      <c r="R16" s="112"/>
      <c r="S16" s="112"/>
      <c r="T16" s="112"/>
    </row>
    <row r="17" spans="4:25" x14ac:dyDescent="0.25">
      <c r="D17" s="112"/>
      <c r="E17" s="117"/>
      <c r="F17" s="117"/>
      <c r="G17" s="117"/>
      <c r="H17" s="117"/>
      <c r="I17" s="117"/>
      <c r="J17" s="117"/>
      <c r="K17" s="117"/>
      <c r="L17" s="117"/>
      <c r="M17" s="117"/>
      <c r="N17" s="117"/>
      <c r="O17" s="112"/>
      <c r="P17" s="112"/>
      <c r="Q17" s="112"/>
      <c r="R17" s="112"/>
      <c r="S17" s="112"/>
      <c r="T17" s="112"/>
    </row>
    <row r="18" spans="4:25" x14ac:dyDescent="0.25">
      <c r="D18" s="112"/>
      <c r="E18" s="117"/>
      <c r="F18" s="117"/>
      <c r="G18" s="117"/>
      <c r="H18" s="117"/>
      <c r="I18" s="117"/>
      <c r="J18" s="117"/>
      <c r="K18" s="117"/>
      <c r="L18" s="117"/>
      <c r="M18" s="117"/>
      <c r="N18" s="117"/>
      <c r="O18" s="112"/>
      <c r="P18" s="112"/>
      <c r="Q18" s="112"/>
      <c r="R18" s="112"/>
      <c r="S18" s="112"/>
      <c r="T18" s="112"/>
      <c r="Y18" s="96"/>
    </row>
    <row r="19" spans="4:25" x14ac:dyDescent="0.25">
      <c r="D19" s="112"/>
      <c r="E19" s="117"/>
      <c r="F19" s="117"/>
      <c r="G19" s="117"/>
      <c r="H19" s="117"/>
      <c r="I19" s="117"/>
      <c r="J19" s="117"/>
      <c r="K19" s="117"/>
      <c r="L19" s="117"/>
      <c r="M19" s="117"/>
      <c r="N19" s="117"/>
      <c r="O19" s="112"/>
      <c r="P19" s="112"/>
      <c r="Q19" s="112"/>
      <c r="R19" s="112"/>
      <c r="S19" s="112"/>
      <c r="T19" s="112"/>
      <c r="Y19" s="96"/>
    </row>
    <row r="20" spans="4:25" x14ac:dyDescent="0.25">
      <c r="D20" s="112"/>
      <c r="E20" s="117"/>
      <c r="F20" s="117"/>
      <c r="G20" s="117"/>
      <c r="H20" s="117"/>
      <c r="I20" s="117"/>
      <c r="J20" s="117"/>
      <c r="K20" s="117"/>
      <c r="L20" s="117"/>
      <c r="M20" s="117"/>
      <c r="N20" s="117"/>
      <c r="O20" s="112"/>
      <c r="P20" s="112"/>
      <c r="Q20" s="112"/>
      <c r="R20" s="112"/>
      <c r="S20" s="112"/>
      <c r="T20" s="112"/>
      <c r="Y20" s="96"/>
    </row>
    <row r="21" spans="4:25" x14ac:dyDescent="0.25">
      <c r="D21" s="112"/>
      <c r="E21" s="117"/>
      <c r="F21" s="117"/>
      <c r="G21" s="117"/>
      <c r="H21" s="117"/>
      <c r="I21" s="117"/>
      <c r="J21" s="117"/>
      <c r="K21" s="117"/>
      <c r="L21" s="117"/>
      <c r="M21" s="117"/>
      <c r="N21" s="117"/>
      <c r="O21" s="112"/>
      <c r="P21" s="112"/>
      <c r="Q21" s="112"/>
      <c r="R21" s="112"/>
      <c r="S21" s="112"/>
      <c r="T21" s="112"/>
      <c r="Y21" s="96"/>
    </row>
    <row r="22" spans="4:25" x14ac:dyDescent="0.25">
      <c r="D22" s="112"/>
      <c r="E22" s="117"/>
      <c r="F22" s="117"/>
      <c r="G22" s="117"/>
      <c r="H22" s="117"/>
      <c r="I22" s="117"/>
      <c r="J22" s="117"/>
      <c r="K22" s="117"/>
      <c r="L22" s="117"/>
      <c r="M22" s="117"/>
      <c r="N22" s="117"/>
      <c r="O22" s="112"/>
      <c r="P22" s="112"/>
      <c r="Q22" s="112"/>
      <c r="R22" s="112"/>
      <c r="S22" s="112"/>
      <c r="T22" s="112"/>
      <c r="Y22" s="96"/>
    </row>
    <row r="23" spans="4:25" x14ac:dyDescent="0.25">
      <c r="D23" s="112"/>
      <c r="E23" s="117"/>
      <c r="F23" s="117"/>
      <c r="G23" s="117"/>
      <c r="H23" s="117"/>
      <c r="I23" s="117"/>
      <c r="J23" s="117"/>
      <c r="K23" s="117"/>
      <c r="L23" s="117"/>
      <c r="M23" s="117"/>
      <c r="N23" s="117"/>
      <c r="O23" s="117"/>
      <c r="P23" s="112"/>
      <c r="Q23" s="112"/>
      <c r="R23" s="112"/>
      <c r="S23" s="112"/>
      <c r="T23" s="112"/>
      <c r="Y23" s="96"/>
    </row>
    <row r="24" spans="4:25" x14ac:dyDescent="0.25">
      <c r="D24" s="112"/>
      <c r="E24" s="117"/>
      <c r="F24" s="117"/>
      <c r="G24" s="117"/>
      <c r="H24" s="117"/>
      <c r="I24" s="117"/>
      <c r="J24" s="117"/>
      <c r="K24" s="117"/>
      <c r="L24" s="117"/>
      <c r="M24" s="117"/>
      <c r="N24" s="117"/>
      <c r="O24" s="117"/>
      <c r="P24" s="112"/>
      <c r="Q24" s="112"/>
      <c r="R24" s="112"/>
      <c r="S24" s="112"/>
      <c r="T24" s="112"/>
      <c r="Y24" s="96"/>
    </row>
    <row r="25" spans="4:25" x14ac:dyDescent="0.25">
      <c r="D25" s="112"/>
      <c r="E25" s="117"/>
      <c r="F25" s="117"/>
      <c r="G25" s="117"/>
      <c r="H25" s="117"/>
      <c r="I25" s="117"/>
      <c r="J25" s="117"/>
      <c r="K25" s="117"/>
      <c r="L25" s="117"/>
      <c r="M25" s="117"/>
      <c r="N25" s="117"/>
      <c r="O25" s="116"/>
      <c r="P25" s="112"/>
      <c r="Q25" s="112"/>
      <c r="R25" s="112"/>
      <c r="S25" s="112"/>
      <c r="T25" s="112"/>
      <c r="Y25" s="96"/>
    </row>
    <row r="26" spans="4:25" x14ac:dyDescent="0.25">
      <c r="D26" s="112"/>
      <c r="E26" s="117"/>
      <c r="F26" s="117"/>
      <c r="G26" s="117"/>
      <c r="H26" s="117"/>
      <c r="I26" s="117"/>
      <c r="J26" s="117"/>
      <c r="K26" s="117"/>
      <c r="L26" s="117"/>
      <c r="M26" s="117"/>
      <c r="N26" s="117"/>
      <c r="O26" s="117"/>
      <c r="P26" s="117"/>
      <c r="Q26" s="112"/>
      <c r="R26" s="112"/>
      <c r="S26" s="112"/>
      <c r="T26" s="112"/>
      <c r="Y26" s="96"/>
    </row>
    <row r="27" spans="4:25" x14ac:dyDescent="0.25">
      <c r="D27" s="112"/>
      <c r="E27" s="117"/>
      <c r="F27" s="117"/>
      <c r="G27" s="117"/>
      <c r="H27" s="117"/>
      <c r="I27" s="117"/>
      <c r="J27" s="117"/>
      <c r="K27" s="117"/>
      <c r="L27" s="117"/>
      <c r="M27" s="117"/>
      <c r="N27" s="117"/>
      <c r="O27" s="117"/>
      <c r="P27" s="117"/>
      <c r="Q27" s="112"/>
      <c r="R27" s="112"/>
      <c r="S27" s="112"/>
      <c r="T27" s="112"/>
      <c r="Y27" s="96"/>
    </row>
    <row r="28" spans="4:25" x14ac:dyDescent="0.25">
      <c r="D28" s="112"/>
      <c r="E28" s="112"/>
      <c r="F28" s="112"/>
      <c r="G28" s="112"/>
      <c r="H28" s="112"/>
      <c r="I28" s="112"/>
      <c r="J28" s="112"/>
      <c r="K28" s="112"/>
      <c r="L28" s="112"/>
      <c r="M28" s="112"/>
      <c r="N28" s="112"/>
      <c r="O28" s="112"/>
      <c r="P28" s="112"/>
      <c r="Q28" s="112"/>
      <c r="R28" s="112"/>
      <c r="S28" s="112"/>
      <c r="T28" s="112"/>
      <c r="Y28" s="96"/>
    </row>
    <row r="29" spans="4:25" x14ac:dyDescent="0.25">
      <c r="D29" s="112"/>
      <c r="E29" s="112"/>
      <c r="F29" s="112"/>
      <c r="G29" s="112"/>
      <c r="H29" s="112"/>
      <c r="I29" s="112"/>
      <c r="J29" s="112"/>
      <c r="K29" s="112"/>
      <c r="L29" s="112"/>
      <c r="M29" s="112"/>
      <c r="N29" s="112"/>
      <c r="O29" s="112"/>
      <c r="P29" s="112"/>
      <c r="Q29" s="112"/>
      <c r="R29" s="112"/>
      <c r="S29" s="112"/>
      <c r="T29" s="112"/>
      <c r="Y29" s="96"/>
    </row>
    <row r="30" spans="4:25" x14ac:dyDescent="0.25">
      <c r="D30" s="112"/>
      <c r="E30" s="112"/>
      <c r="F30" s="112"/>
      <c r="G30" s="112"/>
      <c r="H30" s="112"/>
      <c r="I30" s="112"/>
      <c r="J30" s="112"/>
      <c r="K30" s="112"/>
      <c r="L30" s="112"/>
      <c r="M30" s="112"/>
      <c r="N30" s="112"/>
      <c r="O30" s="112"/>
      <c r="P30" s="112"/>
      <c r="Q30" s="112"/>
      <c r="R30" s="112"/>
      <c r="S30" s="112"/>
      <c r="T30" s="112"/>
      <c r="Y30" s="96"/>
    </row>
    <row r="31" spans="4:25" x14ac:dyDescent="0.25">
      <c r="D31" s="112"/>
      <c r="E31" s="112"/>
      <c r="F31" s="112"/>
      <c r="G31" s="112"/>
      <c r="H31" s="112"/>
      <c r="I31" s="112"/>
      <c r="J31" s="112"/>
      <c r="K31" s="112"/>
      <c r="L31" s="112"/>
      <c r="M31" s="112"/>
      <c r="N31" s="112"/>
      <c r="O31" s="112"/>
      <c r="P31" s="112"/>
      <c r="Q31" s="112"/>
      <c r="R31" s="112"/>
      <c r="S31" s="112"/>
      <c r="T31" s="112"/>
      <c r="Y31" s="96"/>
    </row>
    <row r="32" spans="4:25" x14ac:dyDescent="0.25">
      <c r="D32" s="112"/>
      <c r="E32" s="112"/>
      <c r="F32" s="112"/>
      <c r="G32" s="112"/>
      <c r="H32" s="112"/>
      <c r="I32" s="112"/>
      <c r="J32" s="112"/>
      <c r="K32" s="112"/>
      <c r="L32" s="112"/>
      <c r="M32" s="112"/>
      <c r="N32" s="112"/>
      <c r="O32" s="112"/>
      <c r="P32" s="112"/>
      <c r="Q32" s="112"/>
      <c r="R32" s="112"/>
      <c r="S32" s="112"/>
      <c r="T32" s="112"/>
    </row>
    <row r="33" spans="1:87" x14ac:dyDescent="0.25">
      <c r="D33" s="112"/>
      <c r="E33" s="112"/>
      <c r="F33" s="112"/>
      <c r="G33" s="112"/>
      <c r="H33" s="112"/>
      <c r="I33" s="112"/>
      <c r="J33" s="112"/>
      <c r="K33" s="112"/>
      <c r="L33" s="112"/>
      <c r="M33" s="112"/>
      <c r="N33" s="112"/>
      <c r="O33" s="112"/>
      <c r="P33" s="112"/>
      <c r="Q33" s="112"/>
      <c r="R33" s="112"/>
      <c r="S33" s="112"/>
      <c r="T33" s="112"/>
    </row>
    <row r="34" spans="1:87" x14ac:dyDescent="0.25">
      <c r="D34" s="112"/>
      <c r="E34" s="112"/>
      <c r="F34" s="112"/>
      <c r="G34" s="112"/>
      <c r="H34" s="112"/>
      <c r="I34" s="112"/>
      <c r="J34" s="112"/>
      <c r="K34" s="112"/>
      <c r="L34" s="112"/>
      <c r="M34" s="112"/>
      <c r="N34" s="112"/>
      <c r="O34" s="112"/>
      <c r="P34" s="112"/>
      <c r="Q34" s="112"/>
      <c r="R34" s="112"/>
      <c r="S34" s="112"/>
      <c r="T34" s="112"/>
    </row>
    <row r="35" spans="1:87" x14ac:dyDescent="0.25">
      <c r="D35" s="112"/>
      <c r="E35" s="112"/>
      <c r="F35" s="112"/>
      <c r="G35" s="112"/>
      <c r="H35" s="112"/>
      <c r="I35" s="112"/>
      <c r="J35" s="112"/>
      <c r="K35" s="112"/>
      <c r="L35" s="112"/>
      <c r="M35" s="112"/>
      <c r="N35" s="112"/>
      <c r="O35" s="112"/>
      <c r="P35" s="112"/>
      <c r="Q35" s="112"/>
      <c r="R35" s="112"/>
      <c r="S35" s="112"/>
      <c r="T35" s="112"/>
    </row>
    <row r="36" spans="1:87" x14ac:dyDescent="0.25">
      <c r="D36" s="112"/>
      <c r="E36" s="112"/>
      <c r="F36" s="112"/>
      <c r="G36" s="112"/>
      <c r="H36" s="112"/>
      <c r="I36" s="112"/>
      <c r="J36" s="112"/>
      <c r="K36" s="112"/>
      <c r="L36" s="112"/>
      <c r="M36" s="112"/>
      <c r="N36" s="112"/>
      <c r="O36" s="112"/>
      <c r="P36" s="112"/>
      <c r="Q36" s="112"/>
      <c r="R36" s="112"/>
      <c r="S36" s="112"/>
      <c r="T36" s="112"/>
    </row>
    <row r="37" spans="1:87" x14ac:dyDescent="0.25">
      <c r="A37" s="113">
        <v>6</v>
      </c>
      <c r="B37" s="114" t="s">
        <v>78</v>
      </c>
      <c r="C37" s="113"/>
      <c r="D37" s="3553" t="s">
        <v>167</v>
      </c>
      <c r="E37" s="3554"/>
      <c r="F37" s="3554"/>
      <c r="G37" s="3554"/>
      <c r="H37" s="3554"/>
      <c r="I37" s="3554"/>
      <c r="J37" s="3554"/>
      <c r="K37" s="3554"/>
      <c r="L37" s="3554"/>
      <c r="M37" s="3554"/>
      <c r="N37" s="3554"/>
      <c r="O37" s="3554"/>
      <c r="P37" s="3554"/>
      <c r="Q37" s="3554"/>
      <c r="R37" s="3554"/>
      <c r="S37" s="3554"/>
      <c r="T37" s="3554"/>
      <c r="U37" s="3554"/>
      <c r="V37" s="3554"/>
      <c r="W37" s="3554"/>
      <c r="X37" s="3554"/>
      <c r="Y37" s="3554"/>
      <c r="Z37" s="3555"/>
    </row>
    <row r="38" spans="1:87" x14ac:dyDescent="0.25">
      <c r="A38" s="136">
        <v>7</v>
      </c>
      <c r="B38" s="137" t="s">
        <v>80</v>
      </c>
      <c r="C38" s="136"/>
      <c r="D38" s="3578" t="s">
        <v>183</v>
      </c>
      <c r="E38" s="3579"/>
      <c r="F38" s="3579"/>
      <c r="G38" s="3579"/>
      <c r="H38" s="3579"/>
      <c r="I38" s="3579"/>
      <c r="J38" s="3579"/>
      <c r="K38" s="3579"/>
      <c r="L38" s="3579"/>
      <c r="M38" s="3579"/>
      <c r="N38" s="3579"/>
      <c r="O38" s="3579"/>
      <c r="P38" s="3579"/>
      <c r="Q38" s="3579"/>
      <c r="R38" s="3579"/>
      <c r="S38" s="3579"/>
      <c r="T38" s="3579"/>
      <c r="U38" s="3579"/>
      <c r="V38" s="3579"/>
      <c r="W38" s="3579"/>
      <c r="X38" s="3579"/>
      <c r="Y38" s="3579"/>
      <c r="Z38" s="3580"/>
    </row>
    <row r="39" spans="1:87" ht="12.75" customHeight="1" x14ac:dyDescent="0.25">
      <c r="A39" s="113">
        <v>8</v>
      </c>
      <c r="B39" s="114" t="s">
        <v>20</v>
      </c>
      <c r="C39" s="113"/>
      <c r="D39" s="3553" t="s">
        <v>184</v>
      </c>
      <c r="E39" s="3554"/>
      <c r="F39" s="3554"/>
      <c r="G39" s="3554"/>
      <c r="H39" s="3554"/>
      <c r="I39" s="3554"/>
      <c r="J39" s="3554"/>
      <c r="K39" s="3554"/>
      <c r="L39" s="3554"/>
      <c r="M39" s="3554"/>
      <c r="N39" s="3554"/>
      <c r="O39" s="3554"/>
      <c r="P39" s="3554"/>
      <c r="Q39" s="3554"/>
      <c r="R39" s="3554"/>
      <c r="S39" s="3554"/>
      <c r="T39" s="3554"/>
      <c r="U39" s="3554"/>
      <c r="V39" s="3554"/>
      <c r="W39" s="3554"/>
      <c r="X39" s="3554"/>
      <c r="Y39" s="3554"/>
      <c r="Z39" s="3555"/>
    </row>
    <row r="40" spans="1:87" ht="12.75" customHeight="1" x14ac:dyDescent="0.25">
      <c r="A40" s="113">
        <v>9</v>
      </c>
      <c r="B40" s="114" t="s">
        <v>83</v>
      </c>
      <c r="C40" s="113"/>
      <c r="D40" s="3553" t="s">
        <v>185</v>
      </c>
      <c r="E40" s="3554"/>
      <c r="F40" s="3554"/>
      <c r="G40" s="3554"/>
      <c r="H40" s="3554"/>
      <c r="I40" s="3554"/>
      <c r="J40" s="3554"/>
      <c r="K40" s="3554"/>
      <c r="L40" s="3554"/>
      <c r="M40" s="3554"/>
      <c r="N40" s="3554"/>
      <c r="O40" s="3554"/>
      <c r="P40" s="3554"/>
      <c r="Q40" s="3554"/>
      <c r="R40" s="3554"/>
      <c r="S40" s="3554"/>
      <c r="T40" s="3554"/>
      <c r="U40" s="3554"/>
      <c r="V40" s="3554"/>
      <c r="W40" s="3554"/>
      <c r="X40" s="3554"/>
      <c r="Y40" s="3554"/>
      <c r="Z40" s="3555"/>
    </row>
    <row r="41" spans="1:87" x14ac:dyDescent="0.25">
      <c r="B41" s="180"/>
      <c r="C41" s="181"/>
      <c r="D41" s="261"/>
      <c r="E41" s="261"/>
      <c r="F41" s="261"/>
      <c r="G41" s="261"/>
      <c r="H41" s="261"/>
      <c r="I41" s="261"/>
      <c r="J41" s="261"/>
      <c r="K41" s="261"/>
      <c r="L41" s="261"/>
      <c r="M41" s="261"/>
      <c r="N41" s="261"/>
      <c r="O41" s="261"/>
      <c r="P41" s="261"/>
      <c r="Q41" s="261"/>
      <c r="R41" s="261"/>
      <c r="S41" s="261"/>
      <c r="T41" s="261"/>
      <c r="U41" s="262"/>
      <c r="V41" s="262"/>
      <c r="W41" s="261"/>
      <c r="X41" s="261"/>
      <c r="Y41" s="261"/>
      <c r="Z41" s="261"/>
      <c r="AA41" s="261"/>
      <c r="AB41" s="261"/>
      <c r="AC41" s="261"/>
      <c r="AD41" s="261"/>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row>
    <row r="42" spans="1:87" x14ac:dyDescent="0.25">
      <c r="A42" s="126"/>
      <c r="B42" s="180"/>
      <c r="C42" s="128"/>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24"/>
      <c r="AX42" s="77"/>
      <c r="AY42" s="77"/>
      <c r="AZ42" s="77"/>
      <c r="BA42" s="77"/>
      <c r="BB42" s="77"/>
      <c r="BC42" s="77"/>
      <c r="BD42" s="77"/>
    </row>
    <row r="43" spans="1:87" s="179" customFormat="1" ht="12.75" x14ac:dyDescent="0.2">
      <c r="A43" s="953"/>
      <c r="B43" s="127"/>
      <c r="C43" s="128"/>
      <c r="D43" s="3571">
        <v>1994</v>
      </c>
      <c r="E43" s="3571"/>
      <c r="F43" s="3571"/>
      <c r="G43" s="3571"/>
      <c r="H43" s="3571">
        <v>1995</v>
      </c>
      <c r="I43" s="3571"/>
      <c r="J43" s="3571"/>
      <c r="K43" s="3571"/>
      <c r="L43" s="3571">
        <v>1996</v>
      </c>
      <c r="M43" s="3571"/>
      <c r="N43" s="3571"/>
      <c r="O43" s="3571"/>
      <c r="P43" s="3571">
        <v>1997</v>
      </c>
      <c r="Q43" s="3571"/>
      <c r="R43" s="3571"/>
      <c r="S43" s="3571"/>
      <c r="T43" s="3571">
        <v>1998</v>
      </c>
      <c r="U43" s="3571"/>
      <c r="V43" s="3571"/>
      <c r="W43" s="3571"/>
      <c r="X43" s="3571">
        <v>1999</v>
      </c>
      <c r="Y43" s="3571"/>
      <c r="Z43" s="3571"/>
      <c r="AA43" s="3571"/>
      <c r="AB43" s="3571">
        <v>2000</v>
      </c>
      <c r="AC43" s="3571"/>
      <c r="AD43" s="3571"/>
      <c r="AE43" s="3571"/>
      <c r="AF43" s="3571">
        <v>2001</v>
      </c>
      <c r="AG43" s="3571"/>
      <c r="AH43" s="3571"/>
      <c r="AI43" s="3571"/>
      <c r="AJ43" s="3571">
        <v>2002</v>
      </c>
      <c r="AK43" s="3571"/>
      <c r="AL43" s="3571"/>
      <c r="AM43" s="3571"/>
      <c r="AN43" s="3571">
        <v>2003</v>
      </c>
      <c r="AO43" s="3571"/>
      <c r="AP43" s="3571"/>
      <c r="AQ43" s="3571"/>
      <c r="AR43" s="3571">
        <v>2004</v>
      </c>
      <c r="AS43" s="3571"/>
      <c r="AT43" s="3571"/>
      <c r="AU43" s="3571"/>
      <c r="AV43" s="3571">
        <v>2005</v>
      </c>
      <c r="AW43" s="3571"/>
      <c r="AX43" s="3571"/>
      <c r="AY43" s="3571"/>
      <c r="AZ43" s="3571">
        <v>2006</v>
      </c>
      <c r="BA43" s="3571"/>
      <c r="BB43" s="3571"/>
      <c r="BC43" s="3571"/>
      <c r="BD43" s="3571">
        <v>2007</v>
      </c>
      <c r="BE43" s="3571"/>
      <c r="BF43" s="3571"/>
      <c r="BG43" s="3571"/>
      <c r="BH43" s="3571">
        <v>2008</v>
      </c>
      <c r="BI43" s="3571"/>
      <c r="BJ43" s="3571"/>
      <c r="BK43" s="3571"/>
      <c r="BL43" s="3571">
        <v>2009</v>
      </c>
      <c r="BM43" s="3571"/>
      <c r="BN43" s="3571"/>
      <c r="BO43" s="3571"/>
      <c r="BP43" s="3571">
        <v>2010</v>
      </c>
      <c r="BQ43" s="3571"/>
      <c r="BR43" s="3571"/>
      <c r="BS43" s="3571"/>
      <c r="BT43" s="3571">
        <v>2011</v>
      </c>
      <c r="BU43" s="3571"/>
      <c r="BV43" s="3571"/>
      <c r="BW43" s="3571"/>
      <c r="BX43" s="3571">
        <v>2012</v>
      </c>
      <c r="BY43" s="3571"/>
      <c r="BZ43" s="3571"/>
      <c r="CA43" s="3571"/>
      <c r="CB43" s="3571">
        <v>2013</v>
      </c>
      <c r="CC43" s="3571"/>
      <c r="CD43" s="3571"/>
      <c r="CE43" s="3571"/>
      <c r="CF43" s="3571">
        <v>2014</v>
      </c>
      <c r="CG43" s="3571"/>
      <c r="CH43" s="3571"/>
      <c r="CI43" s="3571"/>
    </row>
    <row r="44" spans="1:87" s="179" customFormat="1" ht="12.75" x14ac:dyDescent="0.2">
      <c r="A44" s="197"/>
      <c r="B44" s="259"/>
      <c r="C44" s="260"/>
      <c r="D44" s="263" t="s">
        <v>85</v>
      </c>
      <c r="E44" s="264" t="s">
        <v>86</v>
      </c>
      <c r="F44" s="264" t="s">
        <v>87</v>
      </c>
      <c r="G44" s="265" t="s">
        <v>88</v>
      </c>
      <c r="H44" s="263" t="s">
        <v>85</v>
      </c>
      <c r="I44" s="264" t="s">
        <v>86</v>
      </c>
      <c r="J44" s="264" t="s">
        <v>87</v>
      </c>
      <c r="K44" s="265" t="s">
        <v>88</v>
      </c>
      <c r="L44" s="263" t="s">
        <v>85</v>
      </c>
      <c r="M44" s="264" t="s">
        <v>86</v>
      </c>
      <c r="N44" s="264" t="s">
        <v>87</v>
      </c>
      <c r="O44" s="265" t="s">
        <v>88</v>
      </c>
      <c r="P44" s="263" t="s">
        <v>85</v>
      </c>
      <c r="Q44" s="264" t="s">
        <v>86</v>
      </c>
      <c r="R44" s="264" t="s">
        <v>87</v>
      </c>
      <c r="S44" s="265" t="s">
        <v>88</v>
      </c>
      <c r="T44" s="263" t="s">
        <v>85</v>
      </c>
      <c r="U44" s="264" t="s">
        <v>86</v>
      </c>
      <c r="V44" s="264" t="s">
        <v>87</v>
      </c>
      <c r="W44" s="265" t="s">
        <v>88</v>
      </c>
      <c r="X44" s="263" t="s">
        <v>85</v>
      </c>
      <c r="Y44" s="264" t="s">
        <v>86</v>
      </c>
      <c r="Z44" s="264" t="s">
        <v>87</v>
      </c>
      <c r="AA44" s="265" t="s">
        <v>88</v>
      </c>
      <c r="AB44" s="263" t="s">
        <v>85</v>
      </c>
      <c r="AC44" s="264" t="s">
        <v>86</v>
      </c>
      <c r="AD44" s="264" t="s">
        <v>87</v>
      </c>
      <c r="AE44" s="265" t="s">
        <v>88</v>
      </c>
      <c r="AF44" s="263" t="s">
        <v>85</v>
      </c>
      <c r="AG44" s="264" t="s">
        <v>86</v>
      </c>
      <c r="AH44" s="264" t="s">
        <v>87</v>
      </c>
      <c r="AI44" s="265" t="s">
        <v>88</v>
      </c>
      <c r="AJ44" s="263" t="s">
        <v>85</v>
      </c>
      <c r="AK44" s="264" t="s">
        <v>86</v>
      </c>
      <c r="AL44" s="264" t="s">
        <v>87</v>
      </c>
      <c r="AM44" s="265" t="s">
        <v>88</v>
      </c>
      <c r="AN44" s="263" t="s">
        <v>85</v>
      </c>
      <c r="AO44" s="264" t="s">
        <v>86</v>
      </c>
      <c r="AP44" s="264" t="s">
        <v>87</v>
      </c>
      <c r="AQ44" s="265" t="s">
        <v>88</v>
      </c>
      <c r="AR44" s="263" t="s">
        <v>85</v>
      </c>
      <c r="AS44" s="264" t="s">
        <v>86</v>
      </c>
      <c r="AT44" s="264" t="s">
        <v>87</v>
      </c>
      <c r="AU44" s="265" t="s">
        <v>88</v>
      </c>
      <c r="AV44" s="263" t="s">
        <v>85</v>
      </c>
      <c r="AW44" s="264" t="s">
        <v>86</v>
      </c>
      <c r="AX44" s="264" t="s">
        <v>87</v>
      </c>
      <c r="AY44" s="265" t="s">
        <v>88</v>
      </c>
      <c r="AZ44" s="263" t="s">
        <v>85</v>
      </c>
      <c r="BA44" s="264" t="s">
        <v>86</v>
      </c>
      <c r="BB44" s="264" t="s">
        <v>87</v>
      </c>
      <c r="BC44" s="265" t="s">
        <v>88</v>
      </c>
      <c r="BD44" s="263" t="s">
        <v>85</v>
      </c>
      <c r="BE44" s="264" t="s">
        <v>86</v>
      </c>
      <c r="BF44" s="264" t="s">
        <v>87</v>
      </c>
      <c r="BG44" s="265" t="s">
        <v>88</v>
      </c>
      <c r="BH44" s="263" t="s">
        <v>85</v>
      </c>
      <c r="BI44" s="264" t="s">
        <v>86</v>
      </c>
      <c r="BJ44" s="264" t="s">
        <v>87</v>
      </c>
      <c r="BK44" s="265" t="s">
        <v>88</v>
      </c>
      <c r="BL44" s="263" t="s">
        <v>85</v>
      </c>
      <c r="BM44" s="264" t="s">
        <v>86</v>
      </c>
      <c r="BN44" s="264" t="s">
        <v>87</v>
      </c>
      <c r="BO44" s="265" t="s">
        <v>88</v>
      </c>
      <c r="BP44" s="263" t="s">
        <v>85</v>
      </c>
      <c r="BQ44" s="264" t="s">
        <v>86</v>
      </c>
      <c r="BR44" s="264" t="s">
        <v>87</v>
      </c>
      <c r="BS44" s="265" t="s">
        <v>88</v>
      </c>
      <c r="BT44" s="263" t="s">
        <v>85</v>
      </c>
      <c r="BU44" s="264" t="s">
        <v>86</v>
      </c>
      <c r="BV44" s="264" t="s">
        <v>87</v>
      </c>
      <c r="BW44" s="265" t="s">
        <v>88</v>
      </c>
      <c r="BX44" s="263" t="s">
        <v>85</v>
      </c>
      <c r="BY44" s="264" t="s">
        <v>86</v>
      </c>
      <c r="BZ44" s="264" t="s">
        <v>87</v>
      </c>
      <c r="CA44" s="265" t="s">
        <v>88</v>
      </c>
      <c r="CB44" s="263" t="s">
        <v>85</v>
      </c>
      <c r="CC44" s="264" t="s">
        <v>86</v>
      </c>
      <c r="CD44" s="264" t="s">
        <v>87</v>
      </c>
      <c r="CE44" s="265" t="s">
        <v>88</v>
      </c>
      <c r="CF44" s="263" t="s">
        <v>85</v>
      </c>
      <c r="CG44" s="264" t="s">
        <v>86</v>
      </c>
      <c r="CH44" s="264" t="s">
        <v>87</v>
      </c>
      <c r="CI44" s="265" t="s">
        <v>88</v>
      </c>
    </row>
    <row r="45" spans="1:87" s="84" customFormat="1" ht="12.75" x14ac:dyDescent="0.2">
      <c r="A45" s="2744"/>
      <c r="C45" s="1473" t="s">
        <v>186</v>
      </c>
      <c r="D45" s="2745">
        <v>9.6690745326061922</v>
      </c>
      <c r="E45" s="68">
        <v>7.1544990447711898</v>
      </c>
      <c r="F45" s="68">
        <v>9.1298236892189308</v>
      </c>
      <c r="G45" s="2746">
        <v>9.7990149990723641</v>
      </c>
      <c r="H45" s="2745">
        <v>9.9593442253082856</v>
      </c>
      <c r="I45" s="68">
        <v>10.65216088388572</v>
      </c>
      <c r="J45" s="68">
        <v>7.7265495256930494</v>
      </c>
      <c r="K45" s="2746">
        <v>6.5617362329769779</v>
      </c>
      <c r="L45" s="2745">
        <v>6.5085679673837493</v>
      </c>
      <c r="M45" s="68">
        <v>6.0804774256866922</v>
      </c>
      <c r="N45" s="68">
        <v>7.6291228387665333</v>
      </c>
      <c r="O45" s="2746">
        <v>9.1451219295645814</v>
      </c>
      <c r="P45" s="2745">
        <v>9.6107740626719895</v>
      </c>
      <c r="Q45" s="68">
        <v>9.3789086252066056</v>
      </c>
      <c r="R45" s="68">
        <v>8.6163234263308741</v>
      </c>
      <c r="S45" s="2746">
        <v>6.8816620113169469</v>
      </c>
      <c r="T45" s="2745">
        <v>6.5767284991568031</v>
      </c>
      <c r="U45" s="68">
        <v>6.9565217391304168</v>
      </c>
      <c r="V45" s="68">
        <v>7.2505091649695208</v>
      </c>
      <c r="W45" s="2746">
        <v>7.4074074074073737</v>
      </c>
      <c r="X45" s="2745">
        <v>7.2784810126582</v>
      </c>
      <c r="Y45" s="68">
        <v>7.00735578784355</v>
      </c>
      <c r="Z45" s="68">
        <v>6.7603494113178675</v>
      </c>
      <c r="AA45" s="2746">
        <v>6.7091454272864004</v>
      </c>
      <c r="AB45" s="2745">
        <v>7.1902654867256555</v>
      </c>
      <c r="AC45" s="68">
        <v>7.8509406657019554</v>
      </c>
      <c r="AD45" s="68">
        <v>8.0398434720736276</v>
      </c>
      <c r="AE45" s="2746">
        <v>7.7976817702845036</v>
      </c>
      <c r="AF45" s="2745">
        <v>7.602339181286899</v>
      </c>
      <c r="AG45" s="68">
        <v>6.5414290506544459</v>
      </c>
      <c r="AH45" s="68">
        <v>6.0915377016796501</v>
      </c>
      <c r="AI45" s="2746">
        <v>6.2235255783646082</v>
      </c>
      <c r="AJ45" s="2745">
        <v>7.4168797953960697</v>
      </c>
      <c r="AK45" s="68">
        <v>8.7216624685135145</v>
      </c>
      <c r="AL45" s="68">
        <v>9.9317194289264332</v>
      </c>
      <c r="AM45" s="2746">
        <v>11.134969325153342</v>
      </c>
      <c r="AN45" s="2745">
        <v>9.5238095238098239</v>
      </c>
      <c r="AO45" s="68">
        <v>7.5296843324648144</v>
      </c>
      <c r="AP45" s="68">
        <v>6.0700169395815573</v>
      </c>
      <c r="AQ45" s="2746">
        <v>4.1954181617438469</v>
      </c>
      <c r="AR45" s="2745">
        <v>4.4565217391298928</v>
      </c>
      <c r="AS45" s="68">
        <v>4.6054403447347125</v>
      </c>
      <c r="AT45" s="68">
        <v>3.8860793186055398</v>
      </c>
      <c r="AU45" s="2746">
        <v>4.3708609271523313</v>
      </c>
      <c r="AV45" s="2745">
        <v>3.4339229968782359</v>
      </c>
      <c r="AW45" s="68">
        <v>3.7332646755918963</v>
      </c>
      <c r="AX45" s="68">
        <v>4.5605944145526545</v>
      </c>
      <c r="AY45" s="2746">
        <v>4.0609137055842792</v>
      </c>
      <c r="AZ45" s="2745">
        <v>4.2002012072437367</v>
      </c>
      <c r="BA45" s="68">
        <v>4.2194092827006591</v>
      </c>
      <c r="BB45" s="68">
        <v>4.9742710120071365</v>
      </c>
      <c r="BC45" s="2746">
        <v>4.9756097560975654</v>
      </c>
      <c r="BD45" s="2745">
        <v>5.2377504223990012</v>
      </c>
      <c r="BE45" s="68">
        <v>6.3586568230530771</v>
      </c>
      <c r="BF45" s="68">
        <v>6.489262371615534</v>
      </c>
      <c r="BG45" s="2746">
        <v>7.9228624535311098</v>
      </c>
      <c r="BH45" s="2745">
        <v>9.4036697247708911</v>
      </c>
      <c r="BI45" s="68">
        <v>10.971786833855557</v>
      </c>
      <c r="BJ45" s="68">
        <v>13.217886891714127</v>
      </c>
      <c r="BK45" s="2746">
        <v>11.603875134553521</v>
      </c>
      <c r="BL45" s="2745">
        <v>8.377192982456183</v>
      </c>
      <c r="BM45" s="68">
        <v>7.7711357813833315</v>
      </c>
      <c r="BN45" s="68">
        <v>6.4182194616977606</v>
      </c>
      <c r="BO45" s="2746">
        <v>6.0805258833197318</v>
      </c>
      <c r="BP45" s="2745">
        <v>5.6657223796034328</v>
      </c>
      <c r="BQ45" s="68">
        <v>4.5166402535657735</v>
      </c>
      <c r="BR45" s="68">
        <v>3.463035019455174</v>
      </c>
      <c r="BS45" s="2746">
        <v>3.4469403563129664</v>
      </c>
      <c r="BT45" s="2745">
        <v>3.8299502106472261</v>
      </c>
      <c r="BU45" s="68">
        <v>4.624715693707393</v>
      </c>
      <c r="BV45" s="68">
        <v>5.4531778864234326</v>
      </c>
      <c r="BW45" s="2746">
        <v>6.0651441407711282</v>
      </c>
      <c r="BX45" s="2745">
        <v>6.1232017705643349</v>
      </c>
      <c r="BY45" s="68">
        <v>5.7608695652173969</v>
      </c>
      <c r="BZ45" s="68">
        <v>5.0998573466476849</v>
      </c>
      <c r="CA45" s="2746">
        <v>5.6477232615602668</v>
      </c>
      <c r="CB45" s="2745">
        <v>5.7003823427184575</v>
      </c>
      <c r="CC45" s="68">
        <v>5.6526207605344325</v>
      </c>
      <c r="CD45" s="68">
        <v>6.2436375975572167</v>
      </c>
      <c r="CE45" s="2746">
        <v>5.4126294687607546</v>
      </c>
      <c r="CF45" s="2745">
        <v>5.9191055573824203</v>
      </c>
      <c r="CG45" s="68">
        <v>6.4526588845651656</v>
      </c>
      <c r="CH45" s="68">
        <v>6.228042159054592</v>
      </c>
      <c r="CI45" s="2746">
        <v>5.7369255150551357</v>
      </c>
    </row>
    <row r="47" spans="1:87" hidden="1" x14ac:dyDescent="0.25">
      <c r="BA47" s="266"/>
      <c r="BL47" s="2747"/>
      <c r="CD47" s="2747"/>
    </row>
    <row r="48" spans="1:87" hidden="1" x14ac:dyDescent="0.25">
      <c r="BA48" s="266"/>
      <c r="BL48" s="2747"/>
      <c r="CD48" s="2747"/>
    </row>
    <row r="49" spans="53:82" hidden="1" x14ac:dyDescent="0.25">
      <c r="BA49" s="179"/>
      <c r="BL49" s="2747"/>
      <c r="CD49" s="2747"/>
    </row>
    <row r="50" spans="53:82" hidden="1" x14ac:dyDescent="0.25">
      <c r="BA50" s="267"/>
      <c r="BL50" s="2747"/>
      <c r="CD50" s="2747"/>
    </row>
    <row r="51" spans="53:82" hidden="1" x14ac:dyDescent="0.25">
      <c r="BL51" s="2747"/>
    </row>
    <row r="52" spans="53:82" hidden="1" x14ac:dyDescent="0.25">
      <c r="BL52" s="2747"/>
    </row>
    <row r="53" spans="53:82" hidden="1" x14ac:dyDescent="0.25">
      <c r="BL53" s="2747"/>
    </row>
    <row r="54" spans="53:82" hidden="1" x14ac:dyDescent="0.25">
      <c r="BL54" s="2747"/>
    </row>
    <row r="55" spans="53:82" hidden="1" x14ac:dyDescent="0.25">
      <c r="BL55" s="2747"/>
    </row>
    <row r="56" spans="53:82" hidden="1" x14ac:dyDescent="0.25">
      <c r="BL56" s="2747"/>
    </row>
    <row r="57" spans="53:82" hidden="1" x14ac:dyDescent="0.25">
      <c r="BL57" s="2747"/>
    </row>
    <row r="58" spans="53:82" hidden="1" x14ac:dyDescent="0.25">
      <c r="BL58" s="2747"/>
    </row>
    <row r="59" spans="53:82" hidden="1" x14ac:dyDescent="0.25">
      <c r="BL59" s="2747"/>
    </row>
    <row r="60" spans="53:82" hidden="1" x14ac:dyDescent="0.25">
      <c r="BL60" s="2747"/>
    </row>
    <row r="61" spans="53:82" hidden="1" x14ac:dyDescent="0.25">
      <c r="BL61" s="2747"/>
    </row>
    <row r="62" spans="53:82" hidden="1" x14ac:dyDescent="0.25">
      <c r="BL62" s="2747"/>
    </row>
    <row r="63" spans="53:82" hidden="1" x14ac:dyDescent="0.25"/>
    <row r="64" spans="53:82" hidden="1" x14ac:dyDescent="0.25"/>
    <row r="65" spans="5:21" hidden="1" x14ac:dyDescent="0.25"/>
    <row r="66" spans="5:21" hidden="1" x14ac:dyDescent="0.25">
      <c r="E66" s="51">
        <v>1998</v>
      </c>
      <c r="F66" s="51">
        <v>1999</v>
      </c>
      <c r="G66" s="51">
        <v>2000</v>
      </c>
      <c r="H66" s="51">
        <v>2001</v>
      </c>
      <c r="I66" s="51">
        <v>2002</v>
      </c>
      <c r="J66" s="51">
        <v>2003</v>
      </c>
      <c r="K66" s="51">
        <v>2004</v>
      </c>
      <c r="L66" s="51">
        <v>2005</v>
      </c>
      <c r="M66" s="51">
        <v>2006</v>
      </c>
      <c r="N66" s="51">
        <v>2007</v>
      </c>
      <c r="O66" s="51">
        <v>2008</v>
      </c>
      <c r="P66" s="51">
        <v>2009</v>
      </c>
      <c r="Q66" s="51">
        <v>2010</v>
      </c>
      <c r="R66" s="51">
        <v>2011</v>
      </c>
      <c r="S66" s="51">
        <v>2012</v>
      </c>
      <c r="T66" s="51">
        <v>2013</v>
      </c>
      <c r="U66" s="51">
        <v>2014</v>
      </c>
    </row>
    <row r="67" spans="5:21" hidden="1" x14ac:dyDescent="0.25">
      <c r="E67" s="51">
        <v>7.0532593049558168</v>
      </c>
      <c r="F67" s="51">
        <v>6.9343065693431072</v>
      </c>
      <c r="G67" s="51">
        <v>7.7240883779413627</v>
      </c>
      <c r="H67" s="51">
        <v>6.6033016508254105</v>
      </c>
      <c r="I67" s="51">
        <v>9.3226966995147755</v>
      </c>
      <c r="J67" s="51">
        <v>6.7749320360569687</v>
      </c>
      <c r="K67" s="51">
        <v>4.328308207704934</v>
      </c>
      <c r="L67" s="51">
        <v>3.9496499903667104</v>
      </c>
      <c r="M67" s="51">
        <v>4.5965649326578539</v>
      </c>
      <c r="N67" s="51">
        <v>6.5150620200829401</v>
      </c>
      <c r="O67" s="51">
        <v>11.32368435645783</v>
      </c>
      <c r="P67" s="51">
        <v>7.1375778692852609</v>
      </c>
      <c r="Q67" s="51">
        <v>4.2574159850202076</v>
      </c>
      <c r="R67" s="51">
        <v>5.000472634464459</v>
      </c>
      <c r="S67" s="51">
        <v>5.6535830032408585</v>
      </c>
      <c r="T67" s="51">
        <v>5.7515337423312829</v>
      </c>
      <c r="U67" s="51">
        <v>5.952930318412375</v>
      </c>
    </row>
    <row r="68" spans="5:21" hidden="1" x14ac:dyDescent="0.25"/>
    <row r="69" spans="5:21" hidden="1" x14ac:dyDescent="0.25"/>
    <row r="70" spans="5:21" hidden="1" x14ac:dyDescent="0.25"/>
  </sheetData>
  <mergeCells count="28">
    <mergeCell ref="D38:Z38"/>
    <mergeCell ref="D2:Z2"/>
    <mergeCell ref="D3:Z3"/>
    <mergeCell ref="D4:Z4"/>
    <mergeCell ref="D37:Z37"/>
    <mergeCell ref="AV43:AY43"/>
    <mergeCell ref="D39:Z39"/>
    <mergeCell ref="D40:Z40"/>
    <mergeCell ref="D43:G43"/>
    <mergeCell ref="H43:K43"/>
    <mergeCell ref="L43:O43"/>
    <mergeCell ref="P43:S43"/>
    <mergeCell ref="T43:W43"/>
    <mergeCell ref="X43:AA43"/>
    <mergeCell ref="AB43:AE43"/>
    <mergeCell ref="AF43:AI43"/>
    <mergeCell ref="AJ43:AM43"/>
    <mergeCell ref="AN43:AQ43"/>
    <mergeCell ref="AR43:AU43"/>
    <mergeCell ref="BX43:CA43"/>
    <mergeCell ref="CB43:CE43"/>
    <mergeCell ref="CF43:CI43"/>
    <mergeCell ref="AZ43:BC43"/>
    <mergeCell ref="BD43:BG43"/>
    <mergeCell ref="BH43:BK43"/>
    <mergeCell ref="BL43:BO43"/>
    <mergeCell ref="BP43:BS43"/>
    <mergeCell ref="BT43:BW43"/>
  </mergeCells>
  <pageMargins left="0.74803149606299213" right="0.74803149606299213" top="0.98425196850393704" bottom="0.98425196850393704" header="0.51181102362204722" footer="0.51181102362204722"/>
  <pageSetup paperSize="9" scale="76" orientation="landscape" r:id="rId1"/>
  <headerFooter alignWithMargins="0">
    <oddHeader>&amp;C&amp;"-,Bold"DEVELOPMENT INDICATORS 2014</oddHeader>
    <oddFooter>&amp;LDepartment of Planning, Monitoring and Evaluation (DPME). &amp;CPage &amp;P of &amp;N&amp;R&amp;D</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eading xmlns="e925e563-aa8d-4721-806a-eee397b052e4">Other Information Products</Heading>
    <Rank xmlns="e925e563-aa8d-4721-806a-eee397b052e4" xsi:nil="true"/>
    <_dlc_DocId xmlns="baa0e0f4-f263-427a-80da-7f3591d32fb2">ZKQJ7CNJYW2Z-92-42</_dlc_DocId>
    <_dlc_DocIdUrl xmlns="baa0e0f4-f263-427a-80da-7f3591d32fb2">
      <Url>http://www.dpme.gov.za/publications/_layouts/DocIdRedir.aspx?ID=ZKQJ7CNJYW2Z-92-42</Url>
      <Description>ZKQJ7CNJYW2Z-92-42</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CBAD6C58B327114E96CC8788E47AB5A3" ma:contentTypeVersion="3" ma:contentTypeDescription="Create a new document." ma:contentTypeScope="" ma:versionID="e0d277a0030a70c437554211e8d8b47a">
  <xsd:schema xmlns:xsd="http://www.w3.org/2001/XMLSchema" xmlns:xs="http://www.w3.org/2001/XMLSchema" xmlns:p="http://schemas.microsoft.com/office/2006/metadata/properties" xmlns:ns2="e925e563-aa8d-4721-806a-eee397b052e4" xmlns:ns3="baa0e0f4-f263-427a-80da-7f3591d32fb2" targetNamespace="http://schemas.microsoft.com/office/2006/metadata/properties" ma:root="true" ma:fieldsID="a52996ccb3645fa634679786c2de896a" ns2:_="" ns3:_="">
    <xsd:import namespace="e925e563-aa8d-4721-806a-eee397b052e4"/>
    <xsd:import namespace="baa0e0f4-f263-427a-80da-7f3591d32fb2"/>
    <xsd:element name="properties">
      <xsd:complexType>
        <xsd:sequence>
          <xsd:element name="documentManagement">
            <xsd:complexType>
              <xsd:all>
                <xsd:element ref="ns2:Heading" minOccurs="0"/>
                <xsd:element ref="ns2:Rank"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25e563-aa8d-4721-806a-eee397b052e4" elementFormDefault="qualified">
    <xsd:import namespace="http://schemas.microsoft.com/office/2006/documentManagement/types"/>
    <xsd:import namespace="http://schemas.microsoft.com/office/infopath/2007/PartnerControls"/>
    <xsd:element name="Heading" ma:index="8" nillable="true" ma:displayName="Description" ma:internalName="Heading">
      <xsd:simpleType>
        <xsd:restriction base="dms:Text">
          <xsd:maxLength value="255"/>
        </xsd:restriction>
      </xsd:simpleType>
    </xsd:element>
    <xsd:element name="Rank" ma:index="9" nillable="true" ma:displayName="Rank" ma:decimals="0" ma:internalName="Rank">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aa0e0f4-f263-427a-80da-7f3591d32fb2"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7B4B65-08EB-4679-9F72-E04BF800A05C}"/>
</file>

<file path=customXml/itemProps2.xml><?xml version="1.0" encoding="utf-8"?>
<ds:datastoreItem xmlns:ds="http://schemas.openxmlformats.org/officeDocument/2006/customXml" ds:itemID="{9791167F-8935-4BA6-B066-84CC33D1E4E5}"/>
</file>

<file path=customXml/itemProps3.xml><?xml version="1.0" encoding="utf-8"?>
<ds:datastoreItem xmlns:ds="http://schemas.openxmlformats.org/officeDocument/2006/customXml" ds:itemID="{A23D6B76-22DD-4562-A85E-9FEF006BD17F}"/>
</file>

<file path=customXml/itemProps4.xml><?xml version="1.0" encoding="utf-8"?>
<ds:datastoreItem xmlns:ds="http://schemas.openxmlformats.org/officeDocument/2006/customXml" ds:itemID="{EA7B9046-064A-40D4-8C48-F4AC67BCA76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86</vt:i4>
      </vt:variant>
      <vt:variant>
        <vt:lpstr>Named Ranges</vt:lpstr>
      </vt:variant>
      <vt:variant>
        <vt:i4>87</vt:i4>
      </vt:variant>
    </vt:vector>
  </HeadingPairs>
  <TitlesOfParts>
    <vt:vector size="173" baseType="lpstr">
      <vt:lpstr>Intro </vt:lpstr>
      <vt:lpstr>GDP </vt:lpstr>
      <vt:lpstr>GDP per Capita </vt:lpstr>
      <vt:lpstr>NFDI </vt:lpstr>
      <vt:lpstr>GFCF </vt:lpstr>
      <vt:lpstr>B deficit </vt:lpstr>
      <vt:lpstr>G debt </vt:lpstr>
      <vt:lpstr>Interest </vt:lpstr>
      <vt:lpstr>Inflation </vt:lpstr>
      <vt:lpstr>Bondpoints Spread </vt:lpstr>
      <vt:lpstr>R&amp;D </vt:lpstr>
      <vt:lpstr>ICT</vt:lpstr>
      <vt:lpstr>Patents</vt:lpstr>
      <vt:lpstr>Foreign Trade</vt:lpstr>
      <vt:lpstr>Competitiveness </vt:lpstr>
      <vt:lpstr>Knowledge Based Economy </vt:lpstr>
      <vt:lpstr>BM </vt:lpstr>
      <vt:lpstr>Employed </vt:lpstr>
      <vt:lpstr>Unempl</vt:lpstr>
      <vt:lpstr>EPWP </vt:lpstr>
      <vt:lpstr>CWP </vt:lpstr>
      <vt:lpstr>Income</vt:lpstr>
      <vt:lpstr>LSM </vt:lpstr>
      <vt:lpstr>Inequality</vt:lpstr>
      <vt:lpstr>Poverty Headcount</vt:lpstr>
      <vt:lpstr>Poverty Gap indices  </vt:lpstr>
      <vt:lpstr>Grants</vt:lpstr>
      <vt:lpstr>People with disability </vt:lpstr>
      <vt:lpstr>Dwellings</vt:lpstr>
      <vt:lpstr>Water</vt:lpstr>
      <vt:lpstr>Sanitation</vt:lpstr>
      <vt:lpstr>Electricity</vt:lpstr>
      <vt:lpstr>Land restitution</vt:lpstr>
      <vt:lpstr>Land redistribution </vt:lpstr>
      <vt:lpstr>Life Expectancy </vt:lpstr>
      <vt:lpstr>Infant &amp; Child mortality</vt:lpstr>
      <vt:lpstr>Severe Acute Malnutrition</vt:lpstr>
      <vt:lpstr>Immunization</vt:lpstr>
      <vt:lpstr>Martenal mortality</vt:lpstr>
      <vt:lpstr>HIV Prevalance </vt:lpstr>
      <vt:lpstr>ART new TROA</vt:lpstr>
      <vt:lpstr>TB</vt:lpstr>
      <vt:lpstr>Malaria</vt:lpstr>
      <vt:lpstr>ECD</vt:lpstr>
      <vt:lpstr>Educator Learner ratio</vt:lpstr>
      <vt:lpstr>Gender parity index</vt:lpstr>
      <vt:lpstr>Matric pass rate</vt:lpstr>
      <vt:lpstr>Mathematics pass rate</vt:lpstr>
      <vt:lpstr>Literacy rate </vt:lpstr>
      <vt:lpstr>SET Uni</vt:lpstr>
      <vt:lpstr>Educational Perfomance  </vt:lpstr>
      <vt:lpstr>Maths, science perf</vt:lpstr>
      <vt:lpstr>Skills and training</vt:lpstr>
      <vt:lpstr>Civil Society</vt:lpstr>
      <vt:lpstr>Voter Participation</vt:lpstr>
      <vt:lpstr>Voter prov</vt:lpstr>
      <vt:lpstr>Women legislative bodies</vt:lpstr>
      <vt:lpstr>Confident in happy future</vt:lpstr>
      <vt:lpstr>Race relations opinion</vt:lpstr>
      <vt:lpstr>Country direction</vt:lpstr>
      <vt:lpstr>Self description</vt:lpstr>
      <vt:lpstr>Pride in being SA</vt:lpstr>
      <vt:lpstr>Crime Victims </vt:lpstr>
      <vt:lpstr>Contact crime</vt:lpstr>
      <vt:lpstr>Serious robberies</vt:lpstr>
      <vt:lpstr>Drug-Related Crime</vt:lpstr>
      <vt:lpstr>Sexual offences</vt:lpstr>
      <vt:lpstr>Cases in court</vt:lpstr>
      <vt:lpstr>Detainees</vt:lpstr>
      <vt:lpstr>Rehabilitation</vt:lpstr>
      <vt:lpstr>Parolees</vt:lpstr>
      <vt:lpstr>Road Accidents</vt:lpstr>
      <vt:lpstr>Development cooperation</vt:lpstr>
      <vt:lpstr>Tourism</vt:lpstr>
      <vt:lpstr>Missions</vt:lpstr>
      <vt:lpstr>International Agreements</vt:lpstr>
      <vt:lpstr>Tax Admin</vt:lpstr>
      <vt:lpstr>Qualified Audits</vt:lpstr>
      <vt:lpstr>Corruption</vt:lpstr>
      <vt:lpstr>Budget Process</vt:lpstr>
      <vt:lpstr>Public Opinion</vt:lpstr>
      <vt:lpstr>Doing business</vt:lpstr>
      <vt:lpstr>Gas Emission </vt:lpstr>
      <vt:lpstr>Air Quality</vt:lpstr>
      <vt:lpstr>Terrestrial BPI</vt:lpstr>
      <vt:lpstr>Marine PAs</vt:lpstr>
      <vt:lpstr>TB!_msocom_4</vt:lpstr>
      <vt:lpstr>'Air Quality'!Print_Area</vt:lpstr>
      <vt:lpstr>'ART new TROA'!Print_Area</vt:lpstr>
      <vt:lpstr>'B deficit '!Print_Area</vt:lpstr>
      <vt:lpstr>'BM '!Print_Area</vt:lpstr>
      <vt:lpstr>'Bondpoints Spread '!Print_Area</vt:lpstr>
      <vt:lpstr>'Budget Process'!Print_Area</vt:lpstr>
      <vt:lpstr>'Cases in court'!Print_Area</vt:lpstr>
      <vt:lpstr>'Civil Society'!Print_Area</vt:lpstr>
      <vt:lpstr>'Competitiveness '!Print_Area</vt:lpstr>
      <vt:lpstr>'Confident in happy future'!Print_Area</vt:lpstr>
      <vt:lpstr>'Contact crime'!Print_Area</vt:lpstr>
      <vt:lpstr>Corruption!Print_Area</vt:lpstr>
      <vt:lpstr>'Country direction'!Print_Area</vt:lpstr>
      <vt:lpstr>'Crime Victims '!Print_Area</vt:lpstr>
      <vt:lpstr>'CWP '!Print_Area</vt:lpstr>
      <vt:lpstr>Detainees!Print_Area</vt:lpstr>
      <vt:lpstr>'Development cooperation'!Print_Area</vt:lpstr>
      <vt:lpstr>'Doing business'!Print_Area</vt:lpstr>
      <vt:lpstr>'Drug-Related Crime'!Print_Area</vt:lpstr>
      <vt:lpstr>Dwellings!Print_Area</vt:lpstr>
      <vt:lpstr>ECD!Print_Area</vt:lpstr>
      <vt:lpstr>'Educational Perfomance  '!Print_Area</vt:lpstr>
      <vt:lpstr>'Educator Learner ratio'!Print_Area</vt:lpstr>
      <vt:lpstr>Electricity!Print_Area</vt:lpstr>
      <vt:lpstr>'Employed '!Print_Area</vt:lpstr>
      <vt:lpstr>'EPWP '!Print_Area</vt:lpstr>
      <vt:lpstr>'Foreign Trade'!Print_Area</vt:lpstr>
      <vt:lpstr>'G debt '!Print_Area</vt:lpstr>
      <vt:lpstr>'Gas Emission '!Print_Area</vt:lpstr>
      <vt:lpstr>'GDP '!Print_Area</vt:lpstr>
      <vt:lpstr>'GDP per Capita '!Print_Area</vt:lpstr>
      <vt:lpstr>'Gender parity index'!Print_Area</vt:lpstr>
      <vt:lpstr>'GFCF '!Print_Area</vt:lpstr>
      <vt:lpstr>Grants!Print_Area</vt:lpstr>
      <vt:lpstr>'HIV Prevalance '!Print_Area</vt:lpstr>
      <vt:lpstr>ICT!Print_Area</vt:lpstr>
      <vt:lpstr>Immunization!Print_Area</vt:lpstr>
      <vt:lpstr>Income!Print_Area</vt:lpstr>
      <vt:lpstr>Inequality!Print_Area</vt:lpstr>
      <vt:lpstr>'Infant &amp; Child mortality'!Print_Area</vt:lpstr>
      <vt:lpstr>'Inflation '!Print_Area</vt:lpstr>
      <vt:lpstr>'Interest '!Print_Area</vt:lpstr>
      <vt:lpstr>'International Agreements'!Print_Area</vt:lpstr>
      <vt:lpstr>'Intro '!Print_Area</vt:lpstr>
      <vt:lpstr>'Knowledge Based Economy '!Print_Area</vt:lpstr>
      <vt:lpstr>'Land redistribution '!Print_Area</vt:lpstr>
      <vt:lpstr>'Land restitution'!Print_Area</vt:lpstr>
      <vt:lpstr>'Life Expectancy '!Print_Area</vt:lpstr>
      <vt:lpstr>'Literacy rate '!Print_Area</vt:lpstr>
      <vt:lpstr>'LSM '!Print_Area</vt:lpstr>
      <vt:lpstr>Malaria!Print_Area</vt:lpstr>
      <vt:lpstr>'Marine PAs'!Print_Area</vt:lpstr>
      <vt:lpstr>'Martenal mortality'!Print_Area</vt:lpstr>
      <vt:lpstr>'Mathematics pass rate'!Print_Area</vt:lpstr>
      <vt:lpstr>'Maths, science perf'!Print_Area</vt:lpstr>
      <vt:lpstr>'Matric pass rate'!Print_Area</vt:lpstr>
      <vt:lpstr>Missions!Print_Area</vt:lpstr>
      <vt:lpstr>'NFDI '!Print_Area</vt:lpstr>
      <vt:lpstr>Parolees!Print_Area</vt:lpstr>
      <vt:lpstr>Patents!Print_Area</vt:lpstr>
      <vt:lpstr>'People with disability '!Print_Area</vt:lpstr>
      <vt:lpstr>'Poverty Gap indices  '!Print_Area</vt:lpstr>
      <vt:lpstr>'Poverty Headcount'!Print_Area</vt:lpstr>
      <vt:lpstr>'Pride in being SA'!Print_Area</vt:lpstr>
      <vt:lpstr>'Public Opinion'!Print_Area</vt:lpstr>
      <vt:lpstr>'Qualified Audits'!Print_Area</vt:lpstr>
      <vt:lpstr>'R&amp;D '!Print_Area</vt:lpstr>
      <vt:lpstr>'Race relations opinion'!Print_Area</vt:lpstr>
      <vt:lpstr>Rehabilitation!Print_Area</vt:lpstr>
      <vt:lpstr>'Road Accidents'!Print_Area</vt:lpstr>
      <vt:lpstr>Sanitation!Print_Area</vt:lpstr>
      <vt:lpstr>'Self description'!Print_Area</vt:lpstr>
      <vt:lpstr>'Serious robberies'!Print_Area</vt:lpstr>
      <vt:lpstr>'SET Uni'!Print_Area</vt:lpstr>
      <vt:lpstr>'Severe Acute Malnutrition'!Print_Area</vt:lpstr>
      <vt:lpstr>'Sexual offences'!Print_Area</vt:lpstr>
      <vt:lpstr>'Skills and training'!Print_Area</vt:lpstr>
      <vt:lpstr>'Tax Admin'!Print_Area</vt:lpstr>
      <vt:lpstr>TB!Print_Area</vt:lpstr>
      <vt:lpstr>'Terrestrial BPI'!Print_Area</vt:lpstr>
      <vt:lpstr>Tourism!Print_Area</vt:lpstr>
      <vt:lpstr>Unempl!Print_Area</vt:lpstr>
      <vt:lpstr>'Voter Participation'!Print_Area</vt:lpstr>
      <vt:lpstr>'Voter prov'!Print_Area</vt:lpstr>
      <vt:lpstr>Water!Print_Area</vt:lpstr>
      <vt:lpstr>'Women legislative bodies'!Print_Area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Other Information Products</dc:title>
  <dc:creator>Freddy Mabena</dc:creator>
  <cp:lastModifiedBy>Kenneth Matlala</cp:lastModifiedBy>
  <dcterms:created xsi:type="dcterms:W3CDTF">2017-03-13T09:03:29Z</dcterms:created>
  <dcterms:modified xsi:type="dcterms:W3CDTF">2017-04-01T07:57:50Z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0x010100CBAD6C58B327114E96CC8788E47AB5A3</vt:lpwstr>
  </property>
  <property fmtid="{D5CDD505-2E9C-101B-9397-08002B2CF9AE}" pid="3" name="_dlc_DocIdItemGuid">
    <vt:lpwstr>d3ee539a-e37f-409a-b9ff-ce3609100adc</vt:lpwstr>
  </property>
</Properties>
</file>